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SEP\INF_ELABORADA\"/>
    </mc:Choice>
  </mc:AlternateContent>
  <xr:revisionPtr revIDLastSave="0" documentId="13_ncr:1_{656506A2-CB04-43CA-8ABC-1EE092FAE937}" xr6:coauthVersionLast="45" xr6:coauthVersionMax="46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43" l="1"/>
  <c r="Q262" i="44"/>
  <c r="J60" i="43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F70" i="43" l="1"/>
  <c r="C399" i="49" l="1"/>
  <c r="F399" i="49" l="1"/>
  <c r="E399" i="49" l="1"/>
  <c r="E398" i="47"/>
  <c r="G399" i="49" s="1"/>
  <c r="H211" i="44" l="1"/>
  <c r="I211" i="44"/>
  <c r="E396" i="59" l="1"/>
  <c r="C18" i="48" l="1"/>
  <c r="E398" i="49" l="1"/>
  <c r="C398" i="49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I55" i="43"/>
  <c r="I56" i="43"/>
  <c r="I57" i="43"/>
  <c r="I58" i="43"/>
  <c r="I59" i="43"/>
  <c r="I60" i="43"/>
  <c r="I61" i="43"/>
  <c r="I62" i="43"/>
  <c r="I63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G261" i="47"/>
  <c r="I262" i="49" s="1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321" i="49" l="1"/>
  <c r="C199" i="49"/>
  <c r="C260" i="49"/>
  <c r="C230" i="49"/>
  <c r="C233" i="49"/>
  <c r="F232" i="47"/>
  <c r="C80" i="49"/>
  <c r="F79" i="47"/>
  <c r="C294" i="49"/>
  <c r="C141" i="49"/>
  <c r="C384" i="49"/>
  <c r="G383" i="47"/>
  <c r="I384" i="49" s="1"/>
  <c r="C383" i="49"/>
  <c r="C355" i="49"/>
  <c r="G354" i="47"/>
  <c r="I355" i="49" s="1"/>
  <c r="C353" i="49"/>
  <c r="C324" i="49"/>
  <c r="G323" i="47"/>
  <c r="I324" i="49" s="1"/>
  <c r="C322" i="49"/>
  <c r="C293" i="49"/>
  <c r="G292" i="47"/>
  <c r="I293" i="49" s="1"/>
  <c r="C292" i="49"/>
  <c r="C263" i="49"/>
  <c r="C261" i="49"/>
  <c r="C232" i="49"/>
  <c r="C231" i="49"/>
  <c r="G230" i="47"/>
  <c r="I231" i="49" s="1"/>
  <c r="C202" i="49"/>
  <c r="C200" i="49"/>
  <c r="G199" i="47"/>
  <c r="I200" i="49" s="1"/>
  <c r="C171" i="49"/>
  <c r="C169" i="49"/>
  <c r="G168" i="47"/>
  <c r="I169" i="49" s="1"/>
  <c r="C140" i="49"/>
  <c r="C139" i="49"/>
  <c r="G138" i="47"/>
  <c r="I139" i="49" s="1"/>
  <c r="C78" i="49"/>
  <c r="G77" i="47"/>
  <c r="I78" i="49" s="1"/>
  <c r="C47" i="49"/>
  <c r="G46" i="47"/>
  <c r="I47" i="49" s="1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62" i="47"/>
  <c r="I263" i="49" s="1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20" i="47"/>
  <c r="I321" i="49" s="1"/>
  <c r="G352" i="47"/>
  <c r="I353" i="49" s="1"/>
  <c r="G260" i="47"/>
  <c r="I261" i="49" s="1"/>
  <c r="G198" i="47"/>
  <c r="I199" i="49" s="1"/>
  <c r="G170" i="47"/>
  <c r="I171" i="49" s="1"/>
  <c r="G78" i="47"/>
  <c r="I79" i="49" s="1"/>
  <c r="G351" i="47"/>
  <c r="I352" i="49" s="1"/>
  <c r="G229" i="47"/>
  <c r="I230" i="49" s="1"/>
  <c r="G290" i="47"/>
  <c r="I291" i="49" s="1"/>
  <c r="G321" i="47"/>
  <c r="I322" i="49" s="1"/>
  <c r="G293" i="47"/>
  <c r="I294" i="49" s="1"/>
  <c r="G140" i="47"/>
  <c r="I141" i="49" s="1"/>
  <c r="G108" i="47"/>
  <c r="I109" i="49" s="1"/>
  <c r="G232" i="47"/>
  <c r="I233" i="49" s="1"/>
  <c r="G200" i="47"/>
  <c r="I201" i="49" s="1"/>
  <c r="G48" i="47"/>
  <c r="I49" i="49" s="1"/>
  <c r="G201" i="47"/>
  <c r="I202" i="49" s="1"/>
  <c r="G17" i="47"/>
  <c r="I18" i="49" s="1"/>
  <c r="G231" i="47"/>
  <c r="I232" i="49" s="1"/>
  <c r="G139" i="47"/>
  <c r="I140" i="49" s="1"/>
  <c r="G107" i="47"/>
  <c r="I108" i="49" s="1"/>
  <c r="G79" i="47"/>
  <c r="I80" i="49" s="1"/>
  <c r="G47" i="47"/>
  <c r="I48" i="49" s="1"/>
  <c r="G291" i="47"/>
  <c r="I292" i="49" s="1"/>
  <c r="G259" i="47"/>
  <c r="I260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<sst xmlns="http://schemas.openxmlformats.org/spreadsheetml/2006/main" count="2358" uniqueCount="248">
  <si>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</si>
  <si>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</si>
  <si>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</si>
  <si>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</si>
  <si>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</si>
  <si>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</si>
  <si>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</si>
  <si>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</si>
  <si>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</si>
  <si>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</si>
  <si>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</si>
  <si>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</si>
  <si>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</si>
  <si>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</si>
  <si>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</si>
  <si>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</si>
  <si>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</si>
  <si>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</si>
  <si>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</si>
  <si>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</si>
  <si>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</si>
  <si>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</si>
  <si>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</si>
  <si>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</si>
  <si>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</si>
  <si>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</si>
  <si>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</si>
  <si>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</si>
  <si>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</si>
  <si>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</si>
  <si>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</si>
  <si>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</si>
  <si>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</si>
  <si>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</si>
  <si>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</si>
  <si>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</si>
  <si>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</si>
  <si>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</si>
  <si>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</si>
  <si>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</si>
  <si>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</si>
  <si>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</si>
  <si>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</si>
  <si>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</si>
  <si>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</si>
  <si>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</si>
  <si>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</si>
  <si>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</si>
  <si>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</si>
  <si>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</si>
  <si>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</si>
  <si>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</si>
  <si>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</si>
  <si>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</si>
  <si>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</si>
  <si>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</si>
  <si>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</si>
  <si>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</si>
  <si>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</si>
  <si>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</si>
  <si>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</si>
  <si>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</si>
  <si>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</si>
  <si>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</si>
  <si>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</si>
  <si>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</si>
  <si>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</si>
  <si>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</si>
  <si>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</si>
  <si>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</si>
  <si>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</si>
  <si>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</si>
  <si>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</si>
  <si>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</si>
  <si>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</si>
  <si>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</si>
  <si>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</si>
  <si>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</si>
  <si>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</si>
  <si>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</si>
  <si>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</si>
  <si>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</si>
  <si>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</si>
  <si>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</si>
  <si>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</si>
  <si>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</si>
  <si>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</si>
  <si>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</si>
  <si>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</si>
  <si>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</si>
  <si>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</si>
  <si>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</si>
  <si>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</si>
  <si>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</si>
  <si>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</si>
  <si>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</si>
  <si>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</si>
  <si>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</si>
  <si>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</si>
  <si>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</si>
  <si>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</si>
  <si>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</si>
  <si>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</si>
  <si>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</si>
  <si>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</si>
  <si>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</si>
  <si>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</si>
  <si>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</si>
  <si>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</si>
  <si>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</si>
  <si>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</si>
  <si>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</si>
  <si>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</si>
  <si>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</si>
  <si>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</si>
  <si>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</si>
  <si>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</si>
  <si>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</si>
  <si>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</si>
  <si>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</si>
  <si>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</si>
  <si>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</si>
  <si>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</si>
  <si>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</si>
  <si>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</si>
  <si>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</si>
  <si>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</si>
  <si>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</si>
  <si>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</si>
  <si>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</si>
  <si>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</si>
  <si>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</si>
  <si>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</si>
  <si>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</si>
  <si>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</si>
  <si>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</si>
  <si>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</si>
  <si>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</si>
  <si>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</si>
  <si>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</si>
  <si>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</si>
  <si>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</si>
  <si>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</si>
  <si>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</si>
  <si>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</si>
  <si>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</si>
  <si>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</si>
  <si>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</si>
  <si>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</si>
  <si>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</si>
  <si>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</si>
  <si>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</si>
  <si>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</si>
  <si>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</si>
  <si>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</si>
  <si>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</si>
  <si>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</si>
  <si>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</si>
  <si>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</si>
  <si>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</si>
  <si>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</si>
  <si>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</si>
  <si>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</si>
  <si>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</si>
  <si>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</si>
  <si>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</si>
  <si>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</si>
  <si>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</si>
  <si>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</si>
  <si>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</si>
  <si>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</si>
  <si>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</si>
  <si>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</si>
  <si>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</si>
  <si>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</si>
  <si>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</si>
  <si>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</si>
  <si>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</si>
  <si>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</si>
  <si>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</si>
  <si>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</si>
  <si>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</si>
  <si>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</si>
  <si>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</si>
  <si>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</si>
  <si>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</si>
  <si>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</si>
  <si>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</si>
  <si>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</si>
  <si>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</si>
  <si>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</si>
  <si>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</si>
  <si>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</si>
  <si>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</si>
  <si>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</si>
  <si>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</si>
  <si>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</si>
  <si>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</si>
  <si>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</si>
  <si>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</si>
  <si>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</si>
  <si>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</si>
  <si>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</si>
  <si>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</si>
  <si>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</si>
  <si>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</si>
  <si>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</si>
  <si>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</si>
  <si>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</si>
  <si>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</si>
  <si>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</si>
  <si>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</si>
  <si>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</si>
  <si>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</si>
  <si>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</si>
  <si>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</si>
  <si>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</si>
  <si>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</si>
  <si>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</si>
  <si>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</si>
  <si>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</si>
  <si>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</si>
  <si>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</si>
  <si>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</si>
  <si>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</si>
  <si>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</si>
  <si>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</si>
  <si>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</si>
  <si>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</si>
  <si>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</si>
  <si>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08:20:41"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msgID="B63112A611EC1467432A0080EFF5629D"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nrr="1098" nrc="780"&gt;&lt;pg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</si>
  <si>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TERN</t>
  </si>
  <si>
    <t>Septiembre 2021</t>
  </si>
  <si>
    <t>30/09/2021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</si>
  <si>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12:58:40"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msgID="ECD3386611EC2A92432A0080EF85819D"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</si>
  <si>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2021 Septiembre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</si>
  <si>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ut="10/11/2021 13:00:33" si="2.00000001381bcb7b199f2cf395d453012dc278f1bb2f208da1e0078a1c25046e3a78f5c879c321c4841fea96f20cd69164cf444d7cccc88bb1f1e95cbee822d58445a9289e87a0739720bf72cdd145ada8f9dcd7fc5424ca0d96a7cb1a9f54e2426751a82187b8ea4080d4e2bb0497e8f0f188d7c287d56119628ffba0e400f266f68c50891ebdffca2d5914a9fca2428cce2fa29d51f3121cf19e4f1ccc3f850bc4.p.3082.0.1.Europe/Madrid.upriv*_1*_pidn2*_56*_session*-lat*_1.00000001ef02b9a1702b907fb7e44f85cb0cf0b0b5ee3e72913f439abb86894e19308daf1d16f49192a8f860b59635258cd84fb090e3ad53.00000001157efc8de06c21ad3f42b4e20e9a2280b5ee3e72a379028aa962dde011ff84020ee5d249ca39aade53d033fab4bd7c780976a2b3.0.1.1.SIOSbi.A04572404A6ABF2446090B938515E87E.0-3082.1.1_-0.1.0_-3082.1.1_5.5.0.*0.0000000117fee9006e354cf7d0d84b94ab481ea0c911585a9abbf35a49c1431da063e9bf68ccfbaa.0.23.11*.2*.0400*.31152J.e.00000001f7f8f4389446751b952625c12930cfc1c911585a8963f9a5dddc222d2c571870782bfcf6.0.10*.131*.122*.122.0.0" msgID="3651D42011EC2A93432A0080EFD5239F"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nrr="84" nrc="6"&gt;&lt;pg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</si>
  <si>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07/09/2021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</si>
  <si>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13:01:34"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msgID="500C2E5611EC2A93432A0080EF25C3A0"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nrr="1004" nrc="56"&gt;&lt;pg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</si>
  <si>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13:10:15"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msgID="69708D1111EC2A93432A0080EF25C3A0"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nrr="1038" nrc="57"&gt;&lt;pg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</si>
  <si>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13:18:14"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msgID="AB635DF011EC2A94432A0080EFA5C19D"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nrr="1040" nrc="1425"&gt;&lt;pg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</si>
  <si>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13:21:21"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msgID="0408AF9011EC2A96432A0080EF95A29F"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nrr="1778" nrc="1945"&gt;&lt;pg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</si>
  <si>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13:22:04"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msgID="35457B2411EC2A96432A0080EF85829F"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nrr="1473" nrc="1129"&gt;&lt;pg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</si>
  <si>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13:23:12" si="2.00000001eb89784bd281c6557f06019093eeef08f99d3d200c06fd1ead35f372cd3339c989d1502652a995bd285e69fa91fcc09f6ae7d708c46d8d0ea1775b5946646fddb4379fb906be9b11a219b29108f1c74333d4e4c6b7f3dc200e122bfafb1baacc6236927fc81f00a823d3e8a8d41ba502554fcc73d2e8cbe98a7becab96cf16be888ea400ae260672d51e5e6451ee3328bc14daa2bcd73d1f04538b010393.p.3082.0.1.Europe/Madrid.upriv*_1*_pidn2*_44*_session*-lat*_1.000000016588a453e42d0539afd49ab03c6bb789b5ee3e72deb1fe3fd387bca99254f32e0ae7bd9aee7f5b79b2922893460d8e59466e25f4.000000013e6cb7a62ce3eb4c817bb341b910cd2ab5ee3e72d7938ef025a1b26f174ac73d62c064926da0d7d6c5a2463b44e5064810d1b8be.0.1.1.BDEbi.D066E1C611E6257C10D00080EF253B44.0-3082.1.1_-0.1.0_-3082.1.1_5.5.0.*0.000000013c07b9838cdce4b0ce63c058e76d6a99c911585a6a99e95c9586c97810f20f90db44da9b.0.23.11*.2*.0400*.31152J.e.000000011cbf481fbc5965bef99e805f68e8178cc911585a53a603b2a06087b6751ecc5b3a5ee39f.0.10*.131*.122*.122.0.0" msgID="4BCE3ADF11EC2A96432A0080EFB5E19D"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nrr="406" nrc="423"&gt;&lt;pg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</si>
  <si>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Martes 07/09/2021 (17:49 h)</t>
  </si>
  <si>
    <t>Martes 21/09/2021 (03:21 h)</t>
  </si>
  <si>
    <t>9da61cd471294eaaa72aa2ea03416aa9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</si>
  <si>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ut="10/13/2021 07:48:43" si="2.0000000164a26c111f3a3b82b41d3c54f01d4ca593094dd05e50cd46ad83033015f858780056dbdf699c1e0f9f22cd273a1b6befdbf4737f08eb23b70efb7e6b7e856676a8aaee2cff66b301998ec063934ec9fe0bf58cb798cc732fbb152c3446e938eaec1bcc3b676f7b8daf0a0957cf3c460f0a0700fd776b145e2df53a216bd31451d5bee352fe3374076f7597b39d909cfab8f0be484a7d4e739ee3e93bdb7f.p.3082.0.1.Europe/Madrid.upriv*_1*_pidn2*_86*_session*-lat*_1.00000001a621ca24279153b151d26ce64151557bbc6025e09f123b6356996b02c75d30b654c4fcff7b00d7dd474a140564c4b5cef17f9c99.00000001af6b33362740331017e761348e8757a7bc6025e05f534ae509e6b479b1a7c71cd1dfaebc2897e9c7fe232b73e84d16f25288901b.0.1.1.BDEbi.D066E1C611E6257C10D00080EF253B44.0-3082.1.1_-0.1.0_-3082.1.1_5.5.0.*0.000000010fb82d302d7c46ee1d5e05f150b1c907c911585a9c8c8c191a1473f817696ee801c8c8cf.0.23.11*.2*.0400*.31152J.e.00000001118f3165ef6d856d90f6c0ba35ddc612c911585a7f4e5b19ee5b6bb34feb1e35f2d57bbf.0.10*.131*.122*.122.0.0" msgID="EA82FC3D11EC2BF92CEF0080EF258367"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nrr="310" nrc="327"&gt;&lt;pg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</si>
</sst>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1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1" fillId="14" borderId="13">
      <alignment vertical="center" wrapText="1"/>
    </xf>
    <xf numFmtId="165" fontId="71" fillId="13" borderId="13">
      <alignment horizontal="left" vertical="center"/>
    </xf>
    <xf numFmtId="165" fontId="71" fillId="14" borderId="13">
      <alignment horizontal="center" wrapText="1"/>
    </xf>
    <xf numFmtId="168" fontId="71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6" fillId="6" borderId="13">
      <alignment horizontal="center" vertic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0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5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" fontId="70" fillId="0" borderId="0" xfId="3" applyNumberFormat="1" applyFont="1" applyFill="1" applyBorder="1"/>
    <xf numFmtId="165" fontId="71" fillId="14" borderId="13" xfId="48" applyAlignment="1">
      <alignment vertical="center"/>
    </xf>
    <xf numFmtId="165" fontId="71" fillId="14" borderId="13" xfId="50" quotePrefix="1" applyAlignment="1">
      <alignment horizontal="center"/>
    </xf>
    <xf numFmtId="165" fontId="71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1" fillId="13" borderId="13" xfId="49" quotePrefix="1" applyAlignment="1">
      <alignment horizontal="left" vertical="center"/>
    </xf>
    <xf numFmtId="168" fontId="71" fillId="13" borderId="13" xfId="51" applyAlignment="1">
      <alignment horizontal="right" vertical="center"/>
    </xf>
    <xf numFmtId="165" fontId="46" fillId="6" borderId="13" xfId="52" applyAlignment="1">
      <alignment vertical="center"/>
    </xf>
    <xf numFmtId="165" fontId="46" fillId="6" borderId="13" xfId="54" quotePrefix="1" applyAlignment="1">
      <alignment horizontal="center" vertical="center"/>
    </xf>
    <xf numFmtId="165" fontId="46" fillId="6" borderId="13" xfId="54" applyAlignment="1">
      <alignment horizontal="center" vertical="center"/>
    </xf>
    <xf numFmtId="165" fontId="48" fillId="4" borderId="13" xfId="55" quotePrefix="1" applyAlignment="1">
      <alignment horizontal="left" vertical="center"/>
    </xf>
    <xf numFmtId="168" fontId="47" fillId="4" borderId="13" xfId="56">
      <alignment horizontal="right" vertical="center"/>
    </xf>
    <xf numFmtId="10" fontId="47" fillId="4" borderId="13" xfId="57">
      <alignment horizontal="right" vertical="center"/>
    </xf>
    <xf numFmtId="165" fontId="49" fillId="5" borderId="13" xfId="58" quotePrefix="1" applyAlignment="1">
      <alignment horizontal="left" vertical="center"/>
    </xf>
    <xf numFmtId="168" fontId="45" fillId="5" borderId="13" xfId="59">
      <alignment horizontal="right" vertical="center"/>
    </xf>
    <xf numFmtId="10" fontId="45" fillId="5" borderId="13" xfId="60">
      <alignment horizontal="right" vertical="center"/>
    </xf>
    <xf numFmtId="165" fontId="46" fillId="6" borderId="13" xfId="53" quotePrefix="1" applyAlignment="1">
      <alignment horizontal="center"/>
    </xf>
    <xf numFmtId="165" fontId="46" fillId="6" borderId="13" xfId="53" applyAlignment="1">
      <alignment horizontal="center"/>
    </xf>
    <xf numFmtId="165" fontId="48" fillId="4" borderId="13" xfId="55" applyAlignment="1">
      <alignment horizontal="left" vertical="center"/>
    </xf>
    <xf numFmtId="1" fontId="16" fillId="0" borderId="0" xfId="12" applyNumberFormat="1" applyFont="1" applyFill="1" applyAlignment="1">
      <alignment horizontal="center"/>
    </xf>
    <xf numFmtId="1" fontId="64" fillId="0" borderId="0" xfId="12" applyNumberFormat="1" applyFont="1" applyFill="1" applyAlignment="1">
      <alignment horizontal="center"/>
    </xf>
    <xf numFmtId="165" fontId="64" fillId="0" borderId="0" xfId="0" applyFont="1"/>
    <xf numFmtId="0" fontId="64" fillId="0" borderId="0" xfId="0" applyNumberFormat="1" applyFont="1"/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61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4e2c9c7a-2f85-403c-8a48-2ddc8d18a8ca" xfId="54" xr:uid="{9A697B5D-A6FD-485E-937F-A93DBEE00B7E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6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8_c74e16a5-566e-4e4a-bdc3-b6cacdd638cc" xfId="57" xr:uid="{57E4AD51-C944-4BDC-B3D5-0B0A665A2DBB}"/>
    <cellStyle name="MSTRStyle.Todos.c19_15009b83-d662-472c-ae48-4df3fea471dd" xfId="35" xr:uid="{00000000-0005-0000-0000-00000C000000}"/>
    <cellStyle name="MSTRStyle.Todos.c19_5273395b-330c-4453-bb5e-3d097a5f9a38" xfId="59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8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60" xr:uid="{94577577-EA40-4777-8DFF-4664E10FBDE0}"/>
    <cellStyle name="MSTRStyle.Todos.c25_afaf7586-66ac-412d-9de1-4c2909e1f8f2" xfId="31" xr:uid="{00000000-0005-0000-0000-000015000000}"/>
    <cellStyle name="MSTRStyle.Todos.c3_12fa68d3-c457-4d25-994e-10345e19d365" xfId="55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8.4552845528455281E-2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3.1167036722552952</c:v>
                </c:pt>
                <c:pt idx="1">
                  <c:v>6.6586071560022484</c:v>
                </c:pt>
                <c:pt idx="2">
                  <c:v>4.3433221915711995</c:v>
                </c:pt>
                <c:pt idx="3">
                  <c:v>22.9789255294667</c:v>
                </c:pt>
                <c:pt idx="4">
                  <c:v>5.2361094148518985</c:v>
                </c:pt>
                <c:pt idx="5">
                  <c:v>7.4376520965448757E-3</c:v>
                </c:pt>
                <c:pt idx="6">
                  <c:v>0.37644483255665268</c:v>
                </c:pt>
                <c:pt idx="7">
                  <c:v>0.12314459765257364</c:v>
                </c:pt>
                <c:pt idx="8">
                  <c:v>25.707775291515361</c:v>
                </c:pt>
                <c:pt idx="9">
                  <c:v>15.990160557188576</c:v>
                </c:pt>
                <c:pt idx="10">
                  <c:v>12.290966520004323</c:v>
                </c:pt>
                <c:pt idx="11">
                  <c:v>2.1555279396121567</c:v>
                </c:pt>
                <c:pt idx="12">
                  <c:v>1.0148746452264694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187.668031348</c:v>
                </c:pt>
                <c:pt idx="1">
                  <c:v>229.96202238999999</c:v>
                </c:pt>
                <c:pt idx="2">
                  <c:v>205.997806862</c:v>
                </c:pt>
                <c:pt idx="3">
                  <c:v>320.93024189800002</c:v>
                </c:pt>
                <c:pt idx="4">
                  <c:v>320.51078940799999</c:v>
                </c:pt>
                <c:pt idx="5">
                  <c:v>401.29321896599998</c:v>
                </c:pt>
                <c:pt idx="6">
                  <c:v>330.80630354200002</c:v>
                </c:pt>
                <c:pt idx="7">
                  <c:v>153.67971897199999</c:v>
                </c:pt>
                <c:pt idx="8">
                  <c:v>238.70894406400001</c:v>
                </c:pt>
                <c:pt idx="9">
                  <c:v>105.70565758799999</c:v>
                </c:pt>
                <c:pt idx="10">
                  <c:v>115.790175512</c:v>
                </c:pt>
                <c:pt idx="11">
                  <c:v>159.086738274</c:v>
                </c:pt>
                <c:pt idx="12">
                  <c:v>118.23987045600001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4871.2094020000004</c:v>
                </c:pt>
                <c:pt idx="1">
                  <c:v>4528.3442359999999</c:v>
                </c:pt>
                <c:pt idx="2">
                  <c:v>4639.755709</c:v>
                </c:pt>
                <c:pt idx="3">
                  <c:v>5270.8108380000003</c:v>
                </c:pt>
                <c:pt idx="4">
                  <c:v>5199.7405159999998</c:v>
                </c:pt>
                <c:pt idx="5">
                  <c:v>4358.5151070000002</c:v>
                </c:pt>
                <c:pt idx="6">
                  <c:v>4833.1364599999997</c:v>
                </c:pt>
                <c:pt idx="7">
                  <c:v>4197.3329299999996</c:v>
                </c:pt>
                <c:pt idx="8">
                  <c:v>4373.2508939999998</c:v>
                </c:pt>
                <c:pt idx="9">
                  <c:v>3684.3838430000001</c:v>
                </c:pt>
                <c:pt idx="10">
                  <c:v>5119.3959809999997</c:v>
                </c:pt>
                <c:pt idx="11">
                  <c:v>5150.2640140000003</c:v>
                </c:pt>
                <c:pt idx="12">
                  <c:v>4890.5065249999998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282.55493999999999</c:v>
                </c:pt>
                <c:pt idx="1">
                  <c:v>235.11278300000001</c:v>
                </c:pt>
                <c:pt idx="2">
                  <c:v>336.18096000000003</c:v>
                </c:pt>
                <c:pt idx="3">
                  <c:v>222.17338899999999</c:v>
                </c:pt>
                <c:pt idx="4">
                  <c:v>558.54747499999996</c:v>
                </c:pt>
                <c:pt idx="5">
                  <c:v>177.073452</c:v>
                </c:pt>
                <c:pt idx="6">
                  <c:v>242.90618799999999</c:v>
                </c:pt>
                <c:pt idx="7">
                  <c:v>270.940157</c:v>
                </c:pt>
                <c:pt idx="8">
                  <c:v>333.46570800000001</c:v>
                </c:pt>
                <c:pt idx="9">
                  <c:v>431.99096700000001</c:v>
                </c:pt>
                <c:pt idx="10">
                  <c:v>302.41718100000003</c:v>
                </c:pt>
                <c:pt idx="11">
                  <c:v>320.34443199999998</c:v>
                </c:pt>
                <c:pt idx="12">
                  <c:v>477.93225000000001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4546.4757390000004</c:v>
                </c:pt>
                <c:pt idx="1">
                  <c:v>2791.0383710000001</c:v>
                </c:pt>
                <c:pt idx="2">
                  <c:v>3221.3084140000001</c:v>
                </c:pt>
                <c:pt idx="3">
                  <c:v>2564.8316060000002</c:v>
                </c:pt>
                <c:pt idx="4">
                  <c:v>2188.3044850000001</c:v>
                </c:pt>
                <c:pt idx="5">
                  <c:v>1086.83896</c:v>
                </c:pt>
                <c:pt idx="6">
                  <c:v>1649.419373</c:v>
                </c:pt>
                <c:pt idx="7">
                  <c:v>2865.8610100000001</c:v>
                </c:pt>
                <c:pt idx="8">
                  <c:v>2004.7769000000001</c:v>
                </c:pt>
                <c:pt idx="9">
                  <c:v>3136.247484</c:v>
                </c:pt>
                <c:pt idx="10">
                  <c:v>3024.8909399999998</c:v>
                </c:pt>
                <c:pt idx="11">
                  <c:v>3325.1988150000002</c:v>
                </c:pt>
                <c:pt idx="12">
                  <c:v>4296.3758950000001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2304.531516</c:v>
                </c:pt>
                <c:pt idx="1">
                  <c:v>2351.3923199999999</c:v>
                </c:pt>
                <c:pt idx="2">
                  <c:v>2386.903992</c:v>
                </c:pt>
                <c:pt idx="3">
                  <c:v>2339.665661</c:v>
                </c:pt>
                <c:pt idx="4">
                  <c:v>2400.83545</c:v>
                </c:pt>
                <c:pt idx="5">
                  <c:v>1836.423233</c:v>
                </c:pt>
                <c:pt idx="6">
                  <c:v>2247.9164740000001</c:v>
                </c:pt>
                <c:pt idx="7">
                  <c:v>2187.7371330000001</c:v>
                </c:pt>
                <c:pt idx="8">
                  <c:v>2200.0301570000001</c:v>
                </c:pt>
                <c:pt idx="9">
                  <c:v>2182.4178189999998</c:v>
                </c:pt>
                <c:pt idx="10">
                  <c:v>2239.4408100000001</c:v>
                </c:pt>
                <c:pt idx="11">
                  <c:v>2097.6266230000001</c:v>
                </c:pt>
                <c:pt idx="12">
                  <c:v>2154.5010320000001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173.89508950000001</c:v>
                </c:pt>
                <c:pt idx="1">
                  <c:v>156.50662750000001</c:v>
                </c:pt>
                <c:pt idx="2">
                  <c:v>180.74303649999999</c:v>
                </c:pt>
                <c:pt idx="3">
                  <c:v>180.31613300000001</c:v>
                </c:pt>
                <c:pt idx="4">
                  <c:v>175.14184499999999</c:v>
                </c:pt>
                <c:pt idx="5">
                  <c:v>161.44275200000001</c:v>
                </c:pt>
                <c:pt idx="6">
                  <c:v>171.48853299999999</c:v>
                </c:pt>
                <c:pt idx="7">
                  <c:v>167.72491149999999</c:v>
                </c:pt>
                <c:pt idx="8">
                  <c:v>170.74740800000001</c:v>
                </c:pt>
                <c:pt idx="9">
                  <c:v>182.66502349999999</c:v>
                </c:pt>
                <c:pt idx="10">
                  <c:v>193.13370449999999</c:v>
                </c:pt>
                <c:pt idx="11">
                  <c:v>198.40012300000001</c:v>
                </c:pt>
                <c:pt idx="12">
                  <c:v>167.38102850000001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106.179665</c:v>
                </c:pt>
                <c:pt idx="1">
                  <c:v>31.284413000000001</c:v>
                </c:pt>
                <c:pt idx="2">
                  <c:v>18.010330999999997</c:v>
                </c:pt>
                <c:pt idx="3">
                  <c:v>30.801796999999997</c:v>
                </c:pt>
                <c:pt idx="4">
                  <c:v>76.818566000000004</c:v>
                </c:pt>
                <c:pt idx="5">
                  <c:v>139.00359599999999</c:v>
                </c:pt>
                <c:pt idx="6">
                  <c:v>224.050218</c:v>
                </c:pt>
                <c:pt idx="7">
                  <c:v>131.33757900000001</c:v>
                </c:pt>
                <c:pt idx="8">
                  <c:v>116.048224</c:v>
                </c:pt>
                <c:pt idx="9">
                  <c:v>65.758053000000004</c:v>
                </c:pt>
                <c:pt idx="10">
                  <c:v>33.643822</c:v>
                </c:pt>
                <c:pt idx="11">
                  <c:v>46.565080000000002</c:v>
                </c:pt>
                <c:pt idx="12">
                  <c:v>152.68756200000001</c:v>
                </c:pt>
                <c:pt idx="13">
                  <c:v>117.796391</c:v>
                </c:pt>
                <c:pt idx="14">
                  <c:v>45.131961000000004</c:v>
                </c:pt>
                <c:pt idx="15">
                  <c:v>82.345393999999999</c:v>
                </c:pt>
                <c:pt idx="16">
                  <c:v>51.152388000000002</c:v>
                </c:pt>
                <c:pt idx="17">
                  <c:v>108.261092</c:v>
                </c:pt>
                <c:pt idx="18">
                  <c:v>91.992326000000006</c:v>
                </c:pt>
                <c:pt idx="19">
                  <c:v>192.81291200000001</c:v>
                </c:pt>
                <c:pt idx="20">
                  <c:v>218.81851699999999</c:v>
                </c:pt>
                <c:pt idx="21">
                  <c:v>154.24976500000002</c:v>
                </c:pt>
                <c:pt idx="22">
                  <c:v>208.741558</c:v>
                </c:pt>
                <c:pt idx="23">
                  <c:v>120.76299400000001</c:v>
                </c:pt>
                <c:pt idx="24">
                  <c:v>118.209121</c:v>
                </c:pt>
                <c:pt idx="25">
                  <c:v>100.700209</c:v>
                </c:pt>
                <c:pt idx="26">
                  <c:v>77.713066000000012</c:v>
                </c:pt>
                <c:pt idx="27">
                  <c:v>58.143307</c:v>
                </c:pt>
                <c:pt idx="28">
                  <c:v>121.052795</c:v>
                </c:pt>
                <c:pt idx="29">
                  <c:v>83.123577000000012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16.084817865236442</c:v>
                </c:pt>
                <c:pt idx="1">
                  <c:v>4.9045970513655233</c:v>
                </c:pt>
                <c:pt idx="2">
                  <c:v>2.7939182752712548</c:v>
                </c:pt>
                <c:pt idx="3">
                  <c:v>5.0623107929124833</c:v>
                </c:pt>
                <c:pt idx="4">
                  <c:v>12.761176228029921</c:v>
                </c:pt>
                <c:pt idx="5">
                  <c:v>20.611797514653574</c:v>
                </c:pt>
                <c:pt idx="6">
                  <c:v>30.676252945399035</c:v>
                </c:pt>
                <c:pt idx="7">
                  <c:v>18.855059493563857</c:v>
                </c:pt>
                <c:pt idx="8">
                  <c:v>16.785716332340481</c:v>
                </c:pt>
                <c:pt idx="9">
                  <c:v>9.8358184889172424</c:v>
                </c:pt>
                <c:pt idx="10">
                  <c:v>5.637192498514441</c:v>
                </c:pt>
                <c:pt idx="11">
                  <c:v>8.1163003588238993</c:v>
                </c:pt>
                <c:pt idx="12">
                  <c:v>22.95750336372188</c:v>
                </c:pt>
                <c:pt idx="13">
                  <c:v>16.825788053392181</c:v>
                </c:pt>
                <c:pt idx="14">
                  <c:v>6.3360883582419563</c:v>
                </c:pt>
                <c:pt idx="15">
                  <c:v>12.266304902003867</c:v>
                </c:pt>
                <c:pt idx="16">
                  <c:v>7.6864834048740702</c:v>
                </c:pt>
                <c:pt idx="17">
                  <c:v>17.887705832043348</c:v>
                </c:pt>
                <c:pt idx="18">
                  <c:v>15.851276423608034</c:v>
                </c:pt>
                <c:pt idx="19">
                  <c:v>28.415385818233368</c:v>
                </c:pt>
                <c:pt idx="20">
                  <c:v>32.637378358827704</c:v>
                </c:pt>
                <c:pt idx="21">
                  <c:v>24.339496819755144</c:v>
                </c:pt>
                <c:pt idx="22">
                  <c:v>32.192891488501168</c:v>
                </c:pt>
                <c:pt idx="23">
                  <c:v>19.142194436190167</c:v>
                </c:pt>
                <c:pt idx="24">
                  <c:v>19.918079755377306</c:v>
                </c:pt>
                <c:pt idx="25">
                  <c:v>17.159544446349535</c:v>
                </c:pt>
                <c:pt idx="26">
                  <c:v>12.119985895070181</c:v>
                </c:pt>
                <c:pt idx="27">
                  <c:v>9.1989058468471931</c:v>
                </c:pt>
                <c:pt idx="28">
                  <c:v>18.924673063849522</c:v>
                </c:pt>
                <c:pt idx="29">
                  <c:v>12.878265774568465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5">
                    <c:v>M</c:v>
                  </c:pt>
                  <c:pt idx="226">
                    <c:v>A</c:v>
                  </c:pt>
                  <c:pt idx="256">
                    <c:v>M</c:v>
                  </c:pt>
                  <c:pt idx="287">
                    <c:v>J</c:v>
                  </c:pt>
                  <c:pt idx="317">
                    <c:v>J</c:v>
                  </c:pt>
                  <c:pt idx="348">
                    <c:v>A</c:v>
                  </c:pt>
                  <c:pt idx="379">
                    <c:v>S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59.806457999999999</c:v>
                </c:pt>
                <c:pt idx="1">
                  <c:v>121.684246</c:v>
                </c:pt>
                <c:pt idx="2">
                  <c:v>71.609544999999997</c:v>
                </c:pt>
                <c:pt idx="3">
                  <c:v>95.208067</c:v>
                </c:pt>
                <c:pt idx="4">
                  <c:v>172.85350800000001</c:v>
                </c:pt>
                <c:pt idx="5">
                  <c:v>258.66792900000002</c:v>
                </c:pt>
                <c:pt idx="6">
                  <c:v>255.185046</c:v>
                </c:pt>
                <c:pt idx="7">
                  <c:v>165.18522200000001</c:v>
                </c:pt>
                <c:pt idx="8">
                  <c:v>76.414304000000001</c:v>
                </c:pt>
                <c:pt idx="9">
                  <c:v>97.360327999999996</c:v>
                </c:pt>
                <c:pt idx="10">
                  <c:v>84.595854000000003</c:v>
                </c:pt>
                <c:pt idx="11">
                  <c:v>95.812807000000006</c:v>
                </c:pt>
                <c:pt idx="12">
                  <c:v>133.250348</c:v>
                </c:pt>
                <c:pt idx="13">
                  <c:v>143.83927499999999</c:v>
                </c:pt>
                <c:pt idx="14">
                  <c:v>61.669970999999997</c:v>
                </c:pt>
                <c:pt idx="15">
                  <c:v>47.954214</c:v>
                </c:pt>
                <c:pt idx="16">
                  <c:v>131.59429</c:v>
                </c:pt>
                <c:pt idx="17">
                  <c:v>177.42695900000001</c:v>
                </c:pt>
                <c:pt idx="18">
                  <c:v>146.07268299999998</c:v>
                </c:pt>
                <c:pt idx="19">
                  <c:v>71.398513000000008</c:v>
                </c:pt>
                <c:pt idx="20">
                  <c:v>43.953246</c:v>
                </c:pt>
                <c:pt idx="21">
                  <c:v>42.289270999999999</c:v>
                </c:pt>
                <c:pt idx="22">
                  <c:v>118.394065</c:v>
                </c:pt>
                <c:pt idx="23">
                  <c:v>228.60527999999999</c:v>
                </c:pt>
                <c:pt idx="24">
                  <c:v>330.956053</c:v>
                </c:pt>
                <c:pt idx="25">
                  <c:v>271.05903899999998</c:v>
                </c:pt>
                <c:pt idx="26">
                  <c:v>242.12344899999999</c:v>
                </c:pt>
                <c:pt idx="27">
                  <c:v>136.61255</c:v>
                </c:pt>
                <c:pt idx="28">
                  <c:v>53.063534999999995</c:v>
                </c:pt>
                <c:pt idx="29">
                  <c:v>62.516165999999998</c:v>
                </c:pt>
                <c:pt idx="30">
                  <c:v>202.31051200000002</c:v>
                </c:pt>
                <c:pt idx="31">
                  <c:v>362.362075</c:v>
                </c:pt>
                <c:pt idx="32">
                  <c:v>313.480929</c:v>
                </c:pt>
                <c:pt idx="33">
                  <c:v>260.74477100000001</c:v>
                </c:pt>
                <c:pt idx="34">
                  <c:v>174.01282799999998</c:v>
                </c:pt>
                <c:pt idx="35">
                  <c:v>159.323689</c:v>
                </c:pt>
                <c:pt idx="36">
                  <c:v>106.33266</c:v>
                </c:pt>
                <c:pt idx="37">
                  <c:v>60.809464999999996</c:v>
                </c:pt>
                <c:pt idx="38">
                  <c:v>47.700455999999996</c:v>
                </c:pt>
                <c:pt idx="39">
                  <c:v>209.87503899999999</c:v>
                </c:pt>
                <c:pt idx="40">
                  <c:v>251.346497</c:v>
                </c:pt>
                <c:pt idx="41">
                  <c:v>193.37521899999999</c:v>
                </c:pt>
                <c:pt idx="42">
                  <c:v>162.52113700000001</c:v>
                </c:pt>
                <c:pt idx="43">
                  <c:v>204.77273799999998</c:v>
                </c:pt>
                <c:pt idx="44">
                  <c:v>182.103228</c:v>
                </c:pt>
                <c:pt idx="45">
                  <c:v>110.112658</c:v>
                </c:pt>
                <c:pt idx="46">
                  <c:v>50.603332999999999</c:v>
                </c:pt>
                <c:pt idx="47">
                  <c:v>61.568391000000005</c:v>
                </c:pt>
                <c:pt idx="48">
                  <c:v>286.007882</c:v>
                </c:pt>
                <c:pt idx="49">
                  <c:v>337.56826000000001</c:v>
                </c:pt>
                <c:pt idx="50">
                  <c:v>248.219323</c:v>
                </c:pt>
                <c:pt idx="51">
                  <c:v>139.688761</c:v>
                </c:pt>
                <c:pt idx="52">
                  <c:v>164.82696799999999</c:v>
                </c:pt>
                <c:pt idx="53">
                  <c:v>218.245396</c:v>
                </c:pt>
                <c:pt idx="54">
                  <c:v>293.95637599999998</c:v>
                </c:pt>
                <c:pt idx="55">
                  <c:v>273.29149999999998</c:v>
                </c:pt>
                <c:pt idx="56">
                  <c:v>242.68268899999998</c:v>
                </c:pt>
                <c:pt idx="57">
                  <c:v>117.49772900000001</c:v>
                </c:pt>
                <c:pt idx="58">
                  <c:v>58.620100999999998</c:v>
                </c:pt>
                <c:pt idx="59">
                  <c:v>87.59764100000001</c:v>
                </c:pt>
                <c:pt idx="60">
                  <c:v>123.97042500000001</c:v>
                </c:pt>
                <c:pt idx="61">
                  <c:v>125.23935300000001</c:v>
                </c:pt>
                <c:pt idx="62">
                  <c:v>85.920673000000008</c:v>
                </c:pt>
                <c:pt idx="63">
                  <c:v>180.38563200000002</c:v>
                </c:pt>
                <c:pt idx="64">
                  <c:v>217.22378400000002</c:v>
                </c:pt>
                <c:pt idx="65">
                  <c:v>307.200491</c:v>
                </c:pt>
                <c:pt idx="66">
                  <c:v>337.01701800000001</c:v>
                </c:pt>
                <c:pt idx="67">
                  <c:v>233.18067499999998</c:v>
                </c:pt>
                <c:pt idx="68">
                  <c:v>156.800454</c:v>
                </c:pt>
                <c:pt idx="69">
                  <c:v>60.645159</c:v>
                </c:pt>
                <c:pt idx="70">
                  <c:v>35.971010999999997</c:v>
                </c:pt>
                <c:pt idx="71">
                  <c:v>140.179191</c:v>
                </c:pt>
                <c:pt idx="72">
                  <c:v>97.544676999999993</c:v>
                </c:pt>
                <c:pt idx="73">
                  <c:v>79.493798999999996</c:v>
                </c:pt>
                <c:pt idx="74">
                  <c:v>134.23853400000002</c:v>
                </c:pt>
                <c:pt idx="75">
                  <c:v>221.19378499999999</c:v>
                </c:pt>
                <c:pt idx="76">
                  <c:v>105.925865</c:v>
                </c:pt>
                <c:pt idx="77">
                  <c:v>58.954802999999998</c:v>
                </c:pt>
                <c:pt idx="78">
                  <c:v>90.291903000000005</c:v>
                </c:pt>
                <c:pt idx="79">
                  <c:v>190.15540299999998</c:v>
                </c:pt>
                <c:pt idx="80">
                  <c:v>261.16264999999999</c:v>
                </c:pt>
                <c:pt idx="81">
                  <c:v>115.55608599999999</c:v>
                </c:pt>
                <c:pt idx="82">
                  <c:v>56.336182999999998</c:v>
                </c:pt>
                <c:pt idx="83">
                  <c:v>46.552162000000003</c:v>
                </c:pt>
                <c:pt idx="84">
                  <c:v>100.392511</c:v>
                </c:pt>
                <c:pt idx="85">
                  <c:v>121.453129</c:v>
                </c:pt>
                <c:pt idx="86">
                  <c:v>231.44024200000001</c:v>
                </c:pt>
                <c:pt idx="87">
                  <c:v>155.23078099999998</c:v>
                </c:pt>
                <c:pt idx="88">
                  <c:v>70.368157999999994</c:v>
                </c:pt>
                <c:pt idx="89">
                  <c:v>52.875363</c:v>
                </c:pt>
                <c:pt idx="90">
                  <c:v>86.030285000000006</c:v>
                </c:pt>
                <c:pt idx="91">
                  <c:v>177.10347199999998</c:v>
                </c:pt>
                <c:pt idx="92">
                  <c:v>270.73014599999999</c:v>
                </c:pt>
                <c:pt idx="93">
                  <c:v>227.78161499999999</c:v>
                </c:pt>
                <c:pt idx="94">
                  <c:v>309.48027399999995</c:v>
                </c:pt>
                <c:pt idx="95">
                  <c:v>284.83549800000003</c:v>
                </c:pt>
                <c:pt idx="96">
                  <c:v>319.57845900000001</c:v>
                </c:pt>
                <c:pt idx="97">
                  <c:v>384.69365600000003</c:v>
                </c:pt>
                <c:pt idx="98">
                  <c:v>345.50114200000002</c:v>
                </c:pt>
                <c:pt idx="99">
                  <c:v>276.98153400000001</c:v>
                </c:pt>
                <c:pt idx="100">
                  <c:v>363.91985299999999</c:v>
                </c:pt>
                <c:pt idx="101">
                  <c:v>382.781991</c:v>
                </c:pt>
                <c:pt idx="102">
                  <c:v>345.77599500000002</c:v>
                </c:pt>
                <c:pt idx="103">
                  <c:v>199.36503099999999</c:v>
                </c:pt>
                <c:pt idx="104">
                  <c:v>179.980153</c:v>
                </c:pt>
                <c:pt idx="105">
                  <c:v>190.475368</c:v>
                </c:pt>
                <c:pt idx="106">
                  <c:v>160.943062</c:v>
                </c:pt>
                <c:pt idx="107">
                  <c:v>61.788949000000002</c:v>
                </c:pt>
                <c:pt idx="108">
                  <c:v>123.33253199999999</c:v>
                </c:pt>
                <c:pt idx="109">
                  <c:v>135.376823</c:v>
                </c:pt>
                <c:pt idx="110">
                  <c:v>129.84132100000002</c:v>
                </c:pt>
                <c:pt idx="111">
                  <c:v>155.97537800000003</c:v>
                </c:pt>
                <c:pt idx="112">
                  <c:v>132.75632100000001</c:v>
                </c:pt>
                <c:pt idx="113">
                  <c:v>141.42384899999999</c:v>
                </c:pt>
                <c:pt idx="114">
                  <c:v>132.186509</c:v>
                </c:pt>
                <c:pt idx="115">
                  <c:v>287.57069200000001</c:v>
                </c:pt>
                <c:pt idx="116">
                  <c:v>230.41123400000004</c:v>
                </c:pt>
                <c:pt idx="117">
                  <c:v>264.35116399999998</c:v>
                </c:pt>
                <c:pt idx="118">
                  <c:v>391.05309600000004</c:v>
                </c:pt>
                <c:pt idx="119">
                  <c:v>310.73919900000004</c:v>
                </c:pt>
                <c:pt idx="120">
                  <c:v>235.84971599999997</c:v>
                </c:pt>
                <c:pt idx="121">
                  <c:v>233.24161699999999</c:v>
                </c:pt>
                <c:pt idx="122">
                  <c:v>236.95572000000001</c:v>
                </c:pt>
                <c:pt idx="123">
                  <c:v>270.51794599999999</c:v>
                </c:pt>
                <c:pt idx="124">
                  <c:v>222.26715399999998</c:v>
                </c:pt>
                <c:pt idx="125">
                  <c:v>127.92596</c:v>
                </c:pt>
                <c:pt idx="126">
                  <c:v>68.985138000000006</c:v>
                </c:pt>
                <c:pt idx="127">
                  <c:v>67.590433999999988</c:v>
                </c:pt>
                <c:pt idx="128">
                  <c:v>99.150615999999999</c:v>
                </c:pt>
                <c:pt idx="129">
                  <c:v>224.30962199999999</c:v>
                </c:pt>
                <c:pt idx="130">
                  <c:v>243.93426600000001</c:v>
                </c:pt>
                <c:pt idx="131">
                  <c:v>254.30915300000001</c:v>
                </c:pt>
                <c:pt idx="132">
                  <c:v>237.59064299999997</c:v>
                </c:pt>
                <c:pt idx="133">
                  <c:v>164.969347</c:v>
                </c:pt>
                <c:pt idx="134">
                  <c:v>170.91346600000003</c:v>
                </c:pt>
                <c:pt idx="135">
                  <c:v>209.658342</c:v>
                </c:pt>
                <c:pt idx="136">
                  <c:v>217.45799000000002</c:v>
                </c:pt>
                <c:pt idx="137">
                  <c:v>170.35610800000001</c:v>
                </c:pt>
                <c:pt idx="138">
                  <c:v>155.22302999999999</c:v>
                </c:pt>
                <c:pt idx="139">
                  <c:v>56.478533000000006</c:v>
                </c:pt>
                <c:pt idx="140">
                  <c:v>144.09847200000002</c:v>
                </c:pt>
                <c:pt idx="141">
                  <c:v>328.49757499999998</c:v>
                </c:pt>
                <c:pt idx="142">
                  <c:v>385.38604499999997</c:v>
                </c:pt>
                <c:pt idx="143">
                  <c:v>388.95974000000001</c:v>
                </c:pt>
                <c:pt idx="144">
                  <c:v>411.20967400000001</c:v>
                </c:pt>
                <c:pt idx="145">
                  <c:v>347.06242700000001</c:v>
                </c:pt>
                <c:pt idx="146">
                  <c:v>274.75030799999996</c:v>
                </c:pt>
                <c:pt idx="147">
                  <c:v>151.71598999999998</c:v>
                </c:pt>
                <c:pt idx="148">
                  <c:v>219.35983599999997</c:v>
                </c:pt>
                <c:pt idx="149">
                  <c:v>231.328667</c:v>
                </c:pt>
                <c:pt idx="150">
                  <c:v>257.01101800000004</c:v>
                </c:pt>
                <c:pt idx="151">
                  <c:v>379.30464200000006</c:v>
                </c:pt>
                <c:pt idx="152">
                  <c:v>317.81020699999999</c:v>
                </c:pt>
                <c:pt idx="153">
                  <c:v>354.63200399999994</c:v>
                </c:pt>
                <c:pt idx="154">
                  <c:v>298.34410600000001</c:v>
                </c:pt>
                <c:pt idx="155">
                  <c:v>248.37466599999999</c:v>
                </c:pt>
                <c:pt idx="156">
                  <c:v>108.02166700000001</c:v>
                </c:pt>
                <c:pt idx="157">
                  <c:v>168.37187700000001</c:v>
                </c:pt>
                <c:pt idx="158">
                  <c:v>198.89757999999998</c:v>
                </c:pt>
                <c:pt idx="159">
                  <c:v>260.927798</c:v>
                </c:pt>
                <c:pt idx="160">
                  <c:v>341.245745</c:v>
                </c:pt>
                <c:pt idx="161">
                  <c:v>335.91172600000004</c:v>
                </c:pt>
                <c:pt idx="162">
                  <c:v>286.04804600000006</c:v>
                </c:pt>
                <c:pt idx="163">
                  <c:v>194.20349999999999</c:v>
                </c:pt>
                <c:pt idx="164">
                  <c:v>270.06066399999997</c:v>
                </c:pt>
                <c:pt idx="165">
                  <c:v>188.21401900000001</c:v>
                </c:pt>
                <c:pt idx="166">
                  <c:v>166.08467199999998</c:v>
                </c:pt>
                <c:pt idx="167">
                  <c:v>212.85759200000001</c:v>
                </c:pt>
                <c:pt idx="168">
                  <c:v>193.85834</c:v>
                </c:pt>
                <c:pt idx="169">
                  <c:v>150.38908499999999</c:v>
                </c:pt>
                <c:pt idx="170">
                  <c:v>206.50008499999998</c:v>
                </c:pt>
                <c:pt idx="171">
                  <c:v>231.87363300000001</c:v>
                </c:pt>
                <c:pt idx="172">
                  <c:v>278.98808100000002</c:v>
                </c:pt>
                <c:pt idx="173">
                  <c:v>240.68293</c:v>
                </c:pt>
                <c:pt idx="174">
                  <c:v>175.44514599999999</c:v>
                </c:pt>
                <c:pt idx="175">
                  <c:v>163.82093499999999</c:v>
                </c:pt>
                <c:pt idx="176">
                  <c:v>258.985274</c:v>
                </c:pt>
                <c:pt idx="177">
                  <c:v>138.19765100000001</c:v>
                </c:pt>
                <c:pt idx="178">
                  <c:v>142.21125700000002</c:v>
                </c:pt>
                <c:pt idx="179">
                  <c:v>208.04583</c:v>
                </c:pt>
                <c:pt idx="180">
                  <c:v>219.680318</c:v>
                </c:pt>
                <c:pt idx="181">
                  <c:v>217.03989300000001</c:v>
                </c:pt>
                <c:pt idx="182">
                  <c:v>116.65366299999999</c:v>
                </c:pt>
                <c:pt idx="183">
                  <c:v>59.233159000000001</c:v>
                </c:pt>
                <c:pt idx="184">
                  <c:v>85.570998000000003</c:v>
                </c:pt>
                <c:pt idx="185">
                  <c:v>146.74572899999998</c:v>
                </c:pt>
                <c:pt idx="186">
                  <c:v>136.76976400000001</c:v>
                </c:pt>
                <c:pt idx="187">
                  <c:v>69.506714000000002</c:v>
                </c:pt>
                <c:pt idx="188">
                  <c:v>162.11311200000003</c:v>
                </c:pt>
                <c:pt idx="189">
                  <c:v>139.32670400000001</c:v>
                </c:pt>
                <c:pt idx="190">
                  <c:v>117.505933</c:v>
                </c:pt>
                <c:pt idx="191">
                  <c:v>214.55202099999997</c:v>
                </c:pt>
                <c:pt idx="192">
                  <c:v>177.23169000000001</c:v>
                </c:pt>
                <c:pt idx="193">
                  <c:v>142.902986</c:v>
                </c:pt>
                <c:pt idx="194">
                  <c:v>198.94388500000002</c:v>
                </c:pt>
                <c:pt idx="195">
                  <c:v>229.69514800000002</c:v>
                </c:pt>
                <c:pt idx="196">
                  <c:v>317.664782</c:v>
                </c:pt>
                <c:pt idx="197">
                  <c:v>352.48069299999997</c:v>
                </c:pt>
                <c:pt idx="198">
                  <c:v>308.59627799999998</c:v>
                </c:pt>
                <c:pt idx="199">
                  <c:v>306.92872500000004</c:v>
                </c:pt>
                <c:pt idx="200">
                  <c:v>356.70293400000003</c:v>
                </c:pt>
                <c:pt idx="201">
                  <c:v>299.76420299999995</c:v>
                </c:pt>
                <c:pt idx="202">
                  <c:v>240.35423900000001</c:v>
                </c:pt>
                <c:pt idx="203">
                  <c:v>68.061356000000004</c:v>
                </c:pt>
                <c:pt idx="204">
                  <c:v>23.369688999999997</c:v>
                </c:pt>
                <c:pt idx="205">
                  <c:v>46.521746999999998</c:v>
                </c:pt>
                <c:pt idx="206">
                  <c:v>101.47027600000001</c:v>
                </c:pt>
                <c:pt idx="207">
                  <c:v>138.59802299999998</c:v>
                </c:pt>
                <c:pt idx="208">
                  <c:v>125.51275699999999</c:v>
                </c:pt>
                <c:pt idx="209">
                  <c:v>224.63117300000002</c:v>
                </c:pt>
                <c:pt idx="210">
                  <c:v>198.45922300000001</c:v>
                </c:pt>
                <c:pt idx="211">
                  <c:v>205.817869</c:v>
                </c:pt>
                <c:pt idx="212">
                  <c:v>182.23051199999998</c:v>
                </c:pt>
                <c:pt idx="213">
                  <c:v>76.23691199999999</c:v>
                </c:pt>
                <c:pt idx="214">
                  <c:v>225.276611</c:v>
                </c:pt>
                <c:pt idx="215">
                  <c:v>191.12999299999998</c:v>
                </c:pt>
                <c:pt idx="216">
                  <c:v>111.209886</c:v>
                </c:pt>
                <c:pt idx="217">
                  <c:v>259.31245100000001</c:v>
                </c:pt>
                <c:pt idx="218">
                  <c:v>219.571595</c:v>
                </c:pt>
                <c:pt idx="219">
                  <c:v>143.09699700000002</c:v>
                </c:pt>
                <c:pt idx="220">
                  <c:v>125.65317399999999</c:v>
                </c:pt>
                <c:pt idx="221">
                  <c:v>84.318607</c:v>
                </c:pt>
                <c:pt idx="222">
                  <c:v>207.28801800000002</c:v>
                </c:pt>
                <c:pt idx="223">
                  <c:v>186.45330900000002</c:v>
                </c:pt>
                <c:pt idx="224">
                  <c:v>78.330196000000001</c:v>
                </c:pt>
                <c:pt idx="225">
                  <c:v>117.66481300000001</c:v>
                </c:pt>
                <c:pt idx="226">
                  <c:v>192.740298</c:v>
                </c:pt>
                <c:pt idx="227">
                  <c:v>243.010312</c:v>
                </c:pt>
                <c:pt idx="228">
                  <c:v>227.679554</c:v>
                </c:pt>
                <c:pt idx="229">
                  <c:v>122.07006099999998</c:v>
                </c:pt>
                <c:pt idx="230">
                  <c:v>63.650377999999996</c:v>
                </c:pt>
                <c:pt idx="231">
                  <c:v>47.180749000000006</c:v>
                </c:pt>
                <c:pt idx="232">
                  <c:v>40.098511000000002</c:v>
                </c:pt>
                <c:pt idx="233">
                  <c:v>63.853593000000004</c:v>
                </c:pt>
                <c:pt idx="234">
                  <c:v>189.36352199999999</c:v>
                </c:pt>
                <c:pt idx="235">
                  <c:v>221.39352</c:v>
                </c:pt>
                <c:pt idx="236">
                  <c:v>138.57889900000001</c:v>
                </c:pt>
                <c:pt idx="237">
                  <c:v>52.446289999999998</c:v>
                </c:pt>
                <c:pt idx="238">
                  <c:v>55.059881000000004</c:v>
                </c:pt>
                <c:pt idx="239">
                  <c:v>64.012494000000004</c:v>
                </c:pt>
                <c:pt idx="240">
                  <c:v>87.578181000000001</c:v>
                </c:pt>
                <c:pt idx="241">
                  <c:v>73.165562000000008</c:v>
                </c:pt>
                <c:pt idx="242">
                  <c:v>168.07851199999999</c:v>
                </c:pt>
                <c:pt idx="243">
                  <c:v>90.774007999999995</c:v>
                </c:pt>
                <c:pt idx="244">
                  <c:v>108.63253899999999</c:v>
                </c:pt>
                <c:pt idx="245">
                  <c:v>61.361021000000001</c:v>
                </c:pt>
                <c:pt idx="246">
                  <c:v>77.206767999999997</c:v>
                </c:pt>
                <c:pt idx="247">
                  <c:v>120.716683</c:v>
                </c:pt>
                <c:pt idx="248">
                  <c:v>91.633792</c:v>
                </c:pt>
                <c:pt idx="249">
                  <c:v>192.916639</c:v>
                </c:pt>
                <c:pt idx="250">
                  <c:v>250.59213399999999</c:v>
                </c:pt>
                <c:pt idx="251">
                  <c:v>183.542215</c:v>
                </c:pt>
                <c:pt idx="252">
                  <c:v>278.17083700000001</c:v>
                </c:pt>
                <c:pt idx="253">
                  <c:v>291.86536100000001</c:v>
                </c:pt>
                <c:pt idx="254">
                  <c:v>229.81539999999998</c:v>
                </c:pt>
                <c:pt idx="255">
                  <c:v>204.92117999999999</c:v>
                </c:pt>
                <c:pt idx="256">
                  <c:v>269.40564499999999</c:v>
                </c:pt>
                <c:pt idx="257">
                  <c:v>292.65967599999999</c:v>
                </c:pt>
                <c:pt idx="258">
                  <c:v>106.189633</c:v>
                </c:pt>
                <c:pt idx="259">
                  <c:v>186.68419499999999</c:v>
                </c:pt>
                <c:pt idx="260">
                  <c:v>149.78434799999999</c:v>
                </c:pt>
                <c:pt idx="261">
                  <c:v>87.60540300000001</c:v>
                </c:pt>
                <c:pt idx="262">
                  <c:v>147.67714699999999</c:v>
                </c:pt>
                <c:pt idx="263">
                  <c:v>119.54665200000001</c:v>
                </c:pt>
                <c:pt idx="264">
                  <c:v>120.54001700000001</c:v>
                </c:pt>
                <c:pt idx="265">
                  <c:v>174.245521</c:v>
                </c:pt>
                <c:pt idx="266">
                  <c:v>133.72583799999998</c:v>
                </c:pt>
                <c:pt idx="267">
                  <c:v>88.334888000000007</c:v>
                </c:pt>
                <c:pt idx="268">
                  <c:v>52.270097</c:v>
                </c:pt>
                <c:pt idx="269">
                  <c:v>48.856767999999995</c:v>
                </c:pt>
                <c:pt idx="270">
                  <c:v>81.929534000000004</c:v>
                </c:pt>
                <c:pt idx="271">
                  <c:v>117.86805100000001</c:v>
                </c:pt>
                <c:pt idx="272">
                  <c:v>107.58759400000001</c:v>
                </c:pt>
                <c:pt idx="273">
                  <c:v>104.232285</c:v>
                </c:pt>
                <c:pt idx="274">
                  <c:v>60.775233</c:v>
                </c:pt>
                <c:pt idx="275">
                  <c:v>124.32971499999999</c:v>
                </c:pt>
                <c:pt idx="276">
                  <c:v>102.69985699999999</c:v>
                </c:pt>
                <c:pt idx="277">
                  <c:v>87.217461999999998</c:v>
                </c:pt>
                <c:pt idx="278">
                  <c:v>124.337554</c:v>
                </c:pt>
                <c:pt idx="279">
                  <c:v>101.421727</c:v>
                </c:pt>
                <c:pt idx="280">
                  <c:v>72.168437000000011</c:v>
                </c:pt>
                <c:pt idx="281">
                  <c:v>96.902244999999994</c:v>
                </c:pt>
                <c:pt idx="282">
                  <c:v>108.52340700000001</c:v>
                </c:pt>
                <c:pt idx="283">
                  <c:v>200.620902</c:v>
                </c:pt>
                <c:pt idx="284">
                  <c:v>168.70168799999999</c:v>
                </c:pt>
                <c:pt idx="285">
                  <c:v>97.78537</c:v>
                </c:pt>
                <c:pt idx="286">
                  <c:v>73.387034</c:v>
                </c:pt>
                <c:pt idx="287">
                  <c:v>113.433581</c:v>
                </c:pt>
                <c:pt idx="288">
                  <c:v>105.03147199999999</c:v>
                </c:pt>
                <c:pt idx="289">
                  <c:v>96.274867</c:v>
                </c:pt>
                <c:pt idx="290">
                  <c:v>119.659942</c:v>
                </c:pt>
                <c:pt idx="291">
                  <c:v>91.504491999999999</c:v>
                </c:pt>
                <c:pt idx="292">
                  <c:v>246.609386</c:v>
                </c:pt>
                <c:pt idx="293">
                  <c:v>176.26033799999999</c:v>
                </c:pt>
                <c:pt idx="294">
                  <c:v>118.332554</c:v>
                </c:pt>
                <c:pt idx="295">
                  <c:v>145.47273999999999</c:v>
                </c:pt>
                <c:pt idx="296">
                  <c:v>137.651062</c:v>
                </c:pt>
                <c:pt idx="297">
                  <c:v>113.47672999999999</c:v>
                </c:pt>
                <c:pt idx="298">
                  <c:v>125.726333</c:v>
                </c:pt>
                <c:pt idx="299">
                  <c:v>158.09772700000002</c:v>
                </c:pt>
                <c:pt idx="300">
                  <c:v>127.65046000000001</c:v>
                </c:pt>
                <c:pt idx="301">
                  <c:v>71.413732999999993</c:v>
                </c:pt>
                <c:pt idx="302">
                  <c:v>68.069317999999996</c:v>
                </c:pt>
                <c:pt idx="303">
                  <c:v>53.796114000000003</c:v>
                </c:pt>
                <c:pt idx="304">
                  <c:v>81.503187999999994</c:v>
                </c:pt>
                <c:pt idx="305">
                  <c:v>108.56992200000001</c:v>
                </c:pt>
                <c:pt idx="306">
                  <c:v>175.18055699999999</c:v>
                </c:pt>
                <c:pt idx="307">
                  <c:v>185.55289999999999</c:v>
                </c:pt>
                <c:pt idx="308">
                  <c:v>170.10090700000001</c:v>
                </c:pt>
                <c:pt idx="309">
                  <c:v>99.963069000000004</c:v>
                </c:pt>
                <c:pt idx="310">
                  <c:v>118.72583</c:v>
                </c:pt>
                <c:pt idx="311">
                  <c:v>106.795545</c:v>
                </c:pt>
                <c:pt idx="312">
                  <c:v>101.93258</c:v>
                </c:pt>
                <c:pt idx="313">
                  <c:v>129.884085</c:v>
                </c:pt>
                <c:pt idx="314">
                  <c:v>268.860343</c:v>
                </c:pt>
                <c:pt idx="315">
                  <c:v>180.855908</c:v>
                </c:pt>
                <c:pt idx="316">
                  <c:v>192.08663999999999</c:v>
                </c:pt>
                <c:pt idx="317">
                  <c:v>191.57196400000001</c:v>
                </c:pt>
                <c:pt idx="318">
                  <c:v>169.40406099999998</c:v>
                </c:pt>
                <c:pt idx="319">
                  <c:v>110.358834</c:v>
                </c:pt>
                <c:pt idx="320">
                  <c:v>164.72331399999999</c:v>
                </c:pt>
                <c:pt idx="321">
                  <c:v>90.256762000000009</c:v>
                </c:pt>
                <c:pt idx="322">
                  <c:v>60.920558</c:v>
                </c:pt>
                <c:pt idx="323">
                  <c:v>54.755589000000001</c:v>
                </c:pt>
                <c:pt idx="324">
                  <c:v>107.60026499999999</c:v>
                </c:pt>
                <c:pt idx="325">
                  <c:v>186.93583900000002</c:v>
                </c:pt>
                <c:pt idx="326">
                  <c:v>132.24556799999999</c:v>
                </c:pt>
                <c:pt idx="327">
                  <c:v>99.352208000000005</c:v>
                </c:pt>
                <c:pt idx="328">
                  <c:v>96.195096000000007</c:v>
                </c:pt>
                <c:pt idx="329">
                  <c:v>97.58481900000001</c:v>
                </c:pt>
                <c:pt idx="330">
                  <c:v>141.26926900000001</c:v>
                </c:pt>
                <c:pt idx="331">
                  <c:v>126.49508</c:v>
                </c:pt>
                <c:pt idx="332">
                  <c:v>139.68964300000002</c:v>
                </c:pt>
                <c:pt idx="333">
                  <c:v>231.23278699999997</c:v>
                </c:pt>
                <c:pt idx="334">
                  <c:v>105.186589</c:v>
                </c:pt>
                <c:pt idx="335">
                  <c:v>65.453987999999995</c:v>
                </c:pt>
                <c:pt idx="336">
                  <c:v>81.198025000000015</c:v>
                </c:pt>
                <c:pt idx="337">
                  <c:v>117.955766</c:v>
                </c:pt>
                <c:pt idx="338">
                  <c:v>126.17005400000001</c:v>
                </c:pt>
                <c:pt idx="339">
                  <c:v>136.28684099999998</c:v>
                </c:pt>
                <c:pt idx="340">
                  <c:v>161.55767399999999</c:v>
                </c:pt>
                <c:pt idx="341">
                  <c:v>90.908063999999996</c:v>
                </c:pt>
                <c:pt idx="342">
                  <c:v>83.165186000000006</c:v>
                </c:pt>
                <c:pt idx="343">
                  <c:v>63.679190999999996</c:v>
                </c:pt>
                <c:pt idx="344">
                  <c:v>70.816256999999993</c:v>
                </c:pt>
                <c:pt idx="345">
                  <c:v>105.14160200000001</c:v>
                </c:pt>
                <c:pt idx="346">
                  <c:v>77.889082000000002</c:v>
                </c:pt>
                <c:pt idx="347">
                  <c:v>88.148835999999989</c:v>
                </c:pt>
                <c:pt idx="348">
                  <c:v>135.29880499999999</c:v>
                </c:pt>
                <c:pt idx="349">
                  <c:v>245.534614</c:v>
                </c:pt>
                <c:pt idx="350">
                  <c:v>263.96527000000003</c:v>
                </c:pt>
                <c:pt idx="351">
                  <c:v>194.14503900000003</c:v>
                </c:pt>
                <c:pt idx="352">
                  <c:v>100.68488499999999</c:v>
                </c:pt>
                <c:pt idx="353">
                  <c:v>70.082198000000005</c:v>
                </c:pt>
                <c:pt idx="354">
                  <c:v>75.086461</c:v>
                </c:pt>
                <c:pt idx="355">
                  <c:v>136.116916</c:v>
                </c:pt>
                <c:pt idx="356">
                  <c:v>225.83128399999998</c:v>
                </c:pt>
                <c:pt idx="357">
                  <c:v>200.03100800000001</c:v>
                </c:pt>
                <c:pt idx="358">
                  <c:v>84.560846999999995</c:v>
                </c:pt>
                <c:pt idx="359">
                  <c:v>43.339232000000003</c:v>
                </c:pt>
                <c:pt idx="360">
                  <c:v>80.723176000000009</c:v>
                </c:pt>
                <c:pt idx="361">
                  <c:v>164.13817799999998</c:v>
                </c:pt>
                <c:pt idx="362">
                  <c:v>107.65864099999999</c:v>
                </c:pt>
                <c:pt idx="363">
                  <c:v>70.593452999999997</c:v>
                </c:pt>
                <c:pt idx="364">
                  <c:v>79.501626999999999</c:v>
                </c:pt>
                <c:pt idx="365">
                  <c:v>99.476600000000005</c:v>
                </c:pt>
                <c:pt idx="366">
                  <c:v>37.8217</c:v>
                </c:pt>
                <c:pt idx="367">
                  <c:v>22.157499999999999</c:v>
                </c:pt>
                <c:pt idx="368">
                  <c:v>30.341200000000001</c:v>
                </c:pt>
                <c:pt idx="369">
                  <c:v>74.007100000000008</c:v>
                </c:pt>
                <c:pt idx="370">
                  <c:v>135.58270000000002</c:v>
                </c:pt>
                <c:pt idx="371">
                  <c:v>210.7637</c:v>
                </c:pt>
                <c:pt idx="372">
                  <c:v>128.7619</c:v>
                </c:pt>
                <c:pt idx="373">
                  <c:v>114.539</c:v>
                </c:pt>
                <c:pt idx="374">
                  <c:v>68.691299999999998</c:v>
                </c:pt>
                <c:pt idx="375">
                  <c:v>35.168300000000002</c:v>
                </c:pt>
                <c:pt idx="376">
                  <c:v>46.061800000000005</c:v>
                </c:pt>
                <c:pt idx="377">
                  <c:v>147.72120000000001</c:v>
                </c:pt>
                <c:pt idx="378">
                  <c:v>116.2063</c:v>
                </c:pt>
                <c:pt idx="379">
                  <c:v>46.036099999999998</c:v>
                </c:pt>
                <c:pt idx="380">
                  <c:v>76.563600000000008</c:v>
                </c:pt>
                <c:pt idx="381">
                  <c:v>49.178800000000003</c:v>
                </c:pt>
                <c:pt idx="382">
                  <c:v>102.5</c:v>
                </c:pt>
                <c:pt idx="383">
                  <c:v>92.060399999999987</c:v>
                </c:pt>
                <c:pt idx="384">
                  <c:v>188.18230000000003</c:v>
                </c:pt>
                <c:pt idx="385">
                  <c:v>217.73919999999998</c:v>
                </c:pt>
                <c:pt idx="386">
                  <c:v>147.96889999999999</c:v>
                </c:pt>
                <c:pt idx="387">
                  <c:v>202.48050000000001</c:v>
                </c:pt>
                <c:pt idx="388">
                  <c:v>120.34780000000001</c:v>
                </c:pt>
                <c:pt idx="389">
                  <c:v>116.51889999999999</c:v>
                </c:pt>
                <c:pt idx="390">
                  <c:v>99.964799999999997</c:v>
                </c:pt>
                <c:pt idx="391">
                  <c:v>79.377100000000013</c:v>
                </c:pt>
                <c:pt idx="392">
                  <c:v>58.450699999999998</c:v>
                </c:pt>
                <c:pt idx="393">
                  <c:v>124.86559999999999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5">
                    <c:v>M</c:v>
                  </c:pt>
                  <c:pt idx="226">
                    <c:v>A</c:v>
                  </c:pt>
                  <c:pt idx="256">
                    <c:v>M</c:v>
                  </c:pt>
                  <c:pt idx="287">
                    <c:v>J</c:v>
                  </c:pt>
                  <c:pt idx="317">
                    <c:v>J</c:v>
                  </c:pt>
                  <c:pt idx="348">
                    <c:v>A</c:v>
                  </c:pt>
                  <c:pt idx="379">
                    <c:v>S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107.08526806498774</c:v>
                </c:pt>
                <c:pt idx="1">
                  <c:v>107.08526806498774</c:v>
                </c:pt>
                <c:pt idx="2">
                  <c:v>107.08526806498774</c:v>
                </c:pt>
                <c:pt idx="3">
                  <c:v>107.08526806498774</c:v>
                </c:pt>
                <c:pt idx="4">
                  <c:v>107.08526806498774</c:v>
                </c:pt>
                <c:pt idx="5">
                  <c:v>107.08526806498774</c:v>
                </c:pt>
                <c:pt idx="6">
                  <c:v>107.08526806498774</c:v>
                </c:pt>
                <c:pt idx="7">
                  <c:v>107.08526806498774</c:v>
                </c:pt>
                <c:pt idx="8">
                  <c:v>107.08526806498774</c:v>
                </c:pt>
                <c:pt idx="9">
                  <c:v>107.08526806498774</c:v>
                </c:pt>
                <c:pt idx="10">
                  <c:v>107.08526806498774</c:v>
                </c:pt>
                <c:pt idx="11">
                  <c:v>107.08526806498774</c:v>
                </c:pt>
                <c:pt idx="12">
                  <c:v>107.08526806498774</c:v>
                </c:pt>
                <c:pt idx="13">
                  <c:v>107.08526806498774</c:v>
                </c:pt>
                <c:pt idx="14">
                  <c:v>107.08526806498774</c:v>
                </c:pt>
                <c:pt idx="15">
                  <c:v>107.08526806498774</c:v>
                </c:pt>
                <c:pt idx="16">
                  <c:v>107.08526806498774</c:v>
                </c:pt>
                <c:pt idx="17">
                  <c:v>107.08526806498774</c:v>
                </c:pt>
                <c:pt idx="18">
                  <c:v>107.08526806498774</c:v>
                </c:pt>
                <c:pt idx="19">
                  <c:v>107.08526806498774</c:v>
                </c:pt>
                <c:pt idx="20">
                  <c:v>107.08526806498774</c:v>
                </c:pt>
                <c:pt idx="21">
                  <c:v>107.08526806498774</c:v>
                </c:pt>
                <c:pt idx="22">
                  <c:v>107.08526806498774</c:v>
                </c:pt>
                <c:pt idx="23">
                  <c:v>107.08526806498774</c:v>
                </c:pt>
                <c:pt idx="24">
                  <c:v>107.08526806498774</c:v>
                </c:pt>
                <c:pt idx="25">
                  <c:v>107.08526806498774</c:v>
                </c:pt>
                <c:pt idx="26">
                  <c:v>107.08526806498774</c:v>
                </c:pt>
                <c:pt idx="27">
                  <c:v>107.08526806498774</c:v>
                </c:pt>
                <c:pt idx="28">
                  <c:v>107.08526806498774</c:v>
                </c:pt>
                <c:pt idx="29">
                  <c:v>107.08526806498774</c:v>
                </c:pt>
                <c:pt idx="30">
                  <c:v>127.06121952683949</c:v>
                </c:pt>
                <c:pt idx="31">
                  <c:v>127.06121952683949</c:v>
                </c:pt>
                <c:pt idx="32">
                  <c:v>127.06121952683949</c:v>
                </c:pt>
                <c:pt idx="33">
                  <c:v>127.06121952683949</c:v>
                </c:pt>
                <c:pt idx="34">
                  <c:v>127.06121952683949</c:v>
                </c:pt>
                <c:pt idx="35">
                  <c:v>127.06121952683949</c:v>
                </c:pt>
                <c:pt idx="36">
                  <c:v>127.06121952683949</c:v>
                </c:pt>
                <c:pt idx="37">
                  <c:v>127.06121952683949</c:v>
                </c:pt>
                <c:pt idx="38">
                  <c:v>127.06121952683949</c:v>
                </c:pt>
                <c:pt idx="39">
                  <c:v>127.06121952683949</c:v>
                </c:pt>
                <c:pt idx="40">
                  <c:v>127.06121952683949</c:v>
                </c:pt>
                <c:pt idx="41">
                  <c:v>127.06121952683949</c:v>
                </c:pt>
                <c:pt idx="42">
                  <c:v>127.06121952683949</c:v>
                </c:pt>
                <c:pt idx="43">
                  <c:v>127.06121952683949</c:v>
                </c:pt>
                <c:pt idx="44">
                  <c:v>127.06121952683949</c:v>
                </c:pt>
                <c:pt idx="45">
                  <c:v>127.06121952683949</c:v>
                </c:pt>
                <c:pt idx="46">
                  <c:v>127.06121952683949</c:v>
                </c:pt>
                <c:pt idx="47">
                  <c:v>127.06121952683949</c:v>
                </c:pt>
                <c:pt idx="48">
                  <c:v>127.06121952683949</c:v>
                </c:pt>
                <c:pt idx="49">
                  <c:v>127.06121952683949</c:v>
                </c:pt>
                <c:pt idx="50">
                  <c:v>127.06121952683949</c:v>
                </c:pt>
                <c:pt idx="51">
                  <c:v>127.06121952683949</c:v>
                </c:pt>
                <c:pt idx="52">
                  <c:v>127.06121952683949</c:v>
                </c:pt>
                <c:pt idx="53">
                  <c:v>127.06121952683949</c:v>
                </c:pt>
                <c:pt idx="54">
                  <c:v>127.06121952683949</c:v>
                </c:pt>
                <c:pt idx="55">
                  <c:v>127.06121952683949</c:v>
                </c:pt>
                <c:pt idx="56">
                  <c:v>127.06121952683949</c:v>
                </c:pt>
                <c:pt idx="57">
                  <c:v>127.06121952683949</c:v>
                </c:pt>
                <c:pt idx="58">
                  <c:v>127.06121952683949</c:v>
                </c:pt>
                <c:pt idx="59">
                  <c:v>127.06121952683949</c:v>
                </c:pt>
                <c:pt idx="60">
                  <c:v>127.06121952683949</c:v>
                </c:pt>
                <c:pt idx="61">
                  <c:v>176.69829634449792</c:v>
                </c:pt>
                <c:pt idx="62">
                  <c:v>176.69829634449792</c:v>
                </c:pt>
                <c:pt idx="63">
                  <c:v>176.69829634449792</c:v>
                </c:pt>
                <c:pt idx="64">
                  <c:v>176.69829634449792</c:v>
                </c:pt>
                <c:pt idx="65">
                  <c:v>176.69829634449792</c:v>
                </c:pt>
                <c:pt idx="66">
                  <c:v>176.69829634449792</c:v>
                </c:pt>
                <c:pt idx="67">
                  <c:v>176.69829634449792</c:v>
                </c:pt>
                <c:pt idx="68">
                  <c:v>176.69829634449792</c:v>
                </c:pt>
                <c:pt idx="69">
                  <c:v>176.69829634449792</c:v>
                </c:pt>
                <c:pt idx="70">
                  <c:v>176.69829634449792</c:v>
                </c:pt>
                <c:pt idx="71">
                  <c:v>176.69829634449792</c:v>
                </c:pt>
                <c:pt idx="72">
                  <c:v>176.69829634449792</c:v>
                </c:pt>
                <c:pt idx="73">
                  <c:v>176.69829634449792</c:v>
                </c:pt>
                <c:pt idx="74">
                  <c:v>176.69829634449792</c:v>
                </c:pt>
                <c:pt idx="75">
                  <c:v>176.69829634449792</c:v>
                </c:pt>
                <c:pt idx="76">
                  <c:v>176.69829634449792</c:v>
                </c:pt>
                <c:pt idx="77">
                  <c:v>176.69829634449792</c:v>
                </c:pt>
                <c:pt idx="78">
                  <c:v>176.69829634449792</c:v>
                </c:pt>
                <c:pt idx="79">
                  <c:v>176.69829634449792</c:v>
                </c:pt>
                <c:pt idx="80">
                  <c:v>176.69829634449792</c:v>
                </c:pt>
                <c:pt idx="81">
                  <c:v>176.69829634449792</c:v>
                </c:pt>
                <c:pt idx="82">
                  <c:v>176.69829634449792</c:v>
                </c:pt>
                <c:pt idx="83">
                  <c:v>176.69829634449792</c:v>
                </c:pt>
                <c:pt idx="84">
                  <c:v>176.69829634449792</c:v>
                </c:pt>
                <c:pt idx="85">
                  <c:v>176.69829634449792</c:v>
                </c:pt>
                <c:pt idx="86">
                  <c:v>176.69829634449792</c:v>
                </c:pt>
                <c:pt idx="87">
                  <c:v>176.69829634449792</c:v>
                </c:pt>
                <c:pt idx="88">
                  <c:v>176.69829634449792</c:v>
                </c:pt>
                <c:pt idx="89">
                  <c:v>176.69829634449792</c:v>
                </c:pt>
                <c:pt idx="90">
                  <c:v>176.69829634449792</c:v>
                </c:pt>
                <c:pt idx="91">
                  <c:v>165.61562702866021</c:v>
                </c:pt>
                <c:pt idx="92">
                  <c:v>165.61562702866021</c:v>
                </c:pt>
                <c:pt idx="93">
                  <c:v>165.61562702866021</c:v>
                </c:pt>
                <c:pt idx="94">
                  <c:v>165.61562702866021</c:v>
                </c:pt>
                <c:pt idx="95">
                  <c:v>165.61562702866021</c:v>
                </c:pt>
                <c:pt idx="96">
                  <c:v>165.61562702866021</c:v>
                </c:pt>
                <c:pt idx="97">
                  <c:v>165.61562702866021</c:v>
                </c:pt>
                <c:pt idx="98">
                  <c:v>165.61562702866021</c:v>
                </c:pt>
                <c:pt idx="99">
                  <c:v>165.61562702866021</c:v>
                </c:pt>
                <c:pt idx="100">
                  <c:v>165.61562702866021</c:v>
                </c:pt>
                <c:pt idx="101">
                  <c:v>165.61562702866021</c:v>
                </c:pt>
                <c:pt idx="102">
                  <c:v>165.61562702866021</c:v>
                </c:pt>
                <c:pt idx="103">
                  <c:v>165.61562702866021</c:v>
                </c:pt>
                <c:pt idx="104">
                  <c:v>165.61562702866021</c:v>
                </c:pt>
                <c:pt idx="105">
                  <c:v>165.61562702866021</c:v>
                </c:pt>
                <c:pt idx="106">
                  <c:v>165.61562702866021</c:v>
                </c:pt>
                <c:pt idx="107">
                  <c:v>165.61562702866021</c:v>
                </c:pt>
                <c:pt idx="108">
                  <c:v>165.61562702866021</c:v>
                </c:pt>
                <c:pt idx="109">
                  <c:v>165.61562702866021</c:v>
                </c:pt>
                <c:pt idx="110">
                  <c:v>165.61562702866021</c:v>
                </c:pt>
                <c:pt idx="111">
                  <c:v>165.61562702866021</c:v>
                </c:pt>
                <c:pt idx="112">
                  <c:v>165.61562702866021</c:v>
                </c:pt>
                <c:pt idx="113">
                  <c:v>165.61562702866021</c:v>
                </c:pt>
                <c:pt idx="114">
                  <c:v>165.61562702866021</c:v>
                </c:pt>
                <c:pt idx="115">
                  <c:v>165.61562702866021</c:v>
                </c:pt>
                <c:pt idx="116">
                  <c:v>165.61562702866021</c:v>
                </c:pt>
                <c:pt idx="117">
                  <c:v>165.61562702866021</c:v>
                </c:pt>
                <c:pt idx="118">
                  <c:v>165.61562702866021</c:v>
                </c:pt>
                <c:pt idx="119">
                  <c:v>165.61562702866021</c:v>
                </c:pt>
                <c:pt idx="120">
                  <c:v>165.61562702866021</c:v>
                </c:pt>
                <c:pt idx="121">
                  <c:v>165.61562702866021</c:v>
                </c:pt>
                <c:pt idx="122">
                  <c:v>198.76076848747033</c:v>
                </c:pt>
                <c:pt idx="123">
                  <c:v>198.76076848747033</c:v>
                </c:pt>
                <c:pt idx="124">
                  <c:v>198.76076848747033</c:v>
                </c:pt>
                <c:pt idx="125">
                  <c:v>198.76076848747033</c:v>
                </c:pt>
                <c:pt idx="126">
                  <c:v>198.76076848747033</c:v>
                </c:pt>
                <c:pt idx="127">
                  <c:v>198.76076848747033</c:v>
                </c:pt>
                <c:pt idx="128">
                  <c:v>198.76076848747033</c:v>
                </c:pt>
                <c:pt idx="129">
                  <c:v>198.76076848747033</c:v>
                </c:pt>
                <c:pt idx="130">
                  <c:v>198.76076848747033</c:v>
                </c:pt>
                <c:pt idx="131">
                  <c:v>198.76076848747033</c:v>
                </c:pt>
                <c:pt idx="132">
                  <c:v>198.76076848747033</c:v>
                </c:pt>
                <c:pt idx="133">
                  <c:v>198.76076848747033</c:v>
                </c:pt>
                <c:pt idx="134">
                  <c:v>198.76076848747033</c:v>
                </c:pt>
                <c:pt idx="135">
                  <c:v>198.76076848747033</c:v>
                </c:pt>
                <c:pt idx="136">
                  <c:v>198.76076848747033</c:v>
                </c:pt>
                <c:pt idx="137">
                  <c:v>198.76076848747033</c:v>
                </c:pt>
                <c:pt idx="138">
                  <c:v>198.76076848747033</c:v>
                </c:pt>
                <c:pt idx="139">
                  <c:v>198.76076848747033</c:v>
                </c:pt>
                <c:pt idx="140">
                  <c:v>198.76076848747033</c:v>
                </c:pt>
                <c:pt idx="141">
                  <c:v>198.76076848747033</c:v>
                </c:pt>
                <c:pt idx="142">
                  <c:v>198.76076848747033</c:v>
                </c:pt>
                <c:pt idx="143">
                  <c:v>198.76076848747033</c:v>
                </c:pt>
                <c:pt idx="144">
                  <c:v>198.76076848747033</c:v>
                </c:pt>
                <c:pt idx="145">
                  <c:v>198.76076848747033</c:v>
                </c:pt>
                <c:pt idx="146">
                  <c:v>198.76076848747033</c:v>
                </c:pt>
                <c:pt idx="147">
                  <c:v>198.76076848747033</c:v>
                </c:pt>
                <c:pt idx="148">
                  <c:v>198.76076848747033</c:v>
                </c:pt>
                <c:pt idx="149">
                  <c:v>198.76076848747033</c:v>
                </c:pt>
                <c:pt idx="150">
                  <c:v>198.76076848747033</c:v>
                </c:pt>
                <c:pt idx="151">
                  <c:v>198.76076848747033</c:v>
                </c:pt>
                <c:pt idx="152">
                  <c:v>198.76076848747033</c:v>
                </c:pt>
                <c:pt idx="153">
                  <c:v>212.36985204649764</c:v>
                </c:pt>
                <c:pt idx="154">
                  <c:v>212.36985204649764</c:v>
                </c:pt>
                <c:pt idx="155">
                  <c:v>212.36985204649764</c:v>
                </c:pt>
                <c:pt idx="156">
                  <c:v>212.36985204649764</c:v>
                </c:pt>
                <c:pt idx="157">
                  <c:v>212.36985204649764</c:v>
                </c:pt>
                <c:pt idx="158">
                  <c:v>212.36985204649764</c:v>
                </c:pt>
                <c:pt idx="159">
                  <c:v>212.36985204649764</c:v>
                </c:pt>
                <c:pt idx="160">
                  <c:v>212.36985204649764</c:v>
                </c:pt>
                <c:pt idx="161">
                  <c:v>212.36985204649764</c:v>
                </c:pt>
                <c:pt idx="162">
                  <c:v>212.36985204649764</c:v>
                </c:pt>
                <c:pt idx="163">
                  <c:v>212.36985204649764</c:v>
                </c:pt>
                <c:pt idx="164">
                  <c:v>212.36985204649764</c:v>
                </c:pt>
                <c:pt idx="165">
                  <c:v>212.36985204649764</c:v>
                </c:pt>
                <c:pt idx="166">
                  <c:v>212.36985204649764</c:v>
                </c:pt>
                <c:pt idx="167">
                  <c:v>212.36985204649764</c:v>
                </c:pt>
                <c:pt idx="168">
                  <c:v>212.36985204649764</c:v>
                </c:pt>
                <c:pt idx="169">
                  <c:v>212.36985204649764</c:v>
                </c:pt>
                <c:pt idx="170">
                  <c:v>212.36985204649764</c:v>
                </c:pt>
                <c:pt idx="171">
                  <c:v>212.36985204649764</c:v>
                </c:pt>
                <c:pt idx="172">
                  <c:v>212.36985204649764</c:v>
                </c:pt>
                <c:pt idx="173">
                  <c:v>212.36985204649764</c:v>
                </c:pt>
                <c:pt idx="174">
                  <c:v>212.36985204649764</c:v>
                </c:pt>
                <c:pt idx="175">
                  <c:v>212.36985204649764</c:v>
                </c:pt>
                <c:pt idx="176">
                  <c:v>212.36985204649764</c:v>
                </c:pt>
                <c:pt idx="177">
                  <c:v>212.36985204649764</c:v>
                </c:pt>
                <c:pt idx="178">
                  <c:v>212.36985204649764</c:v>
                </c:pt>
                <c:pt idx="179">
                  <c:v>212.36985204649764</c:v>
                </c:pt>
                <c:pt idx="180">
                  <c:v>212.36985204649764</c:v>
                </c:pt>
                <c:pt idx="181">
                  <c:v>201.77141510917494</c:v>
                </c:pt>
                <c:pt idx="182">
                  <c:v>201.77141510917494</c:v>
                </c:pt>
                <c:pt idx="183">
                  <c:v>201.77141510917494</c:v>
                </c:pt>
                <c:pt idx="184">
                  <c:v>201.77141510917494</c:v>
                </c:pt>
                <c:pt idx="185">
                  <c:v>201.77141510917494</c:v>
                </c:pt>
                <c:pt idx="186">
                  <c:v>201.77141510917494</c:v>
                </c:pt>
                <c:pt idx="187">
                  <c:v>201.77141510917494</c:v>
                </c:pt>
                <c:pt idx="188">
                  <c:v>201.77141510917494</c:v>
                </c:pt>
                <c:pt idx="189">
                  <c:v>201.77141510917494</c:v>
                </c:pt>
                <c:pt idx="190">
                  <c:v>201.77141510917494</c:v>
                </c:pt>
                <c:pt idx="191">
                  <c:v>201.77141510917494</c:v>
                </c:pt>
                <c:pt idx="192">
                  <c:v>201.77141510917494</c:v>
                </c:pt>
                <c:pt idx="193">
                  <c:v>201.77141510917494</c:v>
                </c:pt>
                <c:pt idx="194">
                  <c:v>201.77141510917494</c:v>
                </c:pt>
                <c:pt idx="195">
                  <c:v>201.77141510917494</c:v>
                </c:pt>
                <c:pt idx="196">
                  <c:v>201.77141510917494</c:v>
                </c:pt>
                <c:pt idx="197">
                  <c:v>201.77141510917494</c:v>
                </c:pt>
                <c:pt idx="198">
                  <c:v>201.77141510917494</c:v>
                </c:pt>
                <c:pt idx="199">
                  <c:v>201.77141510917494</c:v>
                </c:pt>
                <c:pt idx="200">
                  <c:v>201.77141510917494</c:v>
                </c:pt>
                <c:pt idx="201">
                  <c:v>201.77141510917494</c:v>
                </c:pt>
                <c:pt idx="202">
                  <c:v>201.77141510917494</c:v>
                </c:pt>
                <c:pt idx="203">
                  <c:v>201.77141510917494</c:v>
                </c:pt>
                <c:pt idx="204">
                  <c:v>201.77141510917494</c:v>
                </c:pt>
                <c:pt idx="205">
                  <c:v>201.77141510917494</c:v>
                </c:pt>
                <c:pt idx="206">
                  <c:v>201.77141510917494</c:v>
                </c:pt>
                <c:pt idx="207">
                  <c:v>201.77141510917494</c:v>
                </c:pt>
                <c:pt idx="208">
                  <c:v>201.77141510917494</c:v>
                </c:pt>
                <c:pt idx="209">
                  <c:v>201.77141510917494</c:v>
                </c:pt>
                <c:pt idx="210">
                  <c:v>201.77141510917494</c:v>
                </c:pt>
                <c:pt idx="211">
                  <c:v>201.77141510917494</c:v>
                </c:pt>
                <c:pt idx="212">
                  <c:v>168.58444609315609</c:v>
                </c:pt>
                <c:pt idx="213">
                  <c:v>168.58444609315609</c:v>
                </c:pt>
                <c:pt idx="214">
                  <c:v>168.58444609315609</c:v>
                </c:pt>
                <c:pt idx="215">
                  <c:v>168.58444609315609</c:v>
                </c:pt>
                <c:pt idx="216">
                  <c:v>168.58444609315609</c:v>
                </c:pt>
                <c:pt idx="217">
                  <c:v>168.58444609315609</c:v>
                </c:pt>
                <c:pt idx="218">
                  <c:v>168.58444609315609</c:v>
                </c:pt>
                <c:pt idx="219">
                  <c:v>168.58444609315609</c:v>
                </c:pt>
                <c:pt idx="220">
                  <c:v>168.58444609315609</c:v>
                </c:pt>
                <c:pt idx="221">
                  <c:v>168.58444609315609</c:v>
                </c:pt>
                <c:pt idx="222">
                  <c:v>168.58444609315609</c:v>
                </c:pt>
                <c:pt idx="223">
                  <c:v>168.58444609315609</c:v>
                </c:pt>
                <c:pt idx="224">
                  <c:v>168.58444609315609</c:v>
                </c:pt>
                <c:pt idx="225">
                  <c:v>168.58444609315609</c:v>
                </c:pt>
                <c:pt idx="226">
                  <c:v>168.58444609315609</c:v>
                </c:pt>
                <c:pt idx="227">
                  <c:v>168.58444609315609</c:v>
                </c:pt>
                <c:pt idx="228">
                  <c:v>168.58444609315609</c:v>
                </c:pt>
                <c:pt idx="229">
                  <c:v>168.58444609315609</c:v>
                </c:pt>
                <c:pt idx="230">
                  <c:v>168.58444609315609</c:v>
                </c:pt>
                <c:pt idx="231">
                  <c:v>168.58444609315609</c:v>
                </c:pt>
                <c:pt idx="232">
                  <c:v>168.58444609315609</c:v>
                </c:pt>
                <c:pt idx="233">
                  <c:v>168.58444609315609</c:v>
                </c:pt>
                <c:pt idx="234">
                  <c:v>168.58444609315609</c:v>
                </c:pt>
                <c:pt idx="235">
                  <c:v>168.58444609315609</c:v>
                </c:pt>
                <c:pt idx="236">
                  <c:v>168.58444609315609</c:v>
                </c:pt>
                <c:pt idx="237">
                  <c:v>168.58444609315609</c:v>
                </c:pt>
                <c:pt idx="238">
                  <c:v>168.58444609315609</c:v>
                </c:pt>
                <c:pt idx="239">
                  <c:v>168.58444609315609</c:v>
                </c:pt>
                <c:pt idx="240">
                  <c:v>168.58444609315609</c:v>
                </c:pt>
                <c:pt idx="241">
                  <c:v>168.58444609315609</c:v>
                </c:pt>
                <c:pt idx="242">
                  <c:v>148.2255854318004</c:v>
                </c:pt>
                <c:pt idx="243">
                  <c:v>148.2255854318004</c:v>
                </c:pt>
                <c:pt idx="244">
                  <c:v>148.2255854318004</c:v>
                </c:pt>
                <c:pt idx="245">
                  <c:v>148.2255854318004</c:v>
                </c:pt>
                <c:pt idx="246">
                  <c:v>148.2255854318004</c:v>
                </c:pt>
                <c:pt idx="247">
                  <c:v>148.2255854318004</c:v>
                </c:pt>
                <c:pt idx="248">
                  <c:v>148.2255854318004</c:v>
                </c:pt>
                <c:pt idx="249">
                  <c:v>148.2255854318004</c:v>
                </c:pt>
                <c:pt idx="250">
                  <c:v>148.2255854318004</c:v>
                </c:pt>
                <c:pt idx="251">
                  <c:v>148.2255854318004</c:v>
                </c:pt>
                <c:pt idx="252">
                  <c:v>148.2255854318004</c:v>
                </c:pt>
                <c:pt idx="253">
                  <c:v>148.2255854318004</c:v>
                </c:pt>
                <c:pt idx="254">
                  <c:v>148.2255854318004</c:v>
                </c:pt>
                <c:pt idx="255">
                  <c:v>148.2255854318004</c:v>
                </c:pt>
                <c:pt idx="256">
                  <c:v>148.2255854318004</c:v>
                </c:pt>
                <c:pt idx="257">
                  <c:v>148.2255854318004</c:v>
                </c:pt>
                <c:pt idx="258">
                  <c:v>148.2255854318004</c:v>
                </c:pt>
                <c:pt idx="259">
                  <c:v>148.2255854318004</c:v>
                </c:pt>
                <c:pt idx="260">
                  <c:v>148.2255854318004</c:v>
                </c:pt>
                <c:pt idx="261">
                  <c:v>148.2255854318004</c:v>
                </c:pt>
                <c:pt idx="262">
                  <c:v>148.2255854318004</c:v>
                </c:pt>
                <c:pt idx="263">
                  <c:v>148.2255854318004</c:v>
                </c:pt>
                <c:pt idx="264">
                  <c:v>148.2255854318004</c:v>
                </c:pt>
                <c:pt idx="265">
                  <c:v>148.2255854318004</c:v>
                </c:pt>
                <c:pt idx="266">
                  <c:v>148.2255854318004</c:v>
                </c:pt>
                <c:pt idx="267">
                  <c:v>148.2255854318004</c:v>
                </c:pt>
                <c:pt idx="268">
                  <c:v>148.2255854318004</c:v>
                </c:pt>
                <c:pt idx="269">
                  <c:v>148.2255854318004</c:v>
                </c:pt>
                <c:pt idx="270">
                  <c:v>148.2255854318004</c:v>
                </c:pt>
                <c:pt idx="271">
                  <c:v>148.2255854318004</c:v>
                </c:pt>
                <c:pt idx="272">
                  <c:v>148.2255854318004</c:v>
                </c:pt>
                <c:pt idx="273">
                  <c:v>125.36009436679667</c:v>
                </c:pt>
                <c:pt idx="274">
                  <c:v>125.36009436679667</c:v>
                </c:pt>
                <c:pt idx="275">
                  <c:v>125.36009436679667</c:v>
                </c:pt>
                <c:pt idx="276">
                  <c:v>125.36009436679667</c:v>
                </c:pt>
                <c:pt idx="277">
                  <c:v>125.36009436679667</c:v>
                </c:pt>
                <c:pt idx="278">
                  <c:v>125.36009436679667</c:v>
                </c:pt>
                <c:pt idx="279">
                  <c:v>125.36009436679667</c:v>
                </c:pt>
                <c:pt idx="280">
                  <c:v>125.36009436679667</c:v>
                </c:pt>
                <c:pt idx="281">
                  <c:v>125.36009436679667</c:v>
                </c:pt>
                <c:pt idx="282">
                  <c:v>125.36009436679667</c:v>
                </c:pt>
                <c:pt idx="283">
                  <c:v>125.36009436679667</c:v>
                </c:pt>
                <c:pt idx="284">
                  <c:v>125.36009436679667</c:v>
                </c:pt>
                <c:pt idx="285">
                  <c:v>125.36009436679667</c:v>
                </c:pt>
                <c:pt idx="286">
                  <c:v>125.36009436679667</c:v>
                </c:pt>
                <c:pt idx="287">
                  <c:v>125.36009436679667</c:v>
                </c:pt>
                <c:pt idx="288">
                  <c:v>125.36009436679667</c:v>
                </c:pt>
                <c:pt idx="289">
                  <c:v>125.36009436679667</c:v>
                </c:pt>
                <c:pt idx="290">
                  <c:v>125.36009436679667</c:v>
                </c:pt>
                <c:pt idx="291">
                  <c:v>125.36009436679667</c:v>
                </c:pt>
                <c:pt idx="292">
                  <c:v>125.36009436679667</c:v>
                </c:pt>
                <c:pt idx="293">
                  <c:v>125.36009436679667</c:v>
                </c:pt>
                <c:pt idx="294">
                  <c:v>125.36009436679667</c:v>
                </c:pt>
                <c:pt idx="295">
                  <c:v>125.36009436679667</c:v>
                </c:pt>
                <c:pt idx="296">
                  <c:v>125.36009436679667</c:v>
                </c:pt>
                <c:pt idx="297">
                  <c:v>125.36009436679667</c:v>
                </c:pt>
                <c:pt idx="298">
                  <c:v>125.36009436679667</c:v>
                </c:pt>
                <c:pt idx="299">
                  <c:v>125.36009436679667</c:v>
                </c:pt>
                <c:pt idx="300">
                  <c:v>125.36009436679667</c:v>
                </c:pt>
                <c:pt idx="301">
                  <c:v>125.36009436679667</c:v>
                </c:pt>
                <c:pt idx="302">
                  <c:v>125.36009436679667</c:v>
                </c:pt>
                <c:pt idx="303">
                  <c:v>123.30335963364223</c:v>
                </c:pt>
                <c:pt idx="304">
                  <c:v>123.30335963364223</c:v>
                </c:pt>
                <c:pt idx="305">
                  <c:v>123.30335963364223</c:v>
                </c:pt>
                <c:pt idx="306">
                  <c:v>123.30335963364223</c:v>
                </c:pt>
                <c:pt idx="307">
                  <c:v>123.30335963364223</c:v>
                </c:pt>
                <c:pt idx="308">
                  <c:v>123.30335963364223</c:v>
                </c:pt>
                <c:pt idx="309">
                  <c:v>123.30335963364223</c:v>
                </c:pt>
                <c:pt idx="310">
                  <c:v>123.30335963364223</c:v>
                </c:pt>
                <c:pt idx="311">
                  <c:v>123.30335963364223</c:v>
                </c:pt>
                <c:pt idx="312">
                  <c:v>123.30335963364223</c:v>
                </c:pt>
                <c:pt idx="313">
                  <c:v>123.30335963364223</c:v>
                </c:pt>
                <c:pt idx="314">
                  <c:v>123.30335963364223</c:v>
                </c:pt>
                <c:pt idx="315">
                  <c:v>123.30335963364223</c:v>
                </c:pt>
                <c:pt idx="316">
                  <c:v>123.30335963364223</c:v>
                </c:pt>
                <c:pt idx="317">
                  <c:v>123.30335963364223</c:v>
                </c:pt>
                <c:pt idx="318">
                  <c:v>123.30335963364223</c:v>
                </c:pt>
                <c:pt idx="319">
                  <c:v>123.30335963364223</c:v>
                </c:pt>
                <c:pt idx="320">
                  <c:v>123.30335963364223</c:v>
                </c:pt>
                <c:pt idx="321">
                  <c:v>123.30335963364223</c:v>
                </c:pt>
                <c:pt idx="322">
                  <c:v>123.30335963364223</c:v>
                </c:pt>
                <c:pt idx="323">
                  <c:v>123.30335963364223</c:v>
                </c:pt>
                <c:pt idx="324">
                  <c:v>123.30335963364223</c:v>
                </c:pt>
                <c:pt idx="325">
                  <c:v>123.30335963364223</c:v>
                </c:pt>
                <c:pt idx="326">
                  <c:v>123.30335963364223</c:v>
                </c:pt>
                <c:pt idx="327">
                  <c:v>123.30335963364223</c:v>
                </c:pt>
                <c:pt idx="328">
                  <c:v>123.30335963364223</c:v>
                </c:pt>
                <c:pt idx="329">
                  <c:v>123.30335963364223</c:v>
                </c:pt>
                <c:pt idx="330">
                  <c:v>123.30335963364223</c:v>
                </c:pt>
                <c:pt idx="331">
                  <c:v>123.30335963364223</c:v>
                </c:pt>
                <c:pt idx="332">
                  <c:v>123.30335963364223</c:v>
                </c:pt>
                <c:pt idx="333">
                  <c:v>123.30335963364223</c:v>
                </c:pt>
                <c:pt idx="334">
                  <c:v>119.88874866280776</c:v>
                </c:pt>
                <c:pt idx="335">
                  <c:v>119.88874866280776</c:v>
                </c:pt>
                <c:pt idx="336">
                  <c:v>119.88874866280776</c:v>
                </c:pt>
                <c:pt idx="337">
                  <c:v>119.88874866280776</c:v>
                </c:pt>
                <c:pt idx="338">
                  <c:v>119.88874866280776</c:v>
                </c:pt>
                <c:pt idx="339">
                  <c:v>119.88874866280776</c:v>
                </c:pt>
                <c:pt idx="340">
                  <c:v>119.88874866280776</c:v>
                </c:pt>
                <c:pt idx="341">
                  <c:v>119.88874866280776</c:v>
                </c:pt>
                <c:pt idx="342">
                  <c:v>119.88874866280776</c:v>
                </c:pt>
                <c:pt idx="343">
                  <c:v>119.88874866280776</c:v>
                </c:pt>
                <c:pt idx="344">
                  <c:v>119.88874866280776</c:v>
                </c:pt>
                <c:pt idx="345">
                  <c:v>119.88874866280776</c:v>
                </c:pt>
                <c:pt idx="346">
                  <c:v>119.88874866280776</c:v>
                </c:pt>
                <c:pt idx="347">
                  <c:v>119.88874866280776</c:v>
                </c:pt>
                <c:pt idx="348">
                  <c:v>119.88874866280776</c:v>
                </c:pt>
                <c:pt idx="349">
                  <c:v>119.88874866280776</c:v>
                </c:pt>
                <c:pt idx="350">
                  <c:v>119.88874866280776</c:v>
                </c:pt>
                <c:pt idx="351">
                  <c:v>119.88874866280776</c:v>
                </c:pt>
                <c:pt idx="352">
                  <c:v>119.88874866280776</c:v>
                </c:pt>
                <c:pt idx="353">
                  <c:v>119.88874866280776</c:v>
                </c:pt>
                <c:pt idx="354">
                  <c:v>119.88874866280776</c:v>
                </c:pt>
                <c:pt idx="355">
                  <c:v>119.88874866280776</c:v>
                </c:pt>
                <c:pt idx="356">
                  <c:v>119.88874866280776</c:v>
                </c:pt>
                <c:pt idx="357">
                  <c:v>119.88874866280776</c:v>
                </c:pt>
                <c:pt idx="358">
                  <c:v>119.88874866280776</c:v>
                </c:pt>
                <c:pt idx="359">
                  <c:v>119.88874866280776</c:v>
                </c:pt>
                <c:pt idx="360">
                  <c:v>119.88874866280776</c:v>
                </c:pt>
                <c:pt idx="361">
                  <c:v>119.88874866280776</c:v>
                </c:pt>
                <c:pt idx="362">
                  <c:v>119.88874866280776</c:v>
                </c:pt>
                <c:pt idx="363">
                  <c:v>119.88874866280776</c:v>
                </c:pt>
                <c:pt idx="364">
                  <c:v>119.88874866280776</c:v>
                </c:pt>
                <c:pt idx="365">
                  <c:v>117.9826799919754</c:v>
                </c:pt>
                <c:pt idx="366">
                  <c:v>117.9826799919754</c:v>
                </c:pt>
                <c:pt idx="367">
                  <c:v>117.9826799919754</c:v>
                </c:pt>
                <c:pt idx="368">
                  <c:v>117.9826799919754</c:v>
                </c:pt>
                <c:pt idx="369">
                  <c:v>117.9826799919754</c:v>
                </c:pt>
                <c:pt idx="370">
                  <c:v>117.9826799919754</c:v>
                </c:pt>
                <c:pt idx="371">
                  <c:v>117.9826799919754</c:v>
                </c:pt>
                <c:pt idx="372">
                  <c:v>117.9826799919754</c:v>
                </c:pt>
                <c:pt idx="373">
                  <c:v>117.9826799919754</c:v>
                </c:pt>
                <c:pt idx="374">
                  <c:v>117.9826799919754</c:v>
                </c:pt>
                <c:pt idx="375">
                  <c:v>117.9826799919754</c:v>
                </c:pt>
                <c:pt idx="376">
                  <c:v>117.9826799919754</c:v>
                </c:pt>
                <c:pt idx="377">
                  <c:v>117.9826799919754</c:v>
                </c:pt>
                <c:pt idx="378">
                  <c:v>117.9826799919754</c:v>
                </c:pt>
                <c:pt idx="379">
                  <c:v>117.9826799919754</c:v>
                </c:pt>
                <c:pt idx="380">
                  <c:v>117.9826799919754</c:v>
                </c:pt>
                <c:pt idx="381">
                  <c:v>117.9826799919754</c:v>
                </c:pt>
                <c:pt idx="382">
                  <c:v>117.9826799919754</c:v>
                </c:pt>
                <c:pt idx="383">
                  <c:v>117.9826799919754</c:v>
                </c:pt>
                <c:pt idx="384">
                  <c:v>117.9826799919754</c:v>
                </c:pt>
                <c:pt idx="385">
                  <c:v>117.9826799919754</c:v>
                </c:pt>
                <c:pt idx="386">
                  <c:v>117.9826799919754</c:v>
                </c:pt>
                <c:pt idx="387">
                  <c:v>117.9826799919754</c:v>
                </c:pt>
                <c:pt idx="388">
                  <c:v>117.9826799919754</c:v>
                </c:pt>
                <c:pt idx="389">
                  <c:v>117.9826799919754</c:v>
                </c:pt>
                <c:pt idx="390">
                  <c:v>117.9826799919754</c:v>
                </c:pt>
                <c:pt idx="391">
                  <c:v>117.9826799919754</c:v>
                </c:pt>
                <c:pt idx="392">
                  <c:v>117.9826799919754</c:v>
                </c:pt>
                <c:pt idx="393">
                  <c:v>117.9826799919754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59.806457999999999</c:v>
                </c:pt>
                <c:pt idx="1">
                  <c:v>107.08526806498774</c:v>
                </c:pt>
                <c:pt idx="2">
                  <c:v>71.609544999999997</c:v>
                </c:pt>
                <c:pt idx="3">
                  <c:v>95.208067</c:v>
                </c:pt>
                <c:pt idx="4">
                  <c:v>107.08526806498774</c:v>
                </c:pt>
                <c:pt idx="5">
                  <c:v>107.08526806498774</c:v>
                </c:pt>
                <c:pt idx="6">
                  <c:v>107.08526806498774</c:v>
                </c:pt>
                <c:pt idx="7">
                  <c:v>107.08526806498774</c:v>
                </c:pt>
                <c:pt idx="8">
                  <c:v>76.414304000000001</c:v>
                </c:pt>
                <c:pt idx="9">
                  <c:v>97.360327999999996</c:v>
                </c:pt>
                <c:pt idx="10">
                  <c:v>84.595854000000003</c:v>
                </c:pt>
                <c:pt idx="11">
                  <c:v>95.812807000000006</c:v>
                </c:pt>
                <c:pt idx="12">
                  <c:v>107.08526806498774</c:v>
                </c:pt>
                <c:pt idx="13">
                  <c:v>107.08526806498774</c:v>
                </c:pt>
                <c:pt idx="14">
                  <c:v>61.669970999999997</c:v>
                </c:pt>
                <c:pt idx="15">
                  <c:v>47.954214</c:v>
                </c:pt>
                <c:pt idx="16">
                  <c:v>107.08526806498774</c:v>
                </c:pt>
                <c:pt idx="17">
                  <c:v>107.08526806498774</c:v>
                </c:pt>
                <c:pt idx="18">
                  <c:v>107.08526806498774</c:v>
                </c:pt>
                <c:pt idx="19">
                  <c:v>71.398513000000008</c:v>
                </c:pt>
                <c:pt idx="20">
                  <c:v>43.953246</c:v>
                </c:pt>
                <c:pt idx="21">
                  <c:v>42.289270999999999</c:v>
                </c:pt>
                <c:pt idx="22">
                  <c:v>107.08526806498774</c:v>
                </c:pt>
                <c:pt idx="23">
                  <c:v>107.08526806498774</c:v>
                </c:pt>
                <c:pt idx="24">
                  <c:v>107.08526806498774</c:v>
                </c:pt>
                <c:pt idx="25">
                  <c:v>107.08526806498774</c:v>
                </c:pt>
                <c:pt idx="26">
                  <c:v>107.08526806498774</c:v>
                </c:pt>
                <c:pt idx="27">
                  <c:v>107.08526806498774</c:v>
                </c:pt>
                <c:pt idx="28">
                  <c:v>53.063534999999995</c:v>
                </c:pt>
                <c:pt idx="29">
                  <c:v>62.516165999999998</c:v>
                </c:pt>
                <c:pt idx="30">
                  <c:v>127.06121952683949</c:v>
                </c:pt>
                <c:pt idx="31">
                  <c:v>127.06121952683949</c:v>
                </c:pt>
                <c:pt idx="32">
                  <c:v>127.06121952683949</c:v>
                </c:pt>
                <c:pt idx="33">
                  <c:v>127.06121952683949</c:v>
                </c:pt>
                <c:pt idx="34">
                  <c:v>127.06121952683949</c:v>
                </c:pt>
                <c:pt idx="35">
                  <c:v>127.06121952683949</c:v>
                </c:pt>
                <c:pt idx="36">
                  <c:v>106.33266</c:v>
                </c:pt>
                <c:pt idx="37">
                  <c:v>60.809464999999996</c:v>
                </c:pt>
                <c:pt idx="38">
                  <c:v>47.700455999999996</c:v>
                </c:pt>
                <c:pt idx="39">
                  <c:v>127.06121952683949</c:v>
                </c:pt>
                <c:pt idx="40">
                  <c:v>127.06121952683949</c:v>
                </c:pt>
                <c:pt idx="41">
                  <c:v>127.06121952683949</c:v>
                </c:pt>
                <c:pt idx="42">
                  <c:v>127.06121952683949</c:v>
                </c:pt>
                <c:pt idx="43">
                  <c:v>127.06121952683949</c:v>
                </c:pt>
                <c:pt idx="44">
                  <c:v>127.06121952683949</c:v>
                </c:pt>
                <c:pt idx="45">
                  <c:v>110.112658</c:v>
                </c:pt>
                <c:pt idx="46">
                  <c:v>50.603332999999999</c:v>
                </c:pt>
                <c:pt idx="47">
                  <c:v>61.568391000000005</c:v>
                </c:pt>
                <c:pt idx="48">
                  <c:v>127.06121952683949</c:v>
                </c:pt>
                <c:pt idx="49">
                  <c:v>127.06121952683949</c:v>
                </c:pt>
                <c:pt idx="50">
                  <c:v>127.06121952683949</c:v>
                </c:pt>
                <c:pt idx="51">
                  <c:v>127.06121952683949</c:v>
                </c:pt>
                <c:pt idx="52">
                  <c:v>127.06121952683949</c:v>
                </c:pt>
                <c:pt idx="53">
                  <c:v>127.06121952683949</c:v>
                </c:pt>
                <c:pt idx="54">
                  <c:v>127.06121952683949</c:v>
                </c:pt>
                <c:pt idx="55">
                  <c:v>127.06121952683949</c:v>
                </c:pt>
                <c:pt idx="56">
                  <c:v>127.06121952683949</c:v>
                </c:pt>
                <c:pt idx="57">
                  <c:v>117.49772900000001</c:v>
                </c:pt>
                <c:pt idx="58">
                  <c:v>58.620100999999998</c:v>
                </c:pt>
                <c:pt idx="59">
                  <c:v>87.59764100000001</c:v>
                </c:pt>
                <c:pt idx="60">
                  <c:v>123.97042500000001</c:v>
                </c:pt>
                <c:pt idx="61">
                  <c:v>125.23935300000001</c:v>
                </c:pt>
                <c:pt idx="62">
                  <c:v>85.920673000000008</c:v>
                </c:pt>
                <c:pt idx="63">
                  <c:v>176.69829634449792</c:v>
                </c:pt>
                <c:pt idx="64">
                  <c:v>176.69829634449792</c:v>
                </c:pt>
                <c:pt idx="65">
                  <c:v>176.69829634449792</c:v>
                </c:pt>
                <c:pt idx="66">
                  <c:v>176.69829634449792</c:v>
                </c:pt>
                <c:pt idx="67">
                  <c:v>176.69829634449792</c:v>
                </c:pt>
                <c:pt idx="68">
                  <c:v>156.800454</c:v>
                </c:pt>
                <c:pt idx="69">
                  <c:v>60.645159</c:v>
                </c:pt>
                <c:pt idx="70">
                  <c:v>35.971010999999997</c:v>
                </c:pt>
                <c:pt idx="71">
                  <c:v>140.179191</c:v>
                </c:pt>
                <c:pt idx="72">
                  <c:v>97.544676999999993</c:v>
                </c:pt>
                <c:pt idx="73">
                  <c:v>79.493798999999996</c:v>
                </c:pt>
                <c:pt idx="74">
                  <c:v>134.23853400000002</c:v>
                </c:pt>
                <c:pt idx="75">
                  <c:v>176.69829634449792</c:v>
                </c:pt>
                <c:pt idx="76">
                  <c:v>105.925865</c:v>
                </c:pt>
                <c:pt idx="77">
                  <c:v>58.954802999999998</c:v>
                </c:pt>
                <c:pt idx="78">
                  <c:v>90.291903000000005</c:v>
                </c:pt>
                <c:pt idx="79">
                  <c:v>176.69829634449792</c:v>
                </c:pt>
                <c:pt idx="80">
                  <c:v>176.69829634449792</c:v>
                </c:pt>
                <c:pt idx="81">
                  <c:v>115.55608599999999</c:v>
                </c:pt>
                <c:pt idx="82">
                  <c:v>56.336182999999998</c:v>
                </c:pt>
                <c:pt idx="83">
                  <c:v>46.552162000000003</c:v>
                </c:pt>
                <c:pt idx="84">
                  <c:v>100.392511</c:v>
                </c:pt>
                <c:pt idx="85">
                  <c:v>121.453129</c:v>
                </c:pt>
                <c:pt idx="86">
                  <c:v>176.69829634449792</c:v>
                </c:pt>
                <c:pt idx="87">
                  <c:v>155.23078099999998</c:v>
                </c:pt>
                <c:pt idx="88">
                  <c:v>70.368157999999994</c:v>
                </c:pt>
                <c:pt idx="89">
                  <c:v>52.875363</c:v>
                </c:pt>
                <c:pt idx="90">
                  <c:v>86.030285000000006</c:v>
                </c:pt>
                <c:pt idx="91">
                  <c:v>165.61562702866021</c:v>
                </c:pt>
                <c:pt idx="92">
                  <c:v>165.61562702866021</c:v>
                </c:pt>
                <c:pt idx="93">
                  <c:v>165.61562702866021</c:v>
                </c:pt>
                <c:pt idx="94">
                  <c:v>165.61562702866021</c:v>
                </c:pt>
                <c:pt idx="95">
                  <c:v>165.61562702866021</c:v>
                </c:pt>
                <c:pt idx="96">
                  <c:v>165.61562702866021</c:v>
                </c:pt>
                <c:pt idx="97">
                  <c:v>165.61562702866021</c:v>
                </c:pt>
                <c:pt idx="98">
                  <c:v>165.61562702866021</c:v>
                </c:pt>
                <c:pt idx="99">
                  <c:v>165.61562702866021</c:v>
                </c:pt>
                <c:pt idx="100">
                  <c:v>165.61562702866021</c:v>
                </c:pt>
                <c:pt idx="101">
                  <c:v>165.61562702866021</c:v>
                </c:pt>
                <c:pt idx="102">
                  <c:v>165.61562702866021</c:v>
                </c:pt>
                <c:pt idx="103">
                  <c:v>165.61562702866021</c:v>
                </c:pt>
                <c:pt idx="104">
                  <c:v>165.61562702866021</c:v>
                </c:pt>
                <c:pt idx="105">
                  <c:v>165.61562702866021</c:v>
                </c:pt>
                <c:pt idx="106">
                  <c:v>160.943062</c:v>
                </c:pt>
                <c:pt idx="107">
                  <c:v>61.788949000000002</c:v>
                </c:pt>
                <c:pt idx="108">
                  <c:v>123.33253199999999</c:v>
                </c:pt>
                <c:pt idx="109">
                  <c:v>135.376823</c:v>
                </c:pt>
                <c:pt idx="110">
                  <c:v>129.84132100000002</c:v>
                </c:pt>
                <c:pt idx="111">
                  <c:v>155.97537800000003</c:v>
                </c:pt>
                <c:pt idx="112">
                  <c:v>132.75632100000001</c:v>
                </c:pt>
                <c:pt idx="113">
                  <c:v>141.42384899999999</c:v>
                </c:pt>
                <c:pt idx="114">
                  <c:v>132.186509</c:v>
                </c:pt>
                <c:pt idx="115">
                  <c:v>165.61562702866021</c:v>
                </c:pt>
                <c:pt idx="116">
                  <c:v>165.61562702866021</c:v>
                </c:pt>
                <c:pt idx="117">
                  <c:v>165.61562702866021</c:v>
                </c:pt>
                <c:pt idx="118">
                  <c:v>165.61562702866021</c:v>
                </c:pt>
                <c:pt idx="119">
                  <c:v>165.61562702866021</c:v>
                </c:pt>
                <c:pt idx="120">
                  <c:v>165.61562702866021</c:v>
                </c:pt>
                <c:pt idx="121">
                  <c:v>165.61562702866021</c:v>
                </c:pt>
                <c:pt idx="122">
                  <c:v>198.76076848747033</c:v>
                </c:pt>
                <c:pt idx="123">
                  <c:v>198.76076848747033</c:v>
                </c:pt>
                <c:pt idx="124">
                  <c:v>198.76076848747033</c:v>
                </c:pt>
                <c:pt idx="125">
                  <c:v>127.92596</c:v>
                </c:pt>
                <c:pt idx="126">
                  <c:v>68.985138000000006</c:v>
                </c:pt>
                <c:pt idx="127">
                  <c:v>67.590433999999988</c:v>
                </c:pt>
                <c:pt idx="128">
                  <c:v>99.150615999999999</c:v>
                </c:pt>
                <c:pt idx="129">
                  <c:v>198.76076848747033</c:v>
                </c:pt>
                <c:pt idx="130">
                  <c:v>198.76076848747033</c:v>
                </c:pt>
                <c:pt idx="131">
                  <c:v>198.76076848747033</c:v>
                </c:pt>
                <c:pt idx="132">
                  <c:v>198.76076848747033</c:v>
                </c:pt>
                <c:pt idx="133">
                  <c:v>164.969347</c:v>
                </c:pt>
                <c:pt idx="134">
                  <c:v>170.91346600000003</c:v>
                </c:pt>
                <c:pt idx="135">
                  <c:v>198.76076848747033</c:v>
                </c:pt>
                <c:pt idx="136">
                  <c:v>198.76076848747033</c:v>
                </c:pt>
                <c:pt idx="137">
                  <c:v>170.35610800000001</c:v>
                </c:pt>
                <c:pt idx="138">
                  <c:v>155.22302999999999</c:v>
                </c:pt>
                <c:pt idx="139">
                  <c:v>56.478533000000006</c:v>
                </c:pt>
                <c:pt idx="140">
                  <c:v>144.09847200000002</c:v>
                </c:pt>
                <c:pt idx="141">
                  <c:v>198.76076848747033</c:v>
                </c:pt>
                <c:pt idx="142">
                  <c:v>198.76076848747033</c:v>
                </c:pt>
                <c:pt idx="143">
                  <c:v>198.76076848747033</c:v>
                </c:pt>
                <c:pt idx="144">
                  <c:v>198.76076848747033</c:v>
                </c:pt>
                <c:pt idx="145">
                  <c:v>198.76076848747033</c:v>
                </c:pt>
                <c:pt idx="146">
                  <c:v>198.76076848747033</c:v>
                </c:pt>
                <c:pt idx="147">
                  <c:v>151.71598999999998</c:v>
                </c:pt>
                <c:pt idx="148">
                  <c:v>198.76076848747033</c:v>
                </c:pt>
                <c:pt idx="149">
                  <c:v>198.76076848747033</c:v>
                </c:pt>
                <c:pt idx="150">
                  <c:v>198.76076848747033</c:v>
                </c:pt>
                <c:pt idx="151">
                  <c:v>198.76076848747033</c:v>
                </c:pt>
                <c:pt idx="152">
                  <c:v>198.76076848747033</c:v>
                </c:pt>
                <c:pt idx="153">
                  <c:v>212.36985204649764</c:v>
                </c:pt>
                <c:pt idx="154">
                  <c:v>212.36985204649764</c:v>
                </c:pt>
                <c:pt idx="155">
                  <c:v>212.36985204649764</c:v>
                </c:pt>
                <c:pt idx="156">
                  <c:v>108.02166700000001</c:v>
                </c:pt>
                <c:pt idx="157">
                  <c:v>168.37187700000001</c:v>
                </c:pt>
                <c:pt idx="158">
                  <c:v>198.89757999999998</c:v>
                </c:pt>
                <c:pt idx="159">
                  <c:v>212.36985204649764</c:v>
                </c:pt>
                <c:pt idx="160">
                  <c:v>212.36985204649764</c:v>
                </c:pt>
                <c:pt idx="161">
                  <c:v>212.36985204649764</c:v>
                </c:pt>
                <c:pt idx="162">
                  <c:v>212.36985204649764</c:v>
                </c:pt>
                <c:pt idx="163">
                  <c:v>194.20349999999999</c:v>
                </c:pt>
                <c:pt idx="164">
                  <c:v>212.36985204649764</c:v>
                </c:pt>
                <c:pt idx="165">
                  <c:v>188.21401900000001</c:v>
                </c:pt>
                <c:pt idx="166">
                  <c:v>166.08467199999998</c:v>
                </c:pt>
                <c:pt idx="167">
                  <c:v>212.36985204649764</c:v>
                </c:pt>
                <c:pt idx="168">
                  <c:v>193.85834</c:v>
                </c:pt>
                <c:pt idx="169">
                  <c:v>150.38908499999999</c:v>
                </c:pt>
                <c:pt idx="170">
                  <c:v>206.50008499999998</c:v>
                </c:pt>
                <c:pt idx="171">
                  <c:v>212.36985204649764</c:v>
                </c:pt>
                <c:pt idx="172">
                  <c:v>212.36985204649764</c:v>
                </c:pt>
                <c:pt idx="173">
                  <c:v>212.36985204649764</c:v>
                </c:pt>
                <c:pt idx="174">
                  <c:v>175.44514599999999</c:v>
                </c:pt>
                <c:pt idx="175">
                  <c:v>163.82093499999999</c:v>
                </c:pt>
                <c:pt idx="176">
                  <c:v>212.36985204649764</c:v>
                </c:pt>
                <c:pt idx="177">
                  <c:v>138.19765100000001</c:v>
                </c:pt>
                <c:pt idx="178">
                  <c:v>142.21125700000002</c:v>
                </c:pt>
                <c:pt idx="179">
                  <c:v>208.04583</c:v>
                </c:pt>
                <c:pt idx="180">
                  <c:v>212.36985204649764</c:v>
                </c:pt>
                <c:pt idx="181">
                  <c:v>201.77141510917494</c:v>
                </c:pt>
                <c:pt idx="182">
                  <c:v>116.65366299999999</c:v>
                </c:pt>
                <c:pt idx="183">
                  <c:v>59.233159000000001</c:v>
                </c:pt>
                <c:pt idx="184">
                  <c:v>85.570998000000003</c:v>
                </c:pt>
                <c:pt idx="185">
                  <c:v>146.74572899999998</c:v>
                </c:pt>
                <c:pt idx="186">
                  <c:v>136.76976400000001</c:v>
                </c:pt>
                <c:pt idx="187">
                  <c:v>69.506714000000002</c:v>
                </c:pt>
                <c:pt idx="188">
                  <c:v>162.11311200000003</c:v>
                </c:pt>
                <c:pt idx="189">
                  <c:v>139.32670400000001</c:v>
                </c:pt>
                <c:pt idx="190">
                  <c:v>117.505933</c:v>
                </c:pt>
                <c:pt idx="191">
                  <c:v>201.77141510917494</c:v>
                </c:pt>
                <c:pt idx="192">
                  <c:v>177.23169000000001</c:v>
                </c:pt>
                <c:pt idx="193">
                  <c:v>142.902986</c:v>
                </c:pt>
                <c:pt idx="194">
                  <c:v>198.94388500000002</c:v>
                </c:pt>
                <c:pt idx="195">
                  <c:v>201.77141510917494</c:v>
                </c:pt>
                <c:pt idx="196">
                  <c:v>201.77141510917494</c:v>
                </c:pt>
                <c:pt idx="197">
                  <c:v>201.77141510917494</c:v>
                </c:pt>
                <c:pt idx="198">
                  <c:v>201.77141510917494</c:v>
                </c:pt>
                <c:pt idx="199">
                  <c:v>201.77141510917494</c:v>
                </c:pt>
                <c:pt idx="200">
                  <c:v>201.77141510917494</c:v>
                </c:pt>
                <c:pt idx="201">
                  <c:v>201.77141510917494</c:v>
                </c:pt>
                <c:pt idx="202">
                  <c:v>201.77141510917494</c:v>
                </c:pt>
                <c:pt idx="203">
                  <c:v>68.061356000000004</c:v>
                </c:pt>
                <c:pt idx="204">
                  <c:v>23.369688999999997</c:v>
                </c:pt>
                <c:pt idx="205">
                  <c:v>46.521746999999998</c:v>
                </c:pt>
                <c:pt idx="206">
                  <c:v>101.47027600000001</c:v>
                </c:pt>
                <c:pt idx="207">
                  <c:v>138.59802299999998</c:v>
                </c:pt>
                <c:pt idx="208">
                  <c:v>125.51275699999999</c:v>
                </c:pt>
                <c:pt idx="209">
                  <c:v>201.77141510917494</c:v>
                </c:pt>
                <c:pt idx="210">
                  <c:v>198.45922300000001</c:v>
                </c:pt>
                <c:pt idx="211">
                  <c:v>201.77141510917494</c:v>
                </c:pt>
                <c:pt idx="212">
                  <c:v>168.58444609315609</c:v>
                </c:pt>
                <c:pt idx="213">
                  <c:v>76.23691199999999</c:v>
                </c:pt>
                <c:pt idx="214">
                  <c:v>168.58444609315609</c:v>
                </c:pt>
                <c:pt idx="215">
                  <c:v>168.58444609315609</c:v>
                </c:pt>
                <c:pt idx="216">
                  <c:v>111.209886</c:v>
                </c:pt>
                <c:pt idx="217">
                  <c:v>168.58444609315609</c:v>
                </c:pt>
                <c:pt idx="218">
                  <c:v>168.58444609315609</c:v>
                </c:pt>
                <c:pt idx="219">
                  <c:v>143.09699700000002</c:v>
                </c:pt>
                <c:pt idx="220">
                  <c:v>125.65317399999999</c:v>
                </c:pt>
                <c:pt idx="221">
                  <c:v>84.318607</c:v>
                </c:pt>
                <c:pt idx="222">
                  <c:v>168.58444609315609</c:v>
                </c:pt>
                <c:pt idx="223">
                  <c:v>168.58444609315609</c:v>
                </c:pt>
                <c:pt idx="224">
                  <c:v>78.330196000000001</c:v>
                </c:pt>
                <c:pt idx="225">
                  <c:v>117.66481300000001</c:v>
                </c:pt>
                <c:pt idx="226">
                  <c:v>168.58444609315609</c:v>
                </c:pt>
                <c:pt idx="227">
                  <c:v>168.58444609315609</c:v>
                </c:pt>
                <c:pt idx="228">
                  <c:v>168.58444609315609</c:v>
                </c:pt>
                <c:pt idx="229">
                  <c:v>122.07006099999998</c:v>
                </c:pt>
                <c:pt idx="230">
                  <c:v>63.650377999999996</c:v>
                </c:pt>
                <c:pt idx="231">
                  <c:v>47.180749000000006</c:v>
                </c:pt>
                <c:pt idx="232">
                  <c:v>40.098511000000002</c:v>
                </c:pt>
                <c:pt idx="233">
                  <c:v>63.853593000000004</c:v>
                </c:pt>
                <c:pt idx="234">
                  <c:v>168.58444609315609</c:v>
                </c:pt>
                <c:pt idx="235">
                  <c:v>168.58444609315609</c:v>
                </c:pt>
                <c:pt idx="236">
                  <c:v>138.57889900000001</c:v>
                </c:pt>
                <c:pt idx="237">
                  <c:v>52.446289999999998</c:v>
                </c:pt>
                <c:pt idx="238">
                  <c:v>55.059881000000004</c:v>
                </c:pt>
                <c:pt idx="239">
                  <c:v>64.012494000000004</c:v>
                </c:pt>
                <c:pt idx="240">
                  <c:v>87.578181000000001</c:v>
                </c:pt>
                <c:pt idx="241">
                  <c:v>73.165562000000008</c:v>
                </c:pt>
                <c:pt idx="242">
                  <c:v>148.2255854318004</c:v>
                </c:pt>
                <c:pt idx="243">
                  <c:v>90.774007999999995</c:v>
                </c:pt>
                <c:pt idx="244">
                  <c:v>108.63253899999999</c:v>
                </c:pt>
                <c:pt idx="245">
                  <c:v>61.361021000000001</c:v>
                </c:pt>
                <c:pt idx="246">
                  <c:v>77.206767999999997</c:v>
                </c:pt>
                <c:pt idx="247">
                  <c:v>120.716683</c:v>
                </c:pt>
                <c:pt idx="248">
                  <c:v>91.633792</c:v>
                </c:pt>
                <c:pt idx="249">
                  <c:v>148.2255854318004</c:v>
                </c:pt>
                <c:pt idx="250">
                  <c:v>148.2255854318004</c:v>
                </c:pt>
                <c:pt idx="251">
                  <c:v>148.2255854318004</c:v>
                </c:pt>
                <c:pt idx="252">
                  <c:v>148.2255854318004</c:v>
                </c:pt>
                <c:pt idx="253">
                  <c:v>148.2255854318004</c:v>
                </c:pt>
                <c:pt idx="254">
                  <c:v>148.2255854318004</c:v>
                </c:pt>
                <c:pt idx="255">
                  <c:v>148.2255854318004</c:v>
                </c:pt>
                <c:pt idx="256">
                  <c:v>148.2255854318004</c:v>
                </c:pt>
                <c:pt idx="257">
                  <c:v>148.2255854318004</c:v>
                </c:pt>
                <c:pt idx="258">
                  <c:v>106.189633</c:v>
                </c:pt>
                <c:pt idx="259">
                  <c:v>148.2255854318004</c:v>
                </c:pt>
                <c:pt idx="260">
                  <c:v>148.2255854318004</c:v>
                </c:pt>
                <c:pt idx="261">
                  <c:v>87.60540300000001</c:v>
                </c:pt>
                <c:pt idx="262">
                  <c:v>147.67714699999999</c:v>
                </c:pt>
                <c:pt idx="263">
                  <c:v>119.54665200000001</c:v>
                </c:pt>
                <c:pt idx="264">
                  <c:v>120.54001700000001</c:v>
                </c:pt>
                <c:pt idx="265">
                  <c:v>148.2255854318004</c:v>
                </c:pt>
                <c:pt idx="266">
                  <c:v>133.72583799999998</c:v>
                </c:pt>
                <c:pt idx="267">
                  <c:v>88.334888000000007</c:v>
                </c:pt>
                <c:pt idx="268">
                  <c:v>52.270097</c:v>
                </c:pt>
                <c:pt idx="269">
                  <c:v>48.856767999999995</c:v>
                </c:pt>
                <c:pt idx="270">
                  <c:v>81.929534000000004</c:v>
                </c:pt>
                <c:pt idx="271">
                  <c:v>117.86805100000001</c:v>
                </c:pt>
                <c:pt idx="272">
                  <c:v>107.58759400000001</c:v>
                </c:pt>
                <c:pt idx="273">
                  <c:v>104.232285</c:v>
                </c:pt>
                <c:pt idx="274">
                  <c:v>60.775233</c:v>
                </c:pt>
                <c:pt idx="275">
                  <c:v>124.32971499999999</c:v>
                </c:pt>
                <c:pt idx="276">
                  <c:v>102.69985699999999</c:v>
                </c:pt>
                <c:pt idx="277">
                  <c:v>87.217461999999998</c:v>
                </c:pt>
                <c:pt idx="278">
                  <c:v>124.337554</c:v>
                </c:pt>
                <c:pt idx="279">
                  <c:v>101.421727</c:v>
                </c:pt>
                <c:pt idx="280">
                  <c:v>72.168437000000011</c:v>
                </c:pt>
                <c:pt idx="281">
                  <c:v>96.902244999999994</c:v>
                </c:pt>
                <c:pt idx="282">
                  <c:v>108.52340700000001</c:v>
                </c:pt>
                <c:pt idx="283">
                  <c:v>125.36009436679667</c:v>
                </c:pt>
                <c:pt idx="284">
                  <c:v>125.36009436679667</c:v>
                </c:pt>
                <c:pt idx="285">
                  <c:v>97.78537</c:v>
                </c:pt>
                <c:pt idx="286">
                  <c:v>73.387034</c:v>
                </c:pt>
                <c:pt idx="287">
                  <c:v>113.433581</c:v>
                </c:pt>
                <c:pt idx="288">
                  <c:v>105.03147199999999</c:v>
                </c:pt>
                <c:pt idx="289">
                  <c:v>96.274867</c:v>
                </c:pt>
                <c:pt idx="290">
                  <c:v>119.659942</c:v>
                </c:pt>
                <c:pt idx="291">
                  <c:v>91.504491999999999</c:v>
                </c:pt>
                <c:pt idx="292">
                  <c:v>125.36009436679667</c:v>
                </c:pt>
                <c:pt idx="293">
                  <c:v>125.36009436679667</c:v>
                </c:pt>
                <c:pt idx="294">
                  <c:v>118.332554</c:v>
                </c:pt>
                <c:pt idx="295">
                  <c:v>125.36009436679667</c:v>
                </c:pt>
                <c:pt idx="296">
                  <c:v>125.36009436679667</c:v>
                </c:pt>
                <c:pt idx="297">
                  <c:v>113.47672999999999</c:v>
                </c:pt>
                <c:pt idx="298">
                  <c:v>125.36009436679667</c:v>
                </c:pt>
                <c:pt idx="299">
                  <c:v>125.36009436679667</c:v>
                </c:pt>
                <c:pt idx="300">
                  <c:v>125.36009436679667</c:v>
                </c:pt>
                <c:pt idx="301">
                  <c:v>71.413732999999993</c:v>
                </c:pt>
                <c:pt idx="302">
                  <c:v>68.069317999999996</c:v>
                </c:pt>
                <c:pt idx="303">
                  <c:v>53.796114000000003</c:v>
                </c:pt>
                <c:pt idx="304">
                  <c:v>81.503187999999994</c:v>
                </c:pt>
                <c:pt idx="305">
                  <c:v>108.56992200000001</c:v>
                </c:pt>
                <c:pt idx="306">
                  <c:v>123.30335963364223</c:v>
                </c:pt>
                <c:pt idx="307">
                  <c:v>123.30335963364223</c:v>
                </c:pt>
                <c:pt idx="308">
                  <c:v>123.30335963364223</c:v>
                </c:pt>
                <c:pt idx="309">
                  <c:v>99.963069000000004</c:v>
                </c:pt>
                <c:pt idx="310">
                  <c:v>118.72583</c:v>
                </c:pt>
                <c:pt idx="311">
                  <c:v>106.795545</c:v>
                </c:pt>
                <c:pt idx="312">
                  <c:v>101.93258</c:v>
                </c:pt>
                <c:pt idx="313">
                  <c:v>123.30335963364223</c:v>
                </c:pt>
                <c:pt idx="314">
                  <c:v>123.30335963364223</c:v>
                </c:pt>
                <c:pt idx="315">
                  <c:v>123.30335963364223</c:v>
                </c:pt>
                <c:pt idx="316">
                  <c:v>123.30335963364223</c:v>
                </c:pt>
                <c:pt idx="317">
                  <c:v>123.30335963364223</c:v>
                </c:pt>
                <c:pt idx="318">
                  <c:v>123.30335963364223</c:v>
                </c:pt>
                <c:pt idx="319">
                  <c:v>110.358834</c:v>
                </c:pt>
                <c:pt idx="320">
                  <c:v>123.30335963364223</c:v>
                </c:pt>
                <c:pt idx="321">
                  <c:v>90.256762000000009</c:v>
                </c:pt>
                <c:pt idx="322">
                  <c:v>60.920558</c:v>
                </c:pt>
                <c:pt idx="323">
                  <c:v>54.755589000000001</c:v>
                </c:pt>
                <c:pt idx="324">
                  <c:v>107.60026499999999</c:v>
                </c:pt>
                <c:pt idx="325">
                  <c:v>123.30335963364223</c:v>
                </c:pt>
                <c:pt idx="326">
                  <c:v>123.30335963364223</c:v>
                </c:pt>
                <c:pt idx="327">
                  <c:v>99.352208000000005</c:v>
                </c:pt>
                <c:pt idx="328">
                  <c:v>96.195096000000007</c:v>
                </c:pt>
                <c:pt idx="329">
                  <c:v>97.58481900000001</c:v>
                </c:pt>
                <c:pt idx="330">
                  <c:v>123.30335963364223</c:v>
                </c:pt>
                <c:pt idx="331">
                  <c:v>123.30335963364223</c:v>
                </c:pt>
                <c:pt idx="332">
                  <c:v>123.30335963364223</c:v>
                </c:pt>
                <c:pt idx="333">
                  <c:v>123.30335963364223</c:v>
                </c:pt>
                <c:pt idx="334">
                  <c:v>105.186589</c:v>
                </c:pt>
                <c:pt idx="335">
                  <c:v>65.453987999999995</c:v>
                </c:pt>
                <c:pt idx="336">
                  <c:v>81.198025000000015</c:v>
                </c:pt>
                <c:pt idx="337">
                  <c:v>117.955766</c:v>
                </c:pt>
                <c:pt idx="338">
                  <c:v>119.88874866280776</c:v>
                </c:pt>
                <c:pt idx="339">
                  <c:v>119.88874866280776</c:v>
                </c:pt>
                <c:pt idx="340">
                  <c:v>119.88874866280776</c:v>
                </c:pt>
                <c:pt idx="341">
                  <c:v>90.908063999999996</c:v>
                </c:pt>
                <c:pt idx="342">
                  <c:v>83.165186000000006</c:v>
                </c:pt>
                <c:pt idx="343">
                  <c:v>63.679190999999996</c:v>
                </c:pt>
                <c:pt idx="344">
                  <c:v>70.816256999999993</c:v>
                </c:pt>
                <c:pt idx="345">
                  <c:v>105.14160200000001</c:v>
                </c:pt>
                <c:pt idx="346">
                  <c:v>77.889082000000002</c:v>
                </c:pt>
                <c:pt idx="347">
                  <c:v>88.148835999999989</c:v>
                </c:pt>
                <c:pt idx="348">
                  <c:v>119.88874866280776</c:v>
                </c:pt>
                <c:pt idx="349">
                  <c:v>119.88874866280776</c:v>
                </c:pt>
                <c:pt idx="350">
                  <c:v>119.88874866280776</c:v>
                </c:pt>
                <c:pt idx="351">
                  <c:v>119.88874866280776</c:v>
                </c:pt>
                <c:pt idx="352">
                  <c:v>100.68488499999999</c:v>
                </c:pt>
                <c:pt idx="353">
                  <c:v>70.082198000000005</c:v>
                </c:pt>
                <c:pt idx="354">
                  <c:v>75.086461</c:v>
                </c:pt>
                <c:pt idx="355">
                  <c:v>119.88874866280776</c:v>
                </c:pt>
                <c:pt idx="356">
                  <c:v>119.88874866280776</c:v>
                </c:pt>
                <c:pt idx="357">
                  <c:v>119.88874866280776</c:v>
                </c:pt>
                <c:pt idx="358">
                  <c:v>84.560846999999995</c:v>
                </c:pt>
                <c:pt idx="359">
                  <c:v>43.339232000000003</c:v>
                </c:pt>
                <c:pt idx="360">
                  <c:v>80.723176000000009</c:v>
                </c:pt>
                <c:pt idx="361">
                  <c:v>119.88874866280776</c:v>
                </c:pt>
                <c:pt idx="362">
                  <c:v>107.65864099999999</c:v>
                </c:pt>
                <c:pt idx="363">
                  <c:v>70.593452999999997</c:v>
                </c:pt>
                <c:pt idx="364">
                  <c:v>79.501626999999999</c:v>
                </c:pt>
                <c:pt idx="365">
                  <c:v>99.476600000000005</c:v>
                </c:pt>
                <c:pt idx="366">
                  <c:v>37.8217</c:v>
                </c:pt>
                <c:pt idx="367">
                  <c:v>22.157499999999999</c:v>
                </c:pt>
                <c:pt idx="368">
                  <c:v>30.341200000000001</c:v>
                </c:pt>
                <c:pt idx="369">
                  <c:v>74.007100000000008</c:v>
                </c:pt>
                <c:pt idx="370">
                  <c:v>117.9826799919754</c:v>
                </c:pt>
                <c:pt idx="371">
                  <c:v>117.9826799919754</c:v>
                </c:pt>
                <c:pt idx="372">
                  <c:v>117.9826799919754</c:v>
                </c:pt>
                <c:pt idx="373">
                  <c:v>114.539</c:v>
                </c:pt>
                <c:pt idx="374">
                  <c:v>68.691299999999998</c:v>
                </c:pt>
                <c:pt idx="375">
                  <c:v>35.168300000000002</c:v>
                </c:pt>
                <c:pt idx="376">
                  <c:v>46.061800000000005</c:v>
                </c:pt>
                <c:pt idx="377">
                  <c:v>117.9826799919754</c:v>
                </c:pt>
                <c:pt idx="378">
                  <c:v>116.2063</c:v>
                </c:pt>
                <c:pt idx="379">
                  <c:v>46.036099999999998</c:v>
                </c:pt>
                <c:pt idx="380">
                  <c:v>76.563600000000008</c:v>
                </c:pt>
                <c:pt idx="381">
                  <c:v>49.178800000000003</c:v>
                </c:pt>
                <c:pt idx="382">
                  <c:v>102.5</c:v>
                </c:pt>
                <c:pt idx="383">
                  <c:v>92.060399999999987</c:v>
                </c:pt>
                <c:pt idx="384">
                  <c:v>117.9826799919754</c:v>
                </c:pt>
                <c:pt idx="385">
                  <c:v>117.9826799919754</c:v>
                </c:pt>
                <c:pt idx="386">
                  <c:v>117.9826799919754</c:v>
                </c:pt>
                <c:pt idx="387">
                  <c:v>117.9826799919754</c:v>
                </c:pt>
                <c:pt idx="388">
                  <c:v>117.9826799919754</c:v>
                </c:pt>
                <c:pt idx="389">
                  <c:v>116.51889999999999</c:v>
                </c:pt>
                <c:pt idx="390">
                  <c:v>99.964799999999997</c:v>
                </c:pt>
                <c:pt idx="391">
                  <c:v>79.377100000000013</c:v>
                </c:pt>
                <c:pt idx="392">
                  <c:v>58.450699999999998</c:v>
                </c:pt>
                <c:pt idx="393">
                  <c:v>117.9826799919754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9.9157058673782661</c:v>
                </c:pt>
                <c:pt idx="1">
                  <c:v>20.153271213409287</c:v>
                </c:pt>
                <c:pt idx="2">
                  <c:v>24.629811097405561</c:v>
                </c:pt>
                <c:pt idx="3">
                  <c:v>19.219243357407425</c:v>
                </c:pt>
                <c:pt idx="4">
                  <c:v>2.4857805174055612</c:v>
                </c:pt>
                <c:pt idx="5">
                  <c:v>1.1927802294074208</c:v>
                </c:pt>
                <c:pt idx="6">
                  <c:v>1.9528572214055602</c:v>
                </c:pt>
                <c:pt idx="7">
                  <c:v>10.516595965407426</c:v>
                </c:pt>
                <c:pt idx="8">
                  <c:v>23.06971625332412</c:v>
                </c:pt>
                <c:pt idx="9">
                  <c:v>17.835714077325989</c:v>
                </c:pt>
                <c:pt idx="10">
                  <c:v>15.430868341322261</c:v>
                </c:pt>
                <c:pt idx="11">
                  <c:v>1.5664787813259899</c:v>
                </c:pt>
                <c:pt idx="12">
                  <c:v>1.4851167173222639</c:v>
                </c:pt>
                <c:pt idx="13">
                  <c:v>22.501489901325986</c:v>
                </c:pt>
                <c:pt idx="14">
                  <c:v>36.529274045324129</c:v>
                </c:pt>
                <c:pt idx="15">
                  <c:v>49.211002997035102</c:v>
                </c:pt>
                <c:pt idx="16">
                  <c:v>23.439750845033238</c:v>
                </c:pt>
                <c:pt idx="17">
                  <c:v>17.305753081036965</c:v>
                </c:pt>
                <c:pt idx="18">
                  <c:v>7.5177133050350964</c:v>
                </c:pt>
                <c:pt idx="19">
                  <c:v>6.3890751850351011</c:v>
                </c:pt>
                <c:pt idx="20">
                  <c:v>29.609922117035094</c:v>
                </c:pt>
                <c:pt idx="21">
                  <c:v>41.249954653035104</c:v>
                </c:pt>
                <c:pt idx="22">
                  <c:v>47.738555841733351</c:v>
                </c:pt>
                <c:pt idx="23">
                  <c:v>28.364571265733343</c:v>
                </c:pt>
                <c:pt idx="24">
                  <c:v>14.38581081373521</c:v>
                </c:pt>
                <c:pt idx="25">
                  <c:v>9.8621068577314794</c:v>
                </c:pt>
                <c:pt idx="26">
                  <c:v>13.26400406973521</c:v>
                </c:pt>
                <c:pt idx="27">
                  <c:v>20.942873981735211</c:v>
                </c:pt>
                <c:pt idx="28">
                  <c:v>31.611556617735207</c:v>
                </c:pt>
                <c:pt idx="29">
                  <c:v>49.582627884398121</c:v>
                </c:pt>
                <c:pt idx="30">
                  <c:v>34.494749008399985</c:v>
                </c:pt>
                <c:pt idx="31">
                  <c:v>33.263345404401854</c:v>
                </c:pt>
                <c:pt idx="32">
                  <c:v>31.916821480398124</c:v>
                </c:pt>
                <c:pt idx="33">
                  <c:v>32.320732376400919</c:v>
                </c:pt>
                <c:pt idx="34">
                  <c:v>36.530324628400912</c:v>
                </c:pt>
                <c:pt idx="35">
                  <c:v>44.161732320401846</c:v>
                </c:pt>
                <c:pt idx="36">
                  <c:v>51.275678575480406</c:v>
                </c:pt>
                <c:pt idx="37">
                  <c:v>57.804757795484143</c:v>
                </c:pt>
                <c:pt idx="38">
                  <c:v>58.90136793548227</c:v>
                </c:pt>
                <c:pt idx="39">
                  <c:v>31.952608363482273</c:v>
                </c:pt>
                <c:pt idx="40">
                  <c:v>27.311554463484136</c:v>
                </c:pt>
                <c:pt idx="41">
                  <c:v>33.411277655482273</c:v>
                </c:pt>
                <c:pt idx="42">
                  <c:v>57.046941845482273</c:v>
                </c:pt>
                <c:pt idx="43">
                  <c:v>40.685804836433135</c:v>
                </c:pt>
                <c:pt idx="44">
                  <c:v>49.477684980431263</c:v>
                </c:pt>
                <c:pt idx="45">
                  <c:v>55.657722726433128</c:v>
                </c:pt>
                <c:pt idx="46">
                  <c:v>60.389695256433129</c:v>
                </c:pt>
                <c:pt idx="47">
                  <c:v>50.658292656433126</c:v>
                </c:pt>
                <c:pt idx="48">
                  <c:v>17.849682186431274</c:v>
                </c:pt>
                <c:pt idx="49">
                  <c:v>33.288567356433134</c:v>
                </c:pt>
                <c:pt idx="50">
                  <c:v>97.476409926170803</c:v>
                </c:pt>
                <c:pt idx="51">
                  <c:v>126.2414094481708</c:v>
                </c:pt>
                <c:pt idx="52">
                  <c:v>116.10034370617173</c:v>
                </c:pt>
                <c:pt idx="53">
                  <c:v>92.92507380816987</c:v>
                </c:pt>
                <c:pt idx="54">
                  <c:v>89.938227088171729</c:v>
                </c:pt>
                <c:pt idx="55">
                  <c:v>109.4669571661708</c:v>
                </c:pt>
                <c:pt idx="56">
                  <c:v>110.00145380616986</c:v>
                </c:pt>
                <c:pt idx="57">
                  <c:v>97.71259092256328</c:v>
                </c:pt>
                <c:pt idx="58">
                  <c:v>100.97976351856143</c:v>
                </c:pt>
                <c:pt idx="59">
                  <c:v>95.019777810563269</c:v>
                </c:pt>
                <c:pt idx="60">
                  <c:v>73.238647778563291</c:v>
                </c:pt>
                <c:pt idx="61">
                  <c:v>67.491461476561412</c:v>
                </c:pt>
                <c:pt idx="62">
                  <c:v>90.539297578563279</c:v>
                </c:pt>
                <c:pt idx="63">
                  <c:v>84.920933158563273</c:v>
                </c:pt>
                <c:pt idx="64">
                  <c:v>92.090104163520209</c:v>
                </c:pt>
                <c:pt idx="65">
                  <c:v>85.06945982151835</c:v>
                </c:pt>
                <c:pt idx="66">
                  <c:v>82.499194099520196</c:v>
                </c:pt>
                <c:pt idx="67">
                  <c:v>85.196646417518352</c:v>
                </c:pt>
                <c:pt idx="68">
                  <c:v>88.352665449518341</c:v>
                </c:pt>
                <c:pt idx="69">
                  <c:v>122.2032016355202</c:v>
                </c:pt>
                <c:pt idx="70">
                  <c:v>133.2698394595202</c:v>
                </c:pt>
                <c:pt idx="71">
                  <c:v>92.376966588720165</c:v>
                </c:pt>
                <c:pt idx="72">
                  <c:v>96.612491752722022</c:v>
                </c:pt>
                <c:pt idx="73">
                  <c:v>95.489208220722034</c:v>
                </c:pt>
                <c:pt idx="74">
                  <c:v>70.060299420722032</c:v>
                </c:pt>
                <c:pt idx="75">
                  <c:v>48.015287764720171</c:v>
                </c:pt>
                <c:pt idx="76">
                  <c:v>87.2994411447239</c:v>
                </c:pt>
                <c:pt idx="77">
                  <c:v>92.342187160720158</c:v>
                </c:pt>
                <c:pt idx="78">
                  <c:v>70.111621425442806</c:v>
                </c:pt>
                <c:pt idx="79">
                  <c:v>63.088121337444669</c:v>
                </c:pt>
                <c:pt idx="80">
                  <c:v>55.397761157440947</c:v>
                </c:pt>
                <c:pt idx="81">
                  <c:v>53.693995237442813</c:v>
                </c:pt>
                <c:pt idx="82">
                  <c:v>46.526884517442817</c:v>
                </c:pt>
                <c:pt idx="83">
                  <c:v>85.732369433442813</c:v>
                </c:pt>
                <c:pt idx="84">
                  <c:v>88.500465897440961</c:v>
                </c:pt>
                <c:pt idx="85">
                  <c:v>69.851458300664419</c:v>
                </c:pt>
                <c:pt idx="86">
                  <c:v>67.886973940664419</c:v>
                </c:pt>
                <c:pt idx="87">
                  <c:v>81.418604596664423</c:v>
                </c:pt>
                <c:pt idx="88">
                  <c:v>64.213849756666278</c:v>
                </c:pt>
                <c:pt idx="89">
                  <c:v>59.651142740662557</c:v>
                </c:pt>
                <c:pt idx="90">
                  <c:v>79.045761708664415</c:v>
                </c:pt>
                <c:pt idx="91">
                  <c:v>62.100601868663496</c:v>
                </c:pt>
                <c:pt idx="92">
                  <c:v>70.402396138760267</c:v>
                </c:pt>
                <c:pt idx="93">
                  <c:v>82.667161910759333</c:v>
                </c:pt>
                <c:pt idx="94">
                  <c:v>78.066907996759326</c:v>
                </c:pt>
                <c:pt idx="95">
                  <c:v>61.534131550759327</c:v>
                </c:pt>
                <c:pt idx="96">
                  <c:v>45.123614910761191</c:v>
                </c:pt>
                <c:pt idx="97">
                  <c:v>40.704781300759329</c:v>
                </c:pt>
                <c:pt idx="98">
                  <c:v>62.039171170759332</c:v>
                </c:pt>
                <c:pt idx="99">
                  <c:v>180.84187507717817</c:v>
                </c:pt>
                <c:pt idx="100">
                  <c:v>177.39079880117723</c:v>
                </c:pt>
                <c:pt idx="101">
                  <c:v>170.68153854117722</c:v>
                </c:pt>
                <c:pt idx="102">
                  <c:v>168.05536761117725</c:v>
                </c:pt>
                <c:pt idx="103">
                  <c:v>178.62972340117724</c:v>
                </c:pt>
                <c:pt idx="104">
                  <c:v>193.30177418717724</c:v>
                </c:pt>
                <c:pt idx="105">
                  <c:v>197.34683710117724</c:v>
                </c:pt>
                <c:pt idx="106">
                  <c:v>189.05654969500449</c:v>
                </c:pt>
                <c:pt idx="107">
                  <c:v>209.45691207300081</c:v>
                </c:pt>
                <c:pt idx="108">
                  <c:v>188.86810224900265</c:v>
                </c:pt>
                <c:pt idx="109">
                  <c:v>170.36948992900079</c:v>
                </c:pt>
                <c:pt idx="110">
                  <c:v>171.48715503300267</c:v>
                </c:pt>
                <c:pt idx="111">
                  <c:v>179.30444694500451</c:v>
                </c:pt>
                <c:pt idx="112">
                  <c:v>167.23171702900268</c:v>
                </c:pt>
                <c:pt idx="113">
                  <c:v>154.88950531000887</c:v>
                </c:pt>
                <c:pt idx="114">
                  <c:v>129.28449326600702</c:v>
                </c:pt>
                <c:pt idx="115">
                  <c:v>104.61240697200887</c:v>
                </c:pt>
                <c:pt idx="116">
                  <c:v>116.87822096001074</c:v>
                </c:pt>
                <c:pt idx="117">
                  <c:v>109.73485186600701</c:v>
                </c:pt>
                <c:pt idx="118">
                  <c:v>115.48806524600887</c:v>
                </c:pt>
                <c:pt idx="119">
                  <c:v>142.79488232000887</c:v>
                </c:pt>
                <c:pt idx="120">
                  <c:v>145.75309296089668</c:v>
                </c:pt>
                <c:pt idx="121">
                  <c:v>138.2532446589004</c:v>
                </c:pt>
                <c:pt idx="122">
                  <c:v>121.61256647889853</c:v>
                </c:pt>
                <c:pt idx="123">
                  <c:v>122.66184857089854</c:v>
                </c:pt>
                <c:pt idx="124">
                  <c:v>127.50319563090041</c:v>
                </c:pt>
                <c:pt idx="125">
                  <c:v>176.49416036089852</c:v>
                </c:pt>
                <c:pt idx="126">
                  <c:v>186.71938942089855</c:v>
                </c:pt>
                <c:pt idx="127">
                  <c:v>122.40887442801942</c:v>
                </c:pt>
                <c:pt idx="128">
                  <c:v>113.46114075602128</c:v>
                </c:pt>
                <c:pt idx="129">
                  <c:v>108.12699205602127</c:v>
                </c:pt>
                <c:pt idx="130">
                  <c:v>79.585318456017546</c:v>
                </c:pt>
                <c:pt idx="131">
                  <c:v>78.225685954021273</c:v>
                </c:pt>
                <c:pt idx="132">
                  <c:v>89.220336424019408</c:v>
                </c:pt>
                <c:pt idx="133">
                  <c:v>103.77480175601941</c:v>
                </c:pt>
                <c:pt idx="134">
                  <c:v>65.034512115070655</c:v>
                </c:pt>
                <c:pt idx="135">
                  <c:v>63.201680711070658</c:v>
                </c:pt>
                <c:pt idx="136">
                  <c:v>62.774371647068797</c:v>
                </c:pt>
                <c:pt idx="137">
                  <c:v>56.383921859072522</c:v>
                </c:pt>
                <c:pt idx="138">
                  <c:v>38.968119675068799</c:v>
                </c:pt>
                <c:pt idx="139">
                  <c:v>71.525197235070664</c:v>
                </c:pt>
                <c:pt idx="140">
                  <c:v>56.168955615070651</c:v>
                </c:pt>
                <c:pt idx="141">
                  <c:v>180.60643095807191</c:v>
                </c:pt>
                <c:pt idx="142">
                  <c:v>169.89213577406818</c:v>
                </c:pt>
                <c:pt idx="143">
                  <c:v>170.88705726807007</c:v>
                </c:pt>
                <c:pt idx="144">
                  <c:v>143.72096823607004</c:v>
                </c:pt>
                <c:pt idx="145">
                  <c:v>146.16635474007003</c:v>
                </c:pt>
                <c:pt idx="146">
                  <c:v>197.65533248207188</c:v>
                </c:pt>
                <c:pt idx="147">
                  <c:v>215.52559173807003</c:v>
                </c:pt>
                <c:pt idx="148">
                  <c:v>272.77278553889727</c:v>
                </c:pt>
                <c:pt idx="149">
                  <c:v>274.90935913289542</c:v>
                </c:pt>
                <c:pt idx="150">
                  <c:v>270.00909163489729</c:v>
                </c:pt>
                <c:pt idx="151">
                  <c:v>254.71119680889728</c:v>
                </c:pt>
                <c:pt idx="152">
                  <c:v>254.40040566889539</c:v>
                </c:pt>
                <c:pt idx="153">
                  <c:v>264.16481982089732</c:v>
                </c:pt>
                <c:pt idx="154">
                  <c:v>271.8285615768973</c:v>
                </c:pt>
                <c:pt idx="155">
                  <c:v>264.69917688939915</c:v>
                </c:pt>
                <c:pt idx="156">
                  <c:v>286.15559700740289</c:v>
                </c:pt>
                <c:pt idx="157">
                  <c:v>289.61979758139728</c:v>
                </c:pt>
                <c:pt idx="158">
                  <c:v>278.80101450739915</c:v>
                </c:pt>
                <c:pt idx="159">
                  <c:v>257.81252644740101</c:v>
                </c:pt>
                <c:pt idx="160">
                  <c:v>267.98680918739916</c:v>
                </c:pt>
                <c:pt idx="161">
                  <c:v>273.08607894139914</c:v>
                </c:pt>
                <c:pt idx="162">
                  <c:v>328.35034569002192</c:v>
                </c:pt>
                <c:pt idx="163">
                  <c:v>338.46690690801819</c:v>
                </c:pt>
                <c:pt idx="164">
                  <c:v>330.21618203802012</c:v>
                </c:pt>
                <c:pt idx="165">
                  <c:v>329.21509739802195</c:v>
                </c:pt>
                <c:pt idx="166">
                  <c:v>318.32656510201821</c:v>
                </c:pt>
                <c:pt idx="167">
                  <c:v>312.74145280202379</c:v>
                </c:pt>
                <c:pt idx="168">
                  <c:v>324.37305973601821</c:v>
                </c:pt>
                <c:pt idx="169">
                  <c:v>252.24251934147989</c:v>
                </c:pt>
                <c:pt idx="170">
                  <c:v>250.59862646548177</c:v>
                </c:pt>
                <c:pt idx="171">
                  <c:v>245.08805602347991</c:v>
                </c:pt>
                <c:pt idx="172">
                  <c:v>229.47553713947806</c:v>
                </c:pt>
                <c:pt idx="173">
                  <c:v>231.64696740947988</c:v>
                </c:pt>
                <c:pt idx="174">
                  <c:v>255.84226607347989</c:v>
                </c:pt>
                <c:pt idx="175">
                  <c:v>251.36682380148363</c:v>
                </c:pt>
                <c:pt idx="176">
                  <c:v>198.79457594217786</c:v>
                </c:pt>
                <c:pt idx="177">
                  <c:v>215.04309710418343</c:v>
                </c:pt>
                <c:pt idx="178">
                  <c:v>213.22380256817971</c:v>
                </c:pt>
                <c:pt idx="179">
                  <c:v>180.78020914617969</c:v>
                </c:pt>
                <c:pt idx="180">
                  <c:v>158.86039014818343</c:v>
                </c:pt>
                <c:pt idx="181">
                  <c:v>180.43640221617972</c:v>
                </c:pt>
                <c:pt idx="182">
                  <c:v>201.88414813417785</c:v>
                </c:pt>
                <c:pt idx="183">
                  <c:v>170.96153258492194</c:v>
                </c:pt>
                <c:pt idx="184">
                  <c:v>157.94996440092009</c:v>
                </c:pt>
                <c:pt idx="185">
                  <c:v>146.89804492091821</c:v>
                </c:pt>
                <c:pt idx="186">
                  <c:v>129.02562271292007</c:v>
                </c:pt>
                <c:pt idx="187">
                  <c:v>122.20455098892009</c:v>
                </c:pt>
                <c:pt idx="188">
                  <c:v>153.32439297692008</c:v>
                </c:pt>
                <c:pt idx="189">
                  <c:v>149.22961850492007</c:v>
                </c:pt>
                <c:pt idx="190">
                  <c:v>129.11398864011255</c:v>
                </c:pt>
                <c:pt idx="191">
                  <c:v>101.23949998610881</c:v>
                </c:pt>
                <c:pt idx="192">
                  <c:v>100.59290683211253</c:v>
                </c:pt>
                <c:pt idx="193">
                  <c:v>72.324729336108817</c:v>
                </c:pt>
                <c:pt idx="194">
                  <c:v>68.548257946110681</c:v>
                </c:pt>
                <c:pt idx="195">
                  <c:v>105.35541978611255</c:v>
                </c:pt>
                <c:pt idx="196">
                  <c:v>84.458917064108817</c:v>
                </c:pt>
                <c:pt idx="197">
                  <c:v>78.6456522491697</c:v>
                </c:pt>
                <c:pt idx="198">
                  <c:v>92.181539105165967</c:v>
                </c:pt>
                <c:pt idx="199">
                  <c:v>86.720284863165972</c:v>
                </c:pt>
                <c:pt idx="200">
                  <c:v>43.176069023169696</c:v>
                </c:pt>
                <c:pt idx="201">
                  <c:v>48.579112891164108</c:v>
                </c:pt>
                <c:pt idx="202">
                  <c:v>100.11940646116783</c:v>
                </c:pt>
                <c:pt idx="203">
                  <c:v>123.59558988916784</c:v>
                </c:pt>
                <c:pt idx="204">
                  <c:v>101.68231273701706</c:v>
                </c:pt>
                <c:pt idx="205">
                  <c:v>100.98737631301704</c:v>
                </c:pt>
                <c:pt idx="206">
                  <c:v>86.623203501018921</c:v>
                </c:pt>
                <c:pt idx="207">
                  <c:v>52.267094185018912</c:v>
                </c:pt>
                <c:pt idx="208">
                  <c:v>22.305643741017047</c:v>
                </c:pt>
                <c:pt idx="209">
                  <c:v>50.199117601017058</c:v>
                </c:pt>
                <c:pt idx="210">
                  <c:v>60.649499513017055</c:v>
                </c:pt>
                <c:pt idx="211">
                  <c:v>75.16902626648239</c:v>
                </c:pt>
                <c:pt idx="212">
                  <c:v>63.751534450480527</c:v>
                </c:pt>
                <c:pt idx="213">
                  <c:v>65.469556810482388</c:v>
                </c:pt>
                <c:pt idx="214">
                  <c:v>42.394872066480531</c:v>
                </c:pt>
                <c:pt idx="215">
                  <c:v>41.921852302478669</c:v>
                </c:pt>
                <c:pt idx="216">
                  <c:v>57.200811402480525</c:v>
                </c:pt>
                <c:pt idx="217">
                  <c:v>72.491779494480539</c:v>
                </c:pt>
                <c:pt idx="218">
                  <c:v>73.096940716146577</c:v>
                </c:pt>
                <c:pt idx="219">
                  <c:v>97.066670200148423</c:v>
                </c:pt>
                <c:pt idx="220">
                  <c:v>89.112006520142856</c:v>
                </c:pt>
                <c:pt idx="221">
                  <c:v>59.675219168146576</c:v>
                </c:pt>
                <c:pt idx="222">
                  <c:v>36.012027652150294</c:v>
                </c:pt>
                <c:pt idx="223">
                  <c:v>71.971308904144706</c:v>
                </c:pt>
                <c:pt idx="224">
                  <c:v>87.948379396146578</c:v>
                </c:pt>
                <c:pt idx="225">
                  <c:v>74.086402859665498</c:v>
                </c:pt>
                <c:pt idx="226">
                  <c:v>65.578525103665498</c:v>
                </c:pt>
                <c:pt idx="227">
                  <c:v>52.700916831667364</c:v>
                </c:pt>
                <c:pt idx="228">
                  <c:v>28.047646551661767</c:v>
                </c:pt>
                <c:pt idx="229">
                  <c:v>25.637126475665493</c:v>
                </c:pt>
                <c:pt idx="230">
                  <c:v>67.720498807665493</c:v>
                </c:pt>
                <c:pt idx="231">
                  <c:v>64.438045755665499</c:v>
                </c:pt>
                <c:pt idx="232">
                  <c:v>77.927893818515969</c:v>
                </c:pt>
                <c:pt idx="233">
                  <c:v>70.428506162521543</c:v>
                </c:pt>
                <c:pt idx="234">
                  <c:v>33.339995286519681</c:v>
                </c:pt>
                <c:pt idx="235">
                  <c:v>20.937989170515962</c:v>
                </c:pt>
                <c:pt idx="236">
                  <c:v>29.937314190521544</c:v>
                </c:pt>
                <c:pt idx="237">
                  <c:v>70.082576902517815</c:v>
                </c:pt>
                <c:pt idx="238">
                  <c:v>69.587241770521544</c:v>
                </c:pt>
                <c:pt idx="239">
                  <c:v>94.811122895477396</c:v>
                </c:pt>
                <c:pt idx="240">
                  <c:v>98.490954667479258</c:v>
                </c:pt>
                <c:pt idx="241">
                  <c:v>95.389488947479265</c:v>
                </c:pt>
                <c:pt idx="242">
                  <c:v>42.147848663479259</c:v>
                </c:pt>
                <c:pt idx="243">
                  <c:v>37.578915619477392</c:v>
                </c:pt>
                <c:pt idx="244">
                  <c:v>62.32738921948112</c:v>
                </c:pt>
                <c:pt idx="245">
                  <c:v>72.060014443477399</c:v>
                </c:pt>
                <c:pt idx="246">
                  <c:v>64.883841791812969</c:v>
                </c:pt>
                <c:pt idx="247">
                  <c:v>60.960911771811105</c:v>
                </c:pt>
                <c:pt idx="248">
                  <c:v>70.572683851807383</c:v>
                </c:pt>
                <c:pt idx="249">
                  <c:v>41.411578935811107</c:v>
                </c:pt>
                <c:pt idx="250">
                  <c:v>41.354636751809245</c:v>
                </c:pt>
                <c:pt idx="251">
                  <c:v>60.27062237980924</c:v>
                </c:pt>
                <c:pt idx="252">
                  <c:v>56.165441323812964</c:v>
                </c:pt>
                <c:pt idx="253">
                  <c:v>64.953505773205393</c:v>
                </c:pt>
                <c:pt idx="254">
                  <c:v>70.248995309207274</c:v>
                </c:pt>
                <c:pt idx="255">
                  <c:v>73.449084457207263</c:v>
                </c:pt>
                <c:pt idx="256">
                  <c:v>61.409645237210988</c:v>
                </c:pt>
                <c:pt idx="257">
                  <c:v>62.933085797205401</c:v>
                </c:pt>
                <c:pt idx="258">
                  <c:v>84.705796105210993</c:v>
                </c:pt>
                <c:pt idx="259">
                  <c:v>82.96181858520913</c:v>
                </c:pt>
                <c:pt idx="260">
                  <c:v>88.422067961818541</c:v>
                </c:pt>
                <c:pt idx="261">
                  <c:v>87.487187521816665</c:v>
                </c:pt>
                <c:pt idx="262">
                  <c:v>81.833325337818536</c:v>
                </c:pt>
                <c:pt idx="263">
                  <c:v>85.378086121820388</c:v>
                </c:pt>
                <c:pt idx="264">
                  <c:v>63.705421921816672</c:v>
                </c:pt>
                <c:pt idx="265">
                  <c:v>71.866288133820404</c:v>
                </c:pt>
                <c:pt idx="266">
                  <c:v>76.699483453822268</c:v>
                </c:pt>
                <c:pt idx="267">
                  <c:v>44.951141361653775</c:v>
                </c:pt>
                <c:pt idx="268">
                  <c:v>84.566878257655645</c:v>
                </c:pt>
                <c:pt idx="269">
                  <c:v>51.342713629655641</c:v>
                </c:pt>
                <c:pt idx="270">
                  <c:v>47.232078169655637</c:v>
                </c:pt>
                <c:pt idx="271">
                  <c:v>30.955034121657505</c:v>
                </c:pt>
                <c:pt idx="272">
                  <c:v>46.388749833651922</c:v>
                </c:pt>
                <c:pt idx="273">
                  <c:v>49.7390358816575</c:v>
                </c:pt>
                <c:pt idx="274">
                  <c:v>59.622137735076741</c:v>
                </c:pt>
                <c:pt idx="275">
                  <c:v>43.383433879082332</c:v>
                </c:pt>
                <c:pt idx="276">
                  <c:v>51.377849187080471</c:v>
                </c:pt>
                <c:pt idx="277">
                  <c:v>46.978688771082325</c:v>
                </c:pt>
                <c:pt idx="278">
                  <c:v>38.849053715080466</c:v>
                </c:pt>
                <c:pt idx="279">
                  <c:v>42.251729895078604</c:v>
                </c:pt>
                <c:pt idx="280">
                  <c:v>48.831029183082336</c:v>
                </c:pt>
                <c:pt idx="281">
                  <c:v>39.655213428078106</c:v>
                </c:pt>
                <c:pt idx="282">
                  <c:v>56.533653168078104</c:v>
                </c:pt>
                <c:pt idx="283">
                  <c:v>35.848084328079977</c:v>
                </c:pt>
                <c:pt idx="284">
                  <c:v>39.187553216074392</c:v>
                </c:pt>
                <c:pt idx="285">
                  <c:v>34.758196140078105</c:v>
                </c:pt>
                <c:pt idx="286">
                  <c:v>71.697258952078101</c:v>
                </c:pt>
                <c:pt idx="287">
                  <c:v>67.650048800076235</c:v>
                </c:pt>
                <c:pt idx="288">
                  <c:v>62.759781339110461</c:v>
                </c:pt>
                <c:pt idx="289">
                  <c:v>64.330589743110465</c:v>
                </c:pt>
                <c:pt idx="290">
                  <c:v>51.741532331110456</c:v>
                </c:pt>
                <c:pt idx="291">
                  <c:v>42.602421635112314</c:v>
                </c:pt>
                <c:pt idx="292">
                  <c:v>30.117633127108594</c:v>
                </c:pt>
                <c:pt idx="293">
                  <c:v>41.492384483112325</c:v>
                </c:pt>
                <c:pt idx="294">
                  <c:v>51.60537784311046</c:v>
                </c:pt>
                <c:pt idx="295">
                  <c:v>56.123723707417419</c:v>
                </c:pt>
                <c:pt idx="296">
                  <c:v>62.085323663419288</c:v>
                </c:pt>
                <c:pt idx="297">
                  <c:v>59.580692003419287</c:v>
                </c:pt>
                <c:pt idx="298">
                  <c:v>44.02805007541928</c:v>
                </c:pt>
                <c:pt idx="299">
                  <c:v>35.421572939419292</c:v>
                </c:pt>
                <c:pt idx="300">
                  <c:v>57.747371875419283</c:v>
                </c:pt>
                <c:pt idx="301">
                  <c:v>56.617720343419293</c:v>
                </c:pt>
                <c:pt idx="302">
                  <c:v>38.670632130302387</c:v>
                </c:pt>
                <c:pt idx="303">
                  <c:v>44.534868314304255</c:v>
                </c:pt>
                <c:pt idx="304">
                  <c:v>42.339254178304252</c:v>
                </c:pt>
                <c:pt idx="305">
                  <c:v>38.478154278302391</c:v>
                </c:pt>
                <c:pt idx="306">
                  <c:v>4.5154322943023946</c:v>
                </c:pt>
                <c:pt idx="307">
                  <c:v>37.397826742304254</c:v>
                </c:pt>
                <c:pt idx="308">
                  <c:v>40.407536394304259</c:v>
                </c:pt>
                <c:pt idx="309">
                  <c:v>37.398910876303212</c:v>
                </c:pt>
                <c:pt idx="310">
                  <c:v>25.159698888306941</c:v>
                </c:pt>
                <c:pt idx="311">
                  <c:v>24.742204244305075</c:v>
                </c:pt>
                <c:pt idx="312">
                  <c:v>24.797153528305078</c:v>
                </c:pt>
                <c:pt idx="313">
                  <c:v>24.48336876030508</c:v>
                </c:pt>
                <c:pt idx="314">
                  <c:v>14.488888316305077</c:v>
                </c:pt>
                <c:pt idx="315">
                  <c:v>17.369116352305078</c:v>
                </c:pt>
                <c:pt idx="316">
                  <c:v>3.2072423586414223</c:v>
                </c:pt>
                <c:pt idx="317">
                  <c:v>3.4758885986414243</c:v>
                </c:pt>
                <c:pt idx="318">
                  <c:v>3.3561334426414251</c:v>
                </c:pt>
                <c:pt idx="319">
                  <c:v>4.1169874026414179</c:v>
                </c:pt>
                <c:pt idx="320">
                  <c:v>4.8147068986432791</c:v>
                </c:pt>
                <c:pt idx="321">
                  <c:v>3.6608772426414218</c:v>
                </c:pt>
                <c:pt idx="322">
                  <c:v>0.66537219064328379</c:v>
                </c:pt>
                <c:pt idx="323">
                  <c:v>19.232001297499554</c:v>
                </c:pt>
                <c:pt idx="324">
                  <c:v>16.465821301501418</c:v>
                </c:pt>
                <c:pt idx="325">
                  <c:v>13.174375153499554</c:v>
                </c:pt>
                <c:pt idx="326">
                  <c:v>11.514703877501415</c:v>
                </c:pt>
                <c:pt idx="327">
                  <c:v>7.0097984214995526</c:v>
                </c:pt>
                <c:pt idx="328">
                  <c:v>10.036056933501415</c:v>
                </c:pt>
                <c:pt idx="329">
                  <c:v>9.0594030974995547</c:v>
                </c:pt>
                <c:pt idx="330">
                  <c:v>6.2810819010995766</c:v>
                </c:pt>
                <c:pt idx="331">
                  <c:v>18.516500529097712</c:v>
                </c:pt>
                <c:pt idx="332">
                  <c:v>18.053295577097714</c:v>
                </c:pt>
                <c:pt idx="333">
                  <c:v>3.7941773750977155</c:v>
                </c:pt>
                <c:pt idx="334">
                  <c:v>4.4792705870995775</c:v>
                </c:pt>
                <c:pt idx="335">
                  <c:v>24.123671195101444</c:v>
                </c:pt>
                <c:pt idx="336">
                  <c:v>22.841631373095851</c:v>
                </c:pt>
                <c:pt idx="337">
                  <c:v>20.830578048340772</c:v>
                </c:pt>
                <c:pt idx="338">
                  <c:v>20.409677116342632</c:v>
                </c:pt>
                <c:pt idx="339">
                  <c:v>5.42220691034077</c:v>
                </c:pt>
                <c:pt idx="340">
                  <c:v>3.9963943463426332</c:v>
                </c:pt>
                <c:pt idx="341">
                  <c:v>2.8785522423407675</c:v>
                </c:pt>
                <c:pt idx="342">
                  <c:v>16.042872728340765</c:v>
                </c:pt>
                <c:pt idx="343">
                  <c:v>12.266544616340775</c:v>
                </c:pt>
                <c:pt idx="344">
                  <c:v>12.804513353729009</c:v>
                </c:pt>
                <c:pt idx="345">
                  <c:v>11.789653197727151</c:v>
                </c:pt>
                <c:pt idx="346">
                  <c:v>10.618266341727153</c:v>
                </c:pt>
                <c:pt idx="347">
                  <c:v>8.2967024137271501</c:v>
                </c:pt>
                <c:pt idx="348">
                  <c:v>2.8305311297280857</c:v>
                </c:pt>
                <c:pt idx="349">
                  <c:v>2.5193534617262192</c:v>
                </c:pt>
                <c:pt idx="350">
                  <c:v>1.6410471217280864</c:v>
                </c:pt>
                <c:pt idx="351">
                  <c:v>1.1195935109318815</c:v>
                </c:pt>
                <c:pt idx="352">
                  <c:v>12.308320820931884</c:v>
                </c:pt>
                <c:pt idx="353">
                  <c:v>10.066089832931882</c:v>
                </c:pt>
                <c:pt idx="354">
                  <c:v>3.8468667969328161</c:v>
                </c:pt>
                <c:pt idx="355">
                  <c:v>0.508441244930953</c:v>
                </c:pt>
                <c:pt idx="356">
                  <c:v>1.0553290569318852</c:v>
                </c:pt>
                <c:pt idx="357">
                  <c:v>0.95153298293281119</c:v>
                </c:pt>
                <c:pt idx="358">
                  <c:v>7.148299117668139</c:v>
                </c:pt>
                <c:pt idx="359">
                  <c:v>9.1900503616690692</c:v>
                </c:pt>
                <c:pt idx="360">
                  <c:v>4.0983882336709359</c:v>
                </c:pt>
                <c:pt idx="361">
                  <c:v>0.76033149366814179</c:v>
                </c:pt>
                <c:pt idx="362">
                  <c:v>1.0641274536700003</c:v>
                </c:pt>
                <c:pt idx="363">
                  <c:v>10.115708249667207</c:v>
                </c:pt>
                <c:pt idx="364">
                  <c:v>13.842601205670929</c:v>
                </c:pt>
                <c:pt idx="365">
                  <c:v>24.170240552924064</c:v>
                </c:pt>
                <c:pt idx="366">
                  <c:v>23.866691540925931</c:v>
                </c:pt>
                <c:pt idx="367">
                  <c:v>22.763549948923131</c:v>
                </c:pt>
                <c:pt idx="368">
                  <c:v>16.72784531692686</c:v>
                </c:pt>
                <c:pt idx="369">
                  <c:v>10.187934292924066</c:v>
                </c:pt>
                <c:pt idx="370">
                  <c:v>15.783412408925928</c:v>
                </c:pt>
                <c:pt idx="371">
                  <c:v>6.2602158249249991</c:v>
                </c:pt>
                <c:pt idx="372">
                  <c:v>20.079615491951159</c:v>
                </c:pt>
                <c:pt idx="373">
                  <c:v>20.903400847952092</c:v>
                </c:pt>
                <c:pt idx="374">
                  <c:v>20.187138247952092</c:v>
                </c:pt>
                <c:pt idx="375">
                  <c:v>15.096113991953025</c:v>
                </c:pt>
                <c:pt idx="376">
                  <c:v>20.022920527952092</c:v>
                </c:pt>
                <c:pt idx="377">
                  <c:v>12.783147795953024</c:v>
                </c:pt>
                <c:pt idx="378">
                  <c:v>25.934628331951156</c:v>
                </c:pt>
                <c:pt idx="379">
                  <c:v>38.27043780787313</c:v>
                </c:pt>
                <c:pt idx="380">
                  <c:v>21.438021855873135</c:v>
                </c:pt>
                <c:pt idx="381">
                  <c:v>16.343130441872198</c:v>
                </c:pt>
                <c:pt idx="382">
                  <c:v>11.763615425872201</c:v>
                </c:pt>
                <c:pt idx="383">
                  <c:v>10.983895529874061</c:v>
                </c:pt>
                <c:pt idx="384">
                  <c:v>12.360109627872204</c:v>
                </c:pt>
                <c:pt idx="385">
                  <c:v>11.8400754218722</c:v>
                </c:pt>
                <c:pt idx="386">
                  <c:v>24.506608547283641</c:v>
                </c:pt>
                <c:pt idx="387">
                  <c:v>18.724293949279911</c:v>
                </c:pt>
                <c:pt idx="388">
                  <c:v>28.589213827281775</c:v>
                </c:pt>
                <c:pt idx="389">
                  <c:v>21.712727683282704</c:v>
                </c:pt>
                <c:pt idx="390">
                  <c:v>15.441186585280844</c:v>
                </c:pt>
                <c:pt idx="391">
                  <c:v>22.051682435282711</c:v>
                </c:pt>
                <c:pt idx="392">
                  <c:v>31.213526271280848</c:v>
                </c:pt>
                <c:pt idx="393">
                  <c:v>21.101285351840996</c:v>
                </c:pt>
                <c:pt idx="394">
                  <c:v>20.678910095840067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20.95959048014743</c:v>
                </c:pt>
                <c:pt idx="1">
                  <c:v>20.95959048014743</c:v>
                </c:pt>
                <c:pt idx="2">
                  <c:v>20.95959048014743</c:v>
                </c:pt>
                <c:pt idx="3">
                  <c:v>20.95959048014743</c:v>
                </c:pt>
                <c:pt idx="4">
                  <c:v>20.95959048014743</c:v>
                </c:pt>
                <c:pt idx="5">
                  <c:v>20.95959048014743</c:v>
                </c:pt>
                <c:pt idx="6">
                  <c:v>20.95959048014743</c:v>
                </c:pt>
                <c:pt idx="7">
                  <c:v>20.95959048014743</c:v>
                </c:pt>
                <c:pt idx="8">
                  <c:v>20.95959048014743</c:v>
                </c:pt>
                <c:pt idx="9">
                  <c:v>20.95959048014743</c:v>
                </c:pt>
                <c:pt idx="10">
                  <c:v>20.95959048014743</c:v>
                </c:pt>
                <c:pt idx="11">
                  <c:v>20.95959048014743</c:v>
                </c:pt>
                <c:pt idx="12">
                  <c:v>20.95959048014743</c:v>
                </c:pt>
                <c:pt idx="13">
                  <c:v>20.95959048014743</c:v>
                </c:pt>
                <c:pt idx="14">
                  <c:v>20.95959048014743</c:v>
                </c:pt>
                <c:pt idx="15">
                  <c:v>20.95959048014743</c:v>
                </c:pt>
                <c:pt idx="16">
                  <c:v>20.95959048014743</c:v>
                </c:pt>
                <c:pt idx="17">
                  <c:v>20.95959048014743</c:v>
                </c:pt>
                <c:pt idx="18">
                  <c:v>20.95959048014743</c:v>
                </c:pt>
                <c:pt idx="19">
                  <c:v>20.95959048014743</c:v>
                </c:pt>
                <c:pt idx="20">
                  <c:v>20.95959048014743</c:v>
                </c:pt>
                <c:pt idx="21">
                  <c:v>20.95959048014743</c:v>
                </c:pt>
                <c:pt idx="22">
                  <c:v>20.95959048014743</c:v>
                </c:pt>
                <c:pt idx="23">
                  <c:v>20.95959048014743</c:v>
                </c:pt>
                <c:pt idx="24">
                  <c:v>20.95959048014743</c:v>
                </c:pt>
                <c:pt idx="25">
                  <c:v>20.95959048014743</c:v>
                </c:pt>
                <c:pt idx="26">
                  <c:v>20.95959048014743</c:v>
                </c:pt>
                <c:pt idx="27">
                  <c:v>20.95959048014743</c:v>
                </c:pt>
                <c:pt idx="28">
                  <c:v>20.95959048014743</c:v>
                </c:pt>
                <c:pt idx="29">
                  <c:v>20.95959048014743</c:v>
                </c:pt>
                <c:pt idx="30">
                  <c:v>41.360965957335978</c:v>
                </c:pt>
                <c:pt idx="31">
                  <c:v>41.360965957335978</c:v>
                </c:pt>
                <c:pt idx="32">
                  <c:v>41.360965957335978</c:v>
                </c:pt>
                <c:pt idx="33">
                  <c:v>41.360965957335978</c:v>
                </c:pt>
                <c:pt idx="34">
                  <c:v>41.360965957335978</c:v>
                </c:pt>
                <c:pt idx="35">
                  <c:v>41.360965957335978</c:v>
                </c:pt>
                <c:pt idx="36">
                  <c:v>41.360965957335978</c:v>
                </c:pt>
                <c:pt idx="37">
                  <c:v>41.360965957335978</c:v>
                </c:pt>
                <c:pt idx="38">
                  <c:v>41.360965957335978</c:v>
                </c:pt>
                <c:pt idx="39">
                  <c:v>41.360965957335978</c:v>
                </c:pt>
                <c:pt idx="40">
                  <c:v>41.360965957335978</c:v>
                </c:pt>
                <c:pt idx="41">
                  <c:v>41.360965957335978</c:v>
                </c:pt>
                <c:pt idx="42">
                  <c:v>41.360965957335978</c:v>
                </c:pt>
                <c:pt idx="43">
                  <c:v>41.360965957335978</c:v>
                </c:pt>
                <c:pt idx="44">
                  <c:v>41.360965957335978</c:v>
                </c:pt>
                <c:pt idx="45">
                  <c:v>41.360965957335978</c:v>
                </c:pt>
                <c:pt idx="46">
                  <c:v>41.360965957335978</c:v>
                </c:pt>
                <c:pt idx="47">
                  <c:v>41.360965957335978</c:v>
                </c:pt>
                <c:pt idx="48">
                  <c:v>41.360965957335978</c:v>
                </c:pt>
                <c:pt idx="49">
                  <c:v>41.360965957335978</c:v>
                </c:pt>
                <c:pt idx="50">
                  <c:v>41.360965957335978</c:v>
                </c:pt>
                <c:pt idx="51">
                  <c:v>41.360965957335978</c:v>
                </c:pt>
                <c:pt idx="52">
                  <c:v>41.360965957335978</c:v>
                </c:pt>
                <c:pt idx="53">
                  <c:v>41.360965957335978</c:v>
                </c:pt>
                <c:pt idx="54">
                  <c:v>41.360965957335978</c:v>
                </c:pt>
                <c:pt idx="55">
                  <c:v>41.360965957335978</c:v>
                </c:pt>
                <c:pt idx="56">
                  <c:v>41.360965957335978</c:v>
                </c:pt>
                <c:pt idx="57">
                  <c:v>41.360965957335978</c:v>
                </c:pt>
                <c:pt idx="58">
                  <c:v>41.360965957335978</c:v>
                </c:pt>
                <c:pt idx="59">
                  <c:v>41.360965957335978</c:v>
                </c:pt>
                <c:pt idx="60">
                  <c:v>41.360965957335978</c:v>
                </c:pt>
                <c:pt idx="61">
                  <c:v>85.678144231829236</c:v>
                </c:pt>
                <c:pt idx="62">
                  <c:v>85.678144231829236</c:v>
                </c:pt>
                <c:pt idx="63">
                  <c:v>85.678144231829236</c:v>
                </c:pt>
                <c:pt idx="64">
                  <c:v>85.678144231829236</c:v>
                </c:pt>
                <c:pt idx="65">
                  <c:v>85.678144231829236</c:v>
                </c:pt>
                <c:pt idx="66">
                  <c:v>85.678144231829236</c:v>
                </c:pt>
                <c:pt idx="67">
                  <c:v>85.678144231829236</c:v>
                </c:pt>
                <c:pt idx="68">
                  <c:v>85.678144231829236</c:v>
                </c:pt>
                <c:pt idx="69">
                  <c:v>85.678144231829236</c:v>
                </c:pt>
                <c:pt idx="70">
                  <c:v>85.678144231829236</c:v>
                </c:pt>
                <c:pt idx="71">
                  <c:v>85.678144231829236</c:v>
                </c:pt>
                <c:pt idx="72">
                  <c:v>85.678144231829236</c:v>
                </c:pt>
                <c:pt idx="73">
                  <c:v>85.678144231829236</c:v>
                </c:pt>
                <c:pt idx="74">
                  <c:v>85.678144231829236</c:v>
                </c:pt>
                <c:pt idx="75">
                  <c:v>85.678144231829236</c:v>
                </c:pt>
                <c:pt idx="76">
                  <c:v>85.678144231829236</c:v>
                </c:pt>
                <c:pt idx="77">
                  <c:v>85.678144231829236</c:v>
                </c:pt>
                <c:pt idx="78">
                  <c:v>85.678144231829236</c:v>
                </c:pt>
                <c:pt idx="79">
                  <c:v>85.678144231829236</c:v>
                </c:pt>
                <c:pt idx="80">
                  <c:v>85.678144231829236</c:v>
                </c:pt>
                <c:pt idx="81">
                  <c:v>85.678144231829236</c:v>
                </c:pt>
                <c:pt idx="82">
                  <c:v>85.678144231829236</c:v>
                </c:pt>
                <c:pt idx="83">
                  <c:v>85.678144231829236</c:v>
                </c:pt>
                <c:pt idx="84">
                  <c:v>85.678144231829236</c:v>
                </c:pt>
                <c:pt idx="85">
                  <c:v>85.678144231829236</c:v>
                </c:pt>
                <c:pt idx="86">
                  <c:v>85.678144231829236</c:v>
                </c:pt>
                <c:pt idx="87">
                  <c:v>85.678144231829236</c:v>
                </c:pt>
                <c:pt idx="88">
                  <c:v>85.678144231829236</c:v>
                </c:pt>
                <c:pt idx="89">
                  <c:v>85.678144231829236</c:v>
                </c:pt>
                <c:pt idx="90">
                  <c:v>85.678144231829236</c:v>
                </c:pt>
                <c:pt idx="91">
                  <c:v>109.27964473765024</c:v>
                </c:pt>
                <c:pt idx="92">
                  <c:v>109.27964473765024</c:v>
                </c:pt>
                <c:pt idx="93">
                  <c:v>109.27964473765024</c:v>
                </c:pt>
                <c:pt idx="94">
                  <c:v>109.27964473765024</c:v>
                </c:pt>
                <c:pt idx="95">
                  <c:v>109.27964473765024</c:v>
                </c:pt>
                <c:pt idx="96">
                  <c:v>109.27964473765024</c:v>
                </c:pt>
                <c:pt idx="97">
                  <c:v>109.27964473765024</c:v>
                </c:pt>
                <c:pt idx="98">
                  <c:v>109.27964473765024</c:v>
                </c:pt>
                <c:pt idx="99">
                  <c:v>109.27964473765024</c:v>
                </c:pt>
                <c:pt idx="100">
                  <c:v>109.27964473765024</c:v>
                </c:pt>
                <c:pt idx="101">
                  <c:v>109.27964473765024</c:v>
                </c:pt>
                <c:pt idx="102">
                  <c:v>109.27964473765024</c:v>
                </c:pt>
                <c:pt idx="103">
                  <c:v>109.27964473765024</c:v>
                </c:pt>
                <c:pt idx="104">
                  <c:v>109.27964473765024</c:v>
                </c:pt>
                <c:pt idx="105">
                  <c:v>109.27964473765024</c:v>
                </c:pt>
                <c:pt idx="106">
                  <c:v>109.27964473765024</c:v>
                </c:pt>
                <c:pt idx="107">
                  <c:v>109.27964473765024</c:v>
                </c:pt>
                <c:pt idx="108">
                  <c:v>109.27964473765024</c:v>
                </c:pt>
                <c:pt idx="109">
                  <c:v>109.27964473765024</c:v>
                </c:pt>
                <c:pt idx="110">
                  <c:v>109.27964473765024</c:v>
                </c:pt>
                <c:pt idx="111">
                  <c:v>109.27964473765024</c:v>
                </c:pt>
                <c:pt idx="112">
                  <c:v>109.27964473765024</c:v>
                </c:pt>
                <c:pt idx="113">
                  <c:v>109.27964473765024</c:v>
                </c:pt>
                <c:pt idx="114">
                  <c:v>109.27964473765024</c:v>
                </c:pt>
                <c:pt idx="115">
                  <c:v>109.27964473765024</c:v>
                </c:pt>
                <c:pt idx="116">
                  <c:v>109.27964473765024</c:v>
                </c:pt>
                <c:pt idx="117">
                  <c:v>109.27964473765024</c:v>
                </c:pt>
                <c:pt idx="118">
                  <c:v>109.27964473765024</c:v>
                </c:pt>
                <c:pt idx="119">
                  <c:v>109.27964473765024</c:v>
                </c:pt>
                <c:pt idx="120">
                  <c:v>109.27964473765024</c:v>
                </c:pt>
                <c:pt idx="121">
                  <c:v>109.27964473765024</c:v>
                </c:pt>
                <c:pt idx="122">
                  <c:v>124.46511188199077</c:v>
                </c:pt>
                <c:pt idx="123">
                  <c:v>124.46511188199077</c:v>
                </c:pt>
                <c:pt idx="124">
                  <c:v>124.46511188199077</c:v>
                </c:pt>
                <c:pt idx="125">
                  <c:v>124.46511188199077</c:v>
                </c:pt>
                <c:pt idx="126">
                  <c:v>124.46511188199077</c:v>
                </c:pt>
                <c:pt idx="127">
                  <c:v>124.46511188199077</c:v>
                </c:pt>
                <c:pt idx="128">
                  <c:v>124.46511188199077</c:v>
                </c:pt>
                <c:pt idx="129">
                  <c:v>124.46511188199077</c:v>
                </c:pt>
                <c:pt idx="130">
                  <c:v>124.46511188199077</c:v>
                </c:pt>
                <c:pt idx="131">
                  <c:v>124.46511188199077</c:v>
                </c:pt>
                <c:pt idx="132">
                  <c:v>124.46511188199077</c:v>
                </c:pt>
                <c:pt idx="133">
                  <c:v>124.46511188199077</c:v>
                </c:pt>
                <c:pt idx="134">
                  <c:v>124.46511188199077</c:v>
                </c:pt>
                <c:pt idx="135">
                  <c:v>124.46511188199077</c:v>
                </c:pt>
                <c:pt idx="136">
                  <c:v>124.46511188199077</c:v>
                </c:pt>
                <c:pt idx="137">
                  <c:v>124.46511188199077</c:v>
                </c:pt>
                <c:pt idx="138">
                  <c:v>124.46511188199077</c:v>
                </c:pt>
                <c:pt idx="139">
                  <c:v>124.46511188199077</c:v>
                </c:pt>
                <c:pt idx="140">
                  <c:v>124.46511188199077</c:v>
                </c:pt>
                <c:pt idx="141">
                  <c:v>124.46511188199077</c:v>
                </c:pt>
                <c:pt idx="142">
                  <c:v>124.46511188199077</c:v>
                </c:pt>
                <c:pt idx="143">
                  <c:v>124.46511188199077</c:v>
                </c:pt>
                <c:pt idx="144">
                  <c:v>124.46511188199077</c:v>
                </c:pt>
                <c:pt idx="145">
                  <c:v>124.46511188199077</c:v>
                </c:pt>
                <c:pt idx="146">
                  <c:v>124.46511188199077</c:v>
                </c:pt>
                <c:pt idx="147">
                  <c:v>124.46511188199077</c:v>
                </c:pt>
                <c:pt idx="148">
                  <c:v>124.46511188199077</c:v>
                </c:pt>
                <c:pt idx="149">
                  <c:v>124.46511188199077</c:v>
                </c:pt>
                <c:pt idx="150">
                  <c:v>124.46511188199077</c:v>
                </c:pt>
                <c:pt idx="151">
                  <c:v>124.46511188199077</c:v>
                </c:pt>
                <c:pt idx="152">
                  <c:v>124.46511188199077</c:v>
                </c:pt>
                <c:pt idx="153">
                  <c:v>125.57183874706618</c:v>
                </c:pt>
                <c:pt idx="154">
                  <c:v>125.57183874706618</c:v>
                </c:pt>
                <c:pt idx="155">
                  <c:v>125.57183874706618</c:v>
                </c:pt>
                <c:pt idx="156">
                  <c:v>125.57183874706618</c:v>
                </c:pt>
                <c:pt idx="157">
                  <c:v>125.57183874706618</c:v>
                </c:pt>
                <c:pt idx="158">
                  <c:v>125.57183874706618</c:v>
                </c:pt>
                <c:pt idx="159">
                  <c:v>125.57183874706618</c:v>
                </c:pt>
                <c:pt idx="160">
                  <c:v>125.57183874706618</c:v>
                </c:pt>
                <c:pt idx="161">
                  <c:v>125.57183874706618</c:v>
                </c:pt>
                <c:pt idx="162">
                  <c:v>125.57183874706618</c:v>
                </c:pt>
                <c:pt idx="163">
                  <c:v>125.57183874706618</c:v>
                </c:pt>
                <c:pt idx="164">
                  <c:v>125.57183874706618</c:v>
                </c:pt>
                <c:pt idx="165">
                  <c:v>125.57183874706618</c:v>
                </c:pt>
                <c:pt idx="166">
                  <c:v>125.57183874706618</c:v>
                </c:pt>
                <c:pt idx="167">
                  <c:v>125.57183874706618</c:v>
                </c:pt>
                <c:pt idx="168">
                  <c:v>125.57183874706618</c:v>
                </c:pt>
                <c:pt idx="169">
                  <c:v>125.57183874706618</c:v>
                </c:pt>
                <c:pt idx="170">
                  <c:v>125.57183874706618</c:v>
                </c:pt>
                <c:pt idx="171">
                  <c:v>125.57183874706618</c:v>
                </c:pt>
                <c:pt idx="172">
                  <c:v>125.57183874706618</c:v>
                </c:pt>
                <c:pt idx="173">
                  <c:v>125.57183874706618</c:v>
                </c:pt>
                <c:pt idx="174">
                  <c:v>125.57183874706618</c:v>
                </c:pt>
                <c:pt idx="175">
                  <c:v>125.57183874706618</c:v>
                </c:pt>
                <c:pt idx="176">
                  <c:v>125.57183874706618</c:v>
                </c:pt>
                <c:pt idx="177">
                  <c:v>125.57183874706618</c:v>
                </c:pt>
                <c:pt idx="178">
                  <c:v>125.57183874706618</c:v>
                </c:pt>
                <c:pt idx="179">
                  <c:v>125.57183874706618</c:v>
                </c:pt>
                <c:pt idx="180">
                  <c:v>125.57183874706618</c:v>
                </c:pt>
                <c:pt idx="181">
                  <c:v>136.7399554485423</c:v>
                </c:pt>
                <c:pt idx="182">
                  <c:v>136.7399554485423</c:v>
                </c:pt>
                <c:pt idx="183">
                  <c:v>136.7399554485423</c:v>
                </c:pt>
                <c:pt idx="184">
                  <c:v>136.7399554485423</c:v>
                </c:pt>
                <c:pt idx="185">
                  <c:v>136.7399554485423</c:v>
                </c:pt>
                <c:pt idx="186">
                  <c:v>136.7399554485423</c:v>
                </c:pt>
                <c:pt idx="187">
                  <c:v>136.7399554485423</c:v>
                </c:pt>
                <c:pt idx="188">
                  <c:v>136.7399554485423</c:v>
                </c:pt>
                <c:pt idx="189">
                  <c:v>136.7399554485423</c:v>
                </c:pt>
                <c:pt idx="190">
                  <c:v>136.7399554485423</c:v>
                </c:pt>
                <c:pt idx="191">
                  <c:v>136.7399554485423</c:v>
                </c:pt>
                <c:pt idx="192">
                  <c:v>136.7399554485423</c:v>
                </c:pt>
                <c:pt idx="193">
                  <c:v>136.7399554485423</c:v>
                </c:pt>
                <c:pt idx="194">
                  <c:v>136.7399554485423</c:v>
                </c:pt>
                <c:pt idx="195">
                  <c:v>136.7399554485423</c:v>
                </c:pt>
                <c:pt idx="196">
                  <c:v>136.7399554485423</c:v>
                </c:pt>
                <c:pt idx="197">
                  <c:v>136.7399554485423</c:v>
                </c:pt>
                <c:pt idx="198">
                  <c:v>136.7399554485423</c:v>
                </c:pt>
                <c:pt idx="199">
                  <c:v>136.7399554485423</c:v>
                </c:pt>
                <c:pt idx="200">
                  <c:v>136.7399554485423</c:v>
                </c:pt>
                <c:pt idx="201">
                  <c:v>136.7399554485423</c:v>
                </c:pt>
                <c:pt idx="202">
                  <c:v>136.7399554485423</c:v>
                </c:pt>
                <c:pt idx="203">
                  <c:v>136.7399554485423</c:v>
                </c:pt>
                <c:pt idx="204">
                  <c:v>136.7399554485423</c:v>
                </c:pt>
                <c:pt idx="205">
                  <c:v>136.7399554485423</c:v>
                </c:pt>
                <c:pt idx="206">
                  <c:v>136.7399554485423</c:v>
                </c:pt>
                <c:pt idx="207">
                  <c:v>136.7399554485423</c:v>
                </c:pt>
                <c:pt idx="208">
                  <c:v>136.7399554485423</c:v>
                </c:pt>
                <c:pt idx="209">
                  <c:v>136.7399554485423</c:v>
                </c:pt>
                <c:pt idx="210">
                  <c:v>136.7399554485423</c:v>
                </c:pt>
                <c:pt idx="211">
                  <c:v>136.7399554485423</c:v>
                </c:pt>
                <c:pt idx="212">
                  <c:v>128.52573371940508</c:v>
                </c:pt>
                <c:pt idx="213">
                  <c:v>128.52573371940508</c:v>
                </c:pt>
                <c:pt idx="214">
                  <c:v>128.52573371940508</c:v>
                </c:pt>
                <c:pt idx="215">
                  <c:v>128.52573371940508</c:v>
                </c:pt>
                <c:pt idx="216">
                  <c:v>128.52573371940508</c:v>
                </c:pt>
                <c:pt idx="217">
                  <c:v>128.52573371940508</c:v>
                </c:pt>
                <c:pt idx="218">
                  <c:v>128.52573371940508</c:v>
                </c:pt>
                <c:pt idx="219">
                  <c:v>128.52573371940508</c:v>
                </c:pt>
                <c:pt idx="220">
                  <c:v>128.52573371940508</c:v>
                </c:pt>
                <c:pt idx="221">
                  <c:v>128.52573371940508</c:v>
                </c:pt>
                <c:pt idx="222">
                  <c:v>128.52573371940508</c:v>
                </c:pt>
                <c:pt idx="223">
                  <c:v>128.52573371940508</c:v>
                </c:pt>
                <c:pt idx="224">
                  <c:v>128.52573371940508</c:v>
                </c:pt>
                <c:pt idx="225">
                  <c:v>128.52573371940508</c:v>
                </c:pt>
                <c:pt idx="226">
                  <c:v>128.52573371940508</c:v>
                </c:pt>
                <c:pt idx="227">
                  <c:v>128.52573371940508</c:v>
                </c:pt>
                <c:pt idx="228">
                  <c:v>128.52573371940508</c:v>
                </c:pt>
                <c:pt idx="229">
                  <c:v>128.52573371940508</c:v>
                </c:pt>
                <c:pt idx="230">
                  <c:v>128.52573371940508</c:v>
                </c:pt>
                <c:pt idx="231">
                  <c:v>128.52573371940508</c:v>
                </c:pt>
                <c:pt idx="232">
                  <c:v>128.52573371940508</c:v>
                </c:pt>
                <c:pt idx="233">
                  <c:v>128.52573371940508</c:v>
                </c:pt>
                <c:pt idx="234">
                  <c:v>128.52573371940508</c:v>
                </c:pt>
                <c:pt idx="235">
                  <c:v>128.52573371940508</c:v>
                </c:pt>
                <c:pt idx="236">
                  <c:v>128.52573371940508</c:v>
                </c:pt>
                <c:pt idx="237">
                  <c:v>128.52573371940508</c:v>
                </c:pt>
                <c:pt idx="238">
                  <c:v>128.52573371940508</c:v>
                </c:pt>
                <c:pt idx="239">
                  <c:v>128.52573371940508</c:v>
                </c:pt>
                <c:pt idx="240">
                  <c:v>128.52573371940508</c:v>
                </c:pt>
                <c:pt idx="241">
                  <c:v>128.52573371940508</c:v>
                </c:pt>
                <c:pt idx="242">
                  <c:v>101.55332277089387</c:v>
                </c:pt>
                <c:pt idx="243">
                  <c:v>101.55332277089387</c:v>
                </c:pt>
                <c:pt idx="244">
                  <c:v>101.55332277089387</c:v>
                </c:pt>
                <c:pt idx="245">
                  <c:v>101.55332277089387</c:v>
                </c:pt>
                <c:pt idx="246">
                  <c:v>101.55332277089387</c:v>
                </c:pt>
                <c:pt idx="247">
                  <c:v>101.55332277089387</c:v>
                </c:pt>
                <c:pt idx="248">
                  <c:v>101.55332277089387</c:v>
                </c:pt>
                <c:pt idx="249">
                  <c:v>101.55332277089387</c:v>
                </c:pt>
                <c:pt idx="250">
                  <c:v>101.55332277089387</c:v>
                </c:pt>
                <c:pt idx="251">
                  <c:v>101.55332277089387</c:v>
                </c:pt>
                <c:pt idx="252">
                  <c:v>101.55332277089387</c:v>
                </c:pt>
                <c:pt idx="253">
                  <c:v>101.55332277089387</c:v>
                </c:pt>
                <c:pt idx="254">
                  <c:v>101.55332277089387</c:v>
                </c:pt>
                <c:pt idx="255">
                  <c:v>101.55332277089387</c:v>
                </c:pt>
                <c:pt idx="256">
                  <c:v>101.55332277089387</c:v>
                </c:pt>
                <c:pt idx="257">
                  <c:v>101.55332277089387</c:v>
                </c:pt>
                <c:pt idx="258">
                  <c:v>101.55332277089387</c:v>
                </c:pt>
                <c:pt idx="259">
                  <c:v>101.55332277089387</c:v>
                </c:pt>
                <c:pt idx="260">
                  <c:v>101.55332277089387</c:v>
                </c:pt>
                <c:pt idx="261">
                  <c:v>101.55332277089387</c:v>
                </c:pt>
                <c:pt idx="262">
                  <c:v>101.55332277089387</c:v>
                </c:pt>
                <c:pt idx="263">
                  <c:v>101.55332277089387</c:v>
                </c:pt>
                <c:pt idx="264">
                  <c:v>101.55332277089387</c:v>
                </c:pt>
                <c:pt idx="265">
                  <c:v>101.55332277089387</c:v>
                </c:pt>
                <c:pt idx="266">
                  <c:v>101.55332277089387</c:v>
                </c:pt>
                <c:pt idx="267">
                  <c:v>101.55332277089387</c:v>
                </c:pt>
                <c:pt idx="268">
                  <c:v>101.55332277089387</c:v>
                </c:pt>
                <c:pt idx="269">
                  <c:v>101.55332277089387</c:v>
                </c:pt>
                <c:pt idx="270">
                  <c:v>101.55332277089387</c:v>
                </c:pt>
                <c:pt idx="271">
                  <c:v>101.55332277089387</c:v>
                </c:pt>
                <c:pt idx="272">
                  <c:v>101.55332277089387</c:v>
                </c:pt>
                <c:pt idx="273">
                  <c:v>64.002517723929074</c:v>
                </c:pt>
                <c:pt idx="274">
                  <c:v>64.002517723929074</c:v>
                </c:pt>
                <c:pt idx="275">
                  <c:v>64.002517723929074</c:v>
                </c:pt>
                <c:pt idx="276">
                  <c:v>64.002517723929074</c:v>
                </c:pt>
                <c:pt idx="277">
                  <c:v>64.002517723929074</c:v>
                </c:pt>
                <c:pt idx="278">
                  <c:v>64.002517723929074</c:v>
                </c:pt>
                <c:pt idx="279">
                  <c:v>64.002517723929074</c:v>
                </c:pt>
                <c:pt idx="280">
                  <c:v>64.002517723929074</c:v>
                </c:pt>
                <c:pt idx="281">
                  <c:v>64.002517723929074</c:v>
                </c:pt>
                <c:pt idx="282">
                  <c:v>64.002517723929074</c:v>
                </c:pt>
                <c:pt idx="283">
                  <c:v>64.002517723929074</c:v>
                </c:pt>
                <c:pt idx="284">
                  <c:v>64.002517723929074</c:v>
                </c:pt>
                <c:pt idx="285">
                  <c:v>64.002517723929074</c:v>
                </c:pt>
                <c:pt idx="286">
                  <c:v>64.002517723929074</c:v>
                </c:pt>
                <c:pt idx="287">
                  <c:v>64.002517723929074</c:v>
                </c:pt>
                <c:pt idx="288">
                  <c:v>64.002517723929074</c:v>
                </c:pt>
                <c:pt idx="289">
                  <c:v>64.002517723929074</c:v>
                </c:pt>
                <c:pt idx="290">
                  <c:v>64.002517723929074</c:v>
                </c:pt>
                <c:pt idx="291">
                  <c:v>64.002517723929074</c:v>
                </c:pt>
                <c:pt idx="292">
                  <c:v>64.002517723929074</c:v>
                </c:pt>
                <c:pt idx="293">
                  <c:v>64.002517723929074</c:v>
                </c:pt>
                <c:pt idx="294">
                  <c:v>64.002517723929074</c:v>
                </c:pt>
                <c:pt idx="295">
                  <c:v>64.002517723929074</c:v>
                </c:pt>
                <c:pt idx="296">
                  <c:v>64.002517723929074</c:v>
                </c:pt>
                <c:pt idx="297">
                  <c:v>64.002517723929074</c:v>
                </c:pt>
                <c:pt idx="298">
                  <c:v>64.002517723929074</c:v>
                </c:pt>
                <c:pt idx="299">
                  <c:v>64.002517723929074</c:v>
                </c:pt>
                <c:pt idx="300">
                  <c:v>64.002517723929074</c:v>
                </c:pt>
                <c:pt idx="301">
                  <c:v>64.002517723929074</c:v>
                </c:pt>
                <c:pt idx="302">
                  <c:v>64.002517723929074</c:v>
                </c:pt>
                <c:pt idx="303">
                  <c:v>28.264017142829317</c:v>
                </c:pt>
                <c:pt idx="304">
                  <c:v>28.264017142829317</c:v>
                </c:pt>
                <c:pt idx="305">
                  <c:v>28.264017142829317</c:v>
                </c:pt>
                <c:pt idx="306">
                  <c:v>28.264017142829317</c:v>
                </c:pt>
                <c:pt idx="307">
                  <c:v>28.264017142829317</c:v>
                </c:pt>
                <c:pt idx="308">
                  <c:v>28.264017142829317</c:v>
                </c:pt>
                <c:pt idx="309">
                  <c:v>28.264017142829317</c:v>
                </c:pt>
                <c:pt idx="310">
                  <c:v>28.264017142829317</c:v>
                </c:pt>
                <c:pt idx="311">
                  <c:v>28.264017142829317</c:v>
                </c:pt>
                <c:pt idx="312">
                  <c:v>28.264017142829317</c:v>
                </c:pt>
                <c:pt idx="313">
                  <c:v>28.264017142829317</c:v>
                </c:pt>
                <c:pt idx="314">
                  <c:v>28.264017142829317</c:v>
                </c:pt>
                <c:pt idx="315">
                  <c:v>28.264017142829317</c:v>
                </c:pt>
                <c:pt idx="316">
                  <c:v>28.264017142829317</c:v>
                </c:pt>
                <c:pt idx="317">
                  <c:v>28.264017142829317</c:v>
                </c:pt>
                <c:pt idx="318">
                  <c:v>28.264017142829317</c:v>
                </c:pt>
                <c:pt idx="319">
                  <c:v>28.264017142829317</c:v>
                </c:pt>
                <c:pt idx="320">
                  <c:v>28.264017142829317</c:v>
                </c:pt>
                <c:pt idx="321">
                  <c:v>28.264017142829317</c:v>
                </c:pt>
                <c:pt idx="322">
                  <c:v>28.264017142829317</c:v>
                </c:pt>
                <c:pt idx="323">
                  <c:v>28.264017142829317</c:v>
                </c:pt>
                <c:pt idx="324">
                  <c:v>28.264017142829317</c:v>
                </c:pt>
                <c:pt idx="325">
                  <c:v>28.264017142829317</c:v>
                </c:pt>
                <c:pt idx="326">
                  <c:v>28.264017142829317</c:v>
                </c:pt>
                <c:pt idx="327">
                  <c:v>28.264017142829317</c:v>
                </c:pt>
                <c:pt idx="328">
                  <c:v>28.264017142829317</c:v>
                </c:pt>
                <c:pt idx="329">
                  <c:v>28.264017142829317</c:v>
                </c:pt>
                <c:pt idx="330">
                  <c:v>28.264017142829317</c:v>
                </c:pt>
                <c:pt idx="331">
                  <c:v>28.264017142829317</c:v>
                </c:pt>
                <c:pt idx="332">
                  <c:v>28.264017142829317</c:v>
                </c:pt>
                <c:pt idx="333">
                  <c:v>28.264017142829317</c:v>
                </c:pt>
                <c:pt idx="334">
                  <c:v>17.06077530949155</c:v>
                </c:pt>
                <c:pt idx="335">
                  <c:v>17.06077530949155</c:v>
                </c:pt>
                <c:pt idx="336">
                  <c:v>17.06077530949155</c:v>
                </c:pt>
                <c:pt idx="337">
                  <c:v>17.06077530949155</c:v>
                </c:pt>
                <c:pt idx="338">
                  <c:v>17.06077530949155</c:v>
                </c:pt>
                <c:pt idx="339">
                  <c:v>17.06077530949155</c:v>
                </c:pt>
                <c:pt idx="340">
                  <c:v>17.06077530949155</c:v>
                </c:pt>
                <c:pt idx="341">
                  <c:v>17.06077530949155</c:v>
                </c:pt>
                <c:pt idx="342">
                  <c:v>17.06077530949155</c:v>
                </c:pt>
                <c:pt idx="343">
                  <c:v>17.06077530949155</c:v>
                </c:pt>
                <c:pt idx="344">
                  <c:v>17.06077530949155</c:v>
                </c:pt>
                <c:pt idx="345">
                  <c:v>17.06077530949155</c:v>
                </c:pt>
                <c:pt idx="346">
                  <c:v>17.06077530949155</c:v>
                </c:pt>
                <c:pt idx="347">
                  <c:v>17.06077530949155</c:v>
                </c:pt>
                <c:pt idx="348">
                  <c:v>17.06077530949155</c:v>
                </c:pt>
                <c:pt idx="349">
                  <c:v>17.06077530949155</c:v>
                </c:pt>
                <c:pt idx="350">
                  <c:v>17.06077530949155</c:v>
                </c:pt>
                <c:pt idx="351">
                  <c:v>17.06077530949155</c:v>
                </c:pt>
                <c:pt idx="352">
                  <c:v>17.06077530949155</c:v>
                </c:pt>
                <c:pt idx="353">
                  <c:v>17.06077530949155</c:v>
                </c:pt>
                <c:pt idx="354">
                  <c:v>17.06077530949155</c:v>
                </c:pt>
                <c:pt idx="355">
                  <c:v>17.06077530949155</c:v>
                </c:pt>
                <c:pt idx="356">
                  <c:v>17.06077530949155</c:v>
                </c:pt>
                <c:pt idx="357">
                  <c:v>17.06077530949155</c:v>
                </c:pt>
                <c:pt idx="358">
                  <c:v>17.06077530949155</c:v>
                </c:pt>
                <c:pt idx="359">
                  <c:v>17.06077530949155</c:v>
                </c:pt>
                <c:pt idx="360">
                  <c:v>17.06077530949155</c:v>
                </c:pt>
                <c:pt idx="361">
                  <c:v>17.06077530949155</c:v>
                </c:pt>
                <c:pt idx="362">
                  <c:v>17.06077530949155</c:v>
                </c:pt>
                <c:pt idx="363">
                  <c:v>17.06077530949155</c:v>
                </c:pt>
                <c:pt idx="364">
                  <c:v>17.06077530949155</c:v>
                </c:pt>
                <c:pt idx="365">
                  <c:v>21.025860806984557</c:v>
                </c:pt>
                <c:pt idx="366">
                  <c:v>21.025860806984557</c:v>
                </c:pt>
                <c:pt idx="367">
                  <c:v>21.025860806984557</c:v>
                </c:pt>
                <c:pt idx="368">
                  <c:v>21.025860806984557</c:v>
                </c:pt>
                <c:pt idx="369">
                  <c:v>21.025860806984557</c:v>
                </c:pt>
                <c:pt idx="370">
                  <c:v>21.025860806984557</c:v>
                </c:pt>
                <c:pt idx="371">
                  <c:v>21.025860806984557</c:v>
                </c:pt>
                <c:pt idx="372">
                  <c:v>21.025860806984557</c:v>
                </c:pt>
                <c:pt idx="373">
                  <c:v>21.025860806984557</c:v>
                </c:pt>
                <c:pt idx="374">
                  <c:v>21.025860806984557</c:v>
                </c:pt>
                <c:pt idx="375">
                  <c:v>21.025860806984557</c:v>
                </c:pt>
                <c:pt idx="376">
                  <c:v>21.025860806984557</c:v>
                </c:pt>
                <c:pt idx="377">
                  <c:v>21.025860806984557</c:v>
                </c:pt>
                <c:pt idx="378">
                  <c:v>21.025860806984557</c:v>
                </c:pt>
                <c:pt idx="379">
                  <c:v>21.025860806984557</c:v>
                </c:pt>
                <c:pt idx="380">
                  <c:v>21.025860806984557</c:v>
                </c:pt>
                <c:pt idx="381">
                  <c:v>21.025860806984557</c:v>
                </c:pt>
                <c:pt idx="382">
                  <c:v>21.025860806984557</c:v>
                </c:pt>
                <c:pt idx="383">
                  <c:v>21.025860806984557</c:v>
                </c:pt>
                <c:pt idx="384">
                  <c:v>21.025860806984557</c:v>
                </c:pt>
                <c:pt idx="385">
                  <c:v>21.025860806984557</c:v>
                </c:pt>
                <c:pt idx="386">
                  <c:v>21.025860806984557</c:v>
                </c:pt>
                <c:pt idx="387">
                  <c:v>21.025860806984557</c:v>
                </c:pt>
                <c:pt idx="388">
                  <c:v>21.025860806984557</c:v>
                </c:pt>
                <c:pt idx="389">
                  <c:v>21.025860806984557</c:v>
                </c:pt>
                <c:pt idx="390">
                  <c:v>21.025860806984557</c:v>
                </c:pt>
                <c:pt idx="391">
                  <c:v>21.025860806984557</c:v>
                </c:pt>
                <c:pt idx="392">
                  <c:v>21.025860806984557</c:v>
                </c:pt>
                <c:pt idx="393">
                  <c:v>21.025860806984557</c:v>
                </c:pt>
                <c:pt idx="394">
                  <c:v>21.025860806984557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9.9157058673782661</c:v>
                </c:pt>
                <c:pt idx="1">
                  <c:v>20.153271213409287</c:v>
                </c:pt>
                <c:pt idx="2">
                  <c:v>20.95959048014743</c:v>
                </c:pt>
                <c:pt idx="3">
                  <c:v>19.219243357407425</c:v>
                </c:pt>
                <c:pt idx="4">
                  <c:v>2.4857805174055612</c:v>
                </c:pt>
                <c:pt idx="5">
                  <c:v>1.1927802294074208</c:v>
                </c:pt>
                <c:pt idx="6">
                  <c:v>1.9528572214055602</c:v>
                </c:pt>
                <c:pt idx="7">
                  <c:v>10.516595965407426</c:v>
                </c:pt>
                <c:pt idx="8">
                  <c:v>20.95959048014743</c:v>
                </c:pt>
                <c:pt idx="9">
                  <c:v>17.835714077325989</c:v>
                </c:pt>
                <c:pt idx="10">
                  <c:v>15.430868341322261</c:v>
                </c:pt>
                <c:pt idx="11">
                  <c:v>1.5664787813259899</c:v>
                </c:pt>
                <c:pt idx="12">
                  <c:v>1.4851167173222639</c:v>
                </c:pt>
                <c:pt idx="13">
                  <c:v>20.95959048014743</c:v>
                </c:pt>
                <c:pt idx="14">
                  <c:v>20.95959048014743</c:v>
                </c:pt>
                <c:pt idx="15">
                  <c:v>20.95959048014743</c:v>
                </c:pt>
                <c:pt idx="16">
                  <c:v>20.95959048014743</c:v>
                </c:pt>
                <c:pt idx="17">
                  <c:v>17.305753081036965</c:v>
                </c:pt>
                <c:pt idx="18">
                  <c:v>7.5177133050350964</c:v>
                </c:pt>
                <c:pt idx="19">
                  <c:v>6.3890751850351011</c:v>
                </c:pt>
                <c:pt idx="20">
                  <c:v>20.95959048014743</c:v>
                </c:pt>
                <c:pt idx="21">
                  <c:v>20.95959048014743</c:v>
                </c:pt>
                <c:pt idx="22">
                  <c:v>20.95959048014743</c:v>
                </c:pt>
                <c:pt idx="23">
                  <c:v>20.95959048014743</c:v>
                </c:pt>
                <c:pt idx="24">
                  <c:v>14.38581081373521</c:v>
                </c:pt>
                <c:pt idx="25">
                  <c:v>9.8621068577314794</c:v>
                </c:pt>
                <c:pt idx="26">
                  <c:v>13.26400406973521</c:v>
                </c:pt>
                <c:pt idx="27">
                  <c:v>20.942873981735211</c:v>
                </c:pt>
                <c:pt idx="28">
                  <c:v>20.95959048014743</c:v>
                </c:pt>
                <c:pt idx="29">
                  <c:v>20.95959048014743</c:v>
                </c:pt>
                <c:pt idx="30">
                  <c:v>34.494749008399985</c:v>
                </c:pt>
                <c:pt idx="31">
                  <c:v>33.263345404401854</c:v>
                </c:pt>
                <c:pt idx="32">
                  <c:v>31.916821480398124</c:v>
                </c:pt>
                <c:pt idx="33">
                  <c:v>32.320732376400919</c:v>
                </c:pt>
                <c:pt idx="34">
                  <c:v>36.530324628400912</c:v>
                </c:pt>
                <c:pt idx="35">
                  <c:v>41.360965957335978</c:v>
                </c:pt>
                <c:pt idx="36">
                  <c:v>41.360965957335978</c:v>
                </c:pt>
                <c:pt idx="37">
                  <c:v>41.360965957335978</c:v>
                </c:pt>
                <c:pt idx="38">
                  <c:v>41.360965957335978</c:v>
                </c:pt>
                <c:pt idx="39">
                  <c:v>31.952608363482273</c:v>
                </c:pt>
                <c:pt idx="40">
                  <c:v>27.311554463484136</c:v>
                </c:pt>
                <c:pt idx="41">
                  <c:v>33.411277655482273</c:v>
                </c:pt>
                <c:pt idx="42">
                  <c:v>41.360965957335978</c:v>
                </c:pt>
                <c:pt idx="43">
                  <c:v>40.685804836433135</c:v>
                </c:pt>
                <c:pt idx="44">
                  <c:v>41.360965957335978</c:v>
                </c:pt>
                <c:pt idx="45">
                  <c:v>41.360965957335978</c:v>
                </c:pt>
                <c:pt idx="46">
                  <c:v>41.360965957335978</c:v>
                </c:pt>
                <c:pt idx="47">
                  <c:v>41.360965957335978</c:v>
                </c:pt>
                <c:pt idx="48">
                  <c:v>17.849682186431274</c:v>
                </c:pt>
                <c:pt idx="49">
                  <c:v>33.288567356433134</c:v>
                </c:pt>
                <c:pt idx="50">
                  <c:v>41.360965957335978</c:v>
                </c:pt>
                <c:pt idx="51">
                  <c:v>41.360965957335978</c:v>
                </c:pt>
                <c:pt idx="52">
                  <c:v>41.360965957335978</c:v>
                </c:pt>
                <c:pt idx="53">
                  <c:v>41.360965957335978</c:v>
                </c:pt>
                <c:pt idx="54">
                  <c:v>41.360965957335978</c:v>
                </c:pt>
                <c:pt idx="55">
                  <c:v>41.360965957335978</c:v>
                </c:pt>
                <c:pt idx="56">
                  <c:v>41.360965957335978</c:v>
                </c:pt>
                <c:pt idx="57">
                  <c:v>41.360965957335978</c:v>
                </c:pt>
                <c:pt idx="58">
                  <c:v>41.360965957335978</c:v>
                </c:pt>
                <c:pt idx="59">
                  <c:v>41.360965957335978</c:v>
                </c:pt>
                <c:pt idx="60">
                  <c:v>41.360965957335978</c:v>
                </c:pt>
                <c:pt idx="61">
                  <c:v>67.491461476561412</c:v>
                </c:pt>
                <c:pt idx="62">
                  <c:v>85.678144231829236</c:v>
                </c:pt>
                <c:pt idx="63">
                  <c:v>84.920933158563273</c:v>
                </c:pt>
                <c:pt idx="64">
                  <c:v>85.678144231829236</c:v>
                </c:pt>
                <c:pt idx="65">
                  <c:v>85.06945982151835</c:v>
                </c:pt>
                <c:pt idx="66">
                  <c:v>82.499194099520196</c:v>
                </c:pt>
                <c:pt idx="67">
                  <c:v>85.196646417518352</c:v>
                </c:pt>
                <c:pt idx="68">
                  <c:v>85.678144231829236</c:v>
                </c:pt>
                <c:pt idx="69">
                  <c:v>85.678144231829236</c:v>
                </c:pt>
                <c:pt idx="70">
                  <c:v>85.678144231829236</c:v>
                </c:pt>
                <c:pt idx="71">
                  <c:v>85.678144231829236</c:v>
                </c:pt>
                <c:pt idx="72">
                  <c:v>85.678144231829236</c:v>
                </c:pt>
                <c:pt idx="73">
                  <c:v>85.678144231829236</c:v>
                </c:pt>
                <c:pt idx="74">
                  <c:v>70.060299420722032</c:v>
                </c:pt>
                <c:pt idx="75">
                  <c:v>48.015287764720171</c:v>
                </c:pt>
                <c:pt idx="76">
                  <c:v>85.678144231829236</c:v>
                </c:pt>
                <c:pt idx="77">
                  <c:v>85.678144231829236</c:v>
                </c:pt>
                <c:pt idx="78">
                  <c:v>70.111621425442806</c:v>
                </c:pt>
                <c:pt idx="79">
                  <c:v>63.088121337444669</c:v>
                </c:pt>
                <c:pt idx="80">
                  <c:v>55.397761157440947</c:v>
                </c:pt>
                <c:pt idx="81">
                  <c:v>53.693995237442813</c:v>
                </c:pt>
                <c:pt idx="82">
                  <c:v>46.526884517442817</c:v>
                </c:pt>
                <c:pt idx="83">
                  <c:v>85.678144231829236</c:v>
                </c:pt>
                <c:pt idx="84">
                  <c:v>85.678144231829236</c:v>
                </c:pt>
                <c:pt idx="85">
                  <c:v>69.851458300664419</c:v>
                </c:pt>
                <c:pt idx="86">
                  <c:v>67.886973940664419</c:v>
                </c:pt>
                <c:pt idx="87">
                  <c:v>81.418604596664423</c:v>
                </c:pt>
                <c:pt idx="88">
                  <c:v>64.213849756666278</c:v>
                </c:pt>
                <c:pt idx="89">
                  <c:v>59.651142740662557</c:v>
                </c:pt>
                <c:pt idx="90">
                  <c:v>79.045761708664415</c:v>
                </c:pt>
                <c:pt idx="91">
                  <c:v>62.100601868663496</c:v>
                </c:pt>
                <c:pt idx="92">
                  <c:v>70.402396138760267</c:v>
                </c:pt>
                <c:pt idx="93">
                  <c:v>82.667161910759333</c:v>
                </c:pt>
                <c:pt idx="94">
                  <c:v>78.066907996759326</c:v>
                </c:pt>
                <c:pt idx="95">
                  <c:v>61.534131550759327</c:v>
                </c:pt>
                <c:pt idx="96">
                  <c:v>45.123614910761191</c:v>
                </c:pt>
                <c:pt idx="97">
                  <c:v>40.704781300759329</c:v>
                </c:pt>
                <c:pt idx="98">
                  <c:v>62.039171170759332</c:v>
                </c:pt>
                <c:pt idx="99">
                  <c:v>109.27964473765024</c:v>
                </c:pt>
                <c:pt idx="100">
                  <c:v>109.27964473765024</c:v>
                </c:pt>
                <c:pt idx="101">
                  <c:v>109.27964473765024</c:v>
                </c:pt>
                <c:pt idx="102">
                  <c:v>109.27964473765024</c:v>
                </c:pt>
                <c:pt idx="103">
                  <c:v>109.27964473765024</c:v>
                </c:pt>
                <c:pt idx="104">
                  <c:v>109.27964473765024</c:v>
                </c:pt>
                <c:pt idx="105">
                  <c:v>109.27964473765024</c:v>
                </c:pt>
                <c:pt idx="106">
                  <c:v>109.27964473765024</c:v>
                </c:pt>
                <c:pt idx="107">
                  <c:v>109.27964473765024</c:v>
                </c:pt>
                <c:pt idx="108">
                  <c:v>109.27964473765024</c:v>
                </c:pt>
                <c:pt idx="109">
                  <c:v>109.27964473765024</c:v>
                </c:pt>
                <c:pt idx="110">
                  <c:v>109.27964473765024</c:v>
                </c:pt>
                <c:pt idx="111">
                  <c:v>109.27964473765024</c:v>
                </c:pt>
                <c:pt idx="112">
                  <c:v>109.27964473765024</c:v>
                </c:pt>
                <c:pt idx="113">
                  <c:v>109.27964473765024</c:v>
                </c:pt>
                <c:pt idx="114">
                  <c:v>109.27964473765024</c:v>
                </c:pt>
                <c:pt idx="115">
                  <c:v>104.61240697200887</c:v>
                </c:pt>
                <c:pt idx="116">
                  <c:v>109.27964473765024</c:v>
                </c:pt>
                <c:pt idx="117">
                  <c:v>109.27964473765024</c:v>
                </c:pt>
                <c:pt idx="118">
                  <c:v>109.27964473765024</c:v>
                </c:pt>
                <c:pt idx="119">
                  <c:v>109.27964473765024</c:v>
                </c:pt>
                <c:pt idx="120">
                  <c:v>109.27964473765024</c:v>
                </c:pt>
                <c:pt idx="121">
                  <c:v>109.27964473765024</c:v>
                </c:pt>
                <c:pt idx="122">
                  <c:v>121.61256647889853</c:v>
                </c:pt>
                <c:pt idx="123">
                  <c:v>122.66184857089854</c:v>
                </c:pt>
                <c:pt idx="124">
                  <c:v>124.46511188199077</c:v>
                </c:pt>
                <c:pt idx="125">
                  <c:v>124.46511188199077</c:v>
                </c:pt>
                <c:pt idx="126">
                  <c:v>124.46511188199077</c:v>
                </c:pt>
                <c:pt idx="127">
                  <c:v>122.40887442801942</c:v>
                </c:pt>
                <c:pt idx="128">
                  <c:v>113.46114075602128</c:v>
                </c:pt>
                <c:pt idx="129">
                  <c:v>108.12699205602127</c:v>
                </c:pt>
                <c:pt idx="130">
                  <c:v>79.585318456017546</c:v>
                </c:pt>
                <c:pt idx="131">
                  <c:v>78.225685954021273</c:v>
                </c:pt>
                <c:pt idx="132">
                  <c:v>89.220336424019408</c:v>
                </c:pt>
                <c:pt idx="133">
                  <c:v>103.77480175601941</c:v>
                </c:pt>
                <c:pt idx="134">
                  <c:v>65.034512115070655</c:v>
                </c:pt>
                <c:pt idx="135">
                  <c:v>63.201680711070658</c:v>
                </c:pt>
                <c:pt idx="136">
                  <c:v>62.774371647068797</c:v>
                </c:pt>
                <c:pt idx="137">
                  <c:v>56.383921859072522</c:v>
                </c:pt>
                <c:pt idx="138">
                  <c:v>38.968119675068799</c:v>
                </c:pt>
                <c:pt idx="139">
                  <c:v>71.525197235070664</c:v>
                </c:pt>
                <c:pt idx="140">
                  <c:v>56.168955615070651</c:v>
                </c:pt>
                <c:pt idx="141">
                  <c:v>124.46511188199077</c:v>
                </c:pt>
                <c:pt idx="142">
                  <c:v>124.46511188199077</c:v>
                </c:pt>
                <c:pt idx="143">
                  <c:v>124.46511188199077</c:v>
                </c:pt>
                <c:pt idx="144">
                  <c:v>124.46511188199077</c:v>
                </c:pt>
                <c:pt idx="145">
                  <c:v>124.46511188199077</c:v>
                </c:pt>
                <c:pt idx="146">
                  <c:v>124.46511188199077</c:v>
                </c:pt>
                <c:pt idx="147">
                  <c:v>124.46511188199077</c:v>
                </c:pt>
                <c:pt idx="148">
                  <c:v>124.46511188199077</c:v>
                </c:pt>
                <c:pt idx="149">
                  <c:v>124.46511188199077</c:v>
                </c:pt>
                <c:pt idx="150">
                  <c:v>124.46511188199077</c:v>
                </c:pt>
                <c:pt idx="151">
                  <c:v>124.46511188199077</c:v>
                </c:pt>
                <c:pt idx="152">
                  <c:v>124.46511188199077</c:v>
                </c:pt>
                <c:pt idx="153">
                  <c:v>125.57183874706618</c:v>
                </c:pt>
                <c:pt idx="154">
                  <c:v>125.57183874706618</c:v>
                </c:pt>
                <c:pt idx="155">
                  <c:v>125.57183874706618</c:v>
                </c:pt>
                <c:pt idx="156">
                  <c:v>125.57183874706618</c:v>
                </c:pt>
                <c:pt idx="157">
                  <c:v>125.57183874706618</c:v>
                </c:pt>
                <c:pt idx="158">
                  <c:v>125.57183874706618</c:v>
                </c:pt>
                <c:pt idx="159">
                  <c:v>125.57183874706618</c:v>
                </c:pt>
                <c:pt idx="160">
                  <c:v>125.57183874706618</c:v>
                </c:pt>
                <c:pt idx="161">
                  <c:v>125.57183874706618</c:v>
                </c:pt>
                <c:pt idx="162">
                  <c:v>125.57183874706618</c:v>
                </c:pt>
                <c:pt idx="163">
                  <c:v>125.57183874706618</c:v>
                </c:pt>
                <c:pt idx="164">
                  <c:v>125.57183874706618</c:v>
                </c:pt>
                <c:pt idx="165">
                  <c:v>125.57183874706618</c:v>
                </c:pt>
                <c:pt idx="166">
                  <c:v>125.57183874706618</c:v>
                </c:pt>
                <c:pt idx="167">
                  <c:v>125.57183874706618</c:v>
                </c:pt>
                <c:pt idx="168">
                  <c:v>125.57183874706618</c:v>
                </c:pt>
                <c:pt idx="169">
                  <c:v>125.57183874706618</c:v>
                </c:pt>
                <c:pt idx="170">
                  <c:v>125.57183874706618</c:v>
                </c:pt>
                <c:pt idx="171">
                  <c:v>125.57183874706618</c:v>
                </c:pt>
                <c:pt idx="172">
                  <c:v>125.57183874706618</c:v>
                </c:pt>
                <c:pt idx="173">
                  <c:v>125.57183874706618</c:v>
                </c:pt>
                <c:pt idx="174">
                  <c:v>125.57183874706618</c:v>
                </c:pt>
                <c:pt idx="175">
                  <c:v>125.57183874706618</c:v>
                </c:pt>
                <c:pt idx="176">
                  <c:v>125.57183874706618</c:v>
                </c:pt>
                <c:pt idx="177">
                  <c:v>125.57183874706618</c:v>
                </c:pt>
                <c:pt idx="178">
                  <c:v>125.57183874706618</c:v>
                </c:pt>
                <c:pt idx="179">
                  <c:v>125.57183874706618</c:v>
                </c:pt>
                <c:pt idx="180">
                  <c:v>125.57183874706618</c:v>
                </c:pt>
                <c:pt idx="181">
                  <c:v>136.7399554485423</c:v>
                </c:pt>
                <c:pt idx="182">
                  <c:v>136.7399554485423</c:v>
                </c:pt>
                <c:pt idx="183">
                  <c:v>136.7399554485423</c:v>
                </c:pt>
                <c:pt idx="184">
                  <c:v>136.7399554485423</c:v>
                </c:pt>
                <c:pt idx="185">
                  <c:v>136.7399554485423</c:v>
                </c:pt>
                <c:pt idx="186">
                  <c:v>129.02562271292007</c:v>
                </c:pt>
                <c:pt idx="187">
                  <c:v>122.20455098892009</c:v>
                </c:pt>
                <c:pt idx="188">
                  <c:v>136.7399554485423</c:v>
                </c:pt>
                <c:pt idx="189">
                  <c:v>136.7399554485423</c:v>
                </c:pt>
                <c:pt idx="190">
                  <c:v>129.11398864011255</c:v>
                </c:pt>
                <c:pt idx="191">
                  <c:v>101.23949998610881</c:v>
                </c:pt>
                <c:pt idx="192">
                  <c:v>100.59290683211253</c:v>
                </c:pt>
                <c:pt idx="193">
                  <c:v>72.324729336108817</c:v>
                </c:pt>
                <c:pt idx="194">
                  <c:v>68.548257946110681</c:v>
                </c:pt>
                <c:pt idx="195">
                  <c:v>105.35541978611255</c:v>
                </c:pt>
                <c:pt idx="196">
                  <c:v>84.458917064108817</c:v>
                </c:pt>
                <c:pt idx="197">
                  <c:v>78.6456522491697</c:v>
                </c:pt>
                <c:pt idx="198">
                  <c:v>92.181539105165967</c:v>
                </c:pt>
                <c:pt idx="199">
                  <c:v>86.720284863165972</c:v>
                </c:pt>
                <c:pt idx="200">
                  <c:v>43.176069023169696</c:v>
                </c:pt>
                <c:pt idx="201">
                  <c:v>48.579112891164108</c:v>
                </c:pt>
                <c:pt idx="202">
                  <c:v>100.11940646116783</c:v>
                </c:pt>
                <c:pt idx="203">
                  <c:v>123.59558988916784</c:v>
                </c:pt>
                <c:pt idx="204">
                  <c:v>101.68231273701706</c:v>
                </c:pt>
                <c:pt idx="205">
                  <c:v>100.98737631301704</c:v>
                </c:pt>
                <c:pt idx="206">
                  <c:v>86.623203501018921</c:v>
                </c:pt>
                <c:pt idx="207">
                  <c:v>52.267094185018912</c:v>
                </c:pt>
                <c:pt idx="208">
                  <c:v>22.305643741017047</c:v>
                </c:pt>
                <c:pt idx="209">
                  <c:v>50.199117601017058</c:v>
                </c:pt>
                <c:pt idx="210">
                  <c:v>60.649499513017055</c:v>
                </c:pt>
                <c:pt idx="211">
                  <c:v>75.16902626648239</c:v>
                </c:pt>
                <c:pt idx="212">
                  <c:v>63.751534450480527</c:v>
                </c:pt>
                <c:pt idx="213">
                  <c:v>65.469556810482388</c:v>
                </c:pt>
                <c:pt idx="214">
                  <c:v>42.394872066480531</c:v>
                </c:pt>
                <c:pt idx="215">
                  <c:v>41.921852302478669</c:v>
                </c:pt>
                <c:pt idx="216">
                  <c:v>57.200811402480525</c:v>
                </c:pt>
                <c:pt idx="217">
                  <c:v>72.491779494480539</c:v>
                </c:pt>
                <c:pt idx="218">
                  <c:v>73.096940716146577</c:v>
                </c:pt>
                <c:pt idx="219">
                  <c:v>97.066670200148423</c:v>
                </c:pt>
                <c:pt idx="220">
                  <c:v>89.112006520142856</c:v>
                </c:pt>
                <c:pt idx="221">
                  <c:v>59.675219168146576</c:v>
                </c:pt>
                <c:pt idx="222">
                  <c:v>36.012027652150294</c:v>
                </c:pt>
                <c:pt idx="223">
                  <c:v>71.971308904144706</c:v>
                </c:pt>
                <c:pt idx="224">
                  <c:v>87.948379396146578</c:v>
                </c:pt>
                <c:pt idx="225">
                  <c:v>74.086402859665498</c:v>
                </c:pt>
                <c:pt idx="226">
                  <c:v>65.578525103665498</c:v>
                </c:pt>
                <c:pt idx="227">
                  <c:v>52.700916831667364</c:v>
                </c:pt>
                <c:pt idx="228">
                  <c:v>28.047646551661767</c:v>
                </c:pt>
                <c:pt idx="229">
                  <c:v>25.637126475665493</c:v>
                </c:pt>
                <c:pt idx="230">
                  <c:v>67.720498807665493</c:v>
                </c:pt>
                <c:pt idx="231">
                  <c:v>64.438045755665499</c:v>
                </c:pt>
                <c:pt idx="232">
                  <c:v>77.927893818515969</c:v>
                </c:pt>
                <c:pt idx="233">
                  <c:v>70.428506162521543</c:v>
                </c:pt>
                <c:pt idx="234">
                  <c:v>33.339995286519681</c:v>
                </c:pt>
                <c:pt idx="235">
                  <c:v>20.937989170515962</c:v>
                </c:pt>
                <c:pt idx="236">
                  <c:v>29.937314190521544</c:v>
                </c:pt>
                <c:pt idx="237">
                  <c:v>70.082576902517815</c:v>
                </c:pt>
                <c:pt idx="238">
                  <c:v>69.587241770521544</c:v>
                </c:pt>
                <c:pt idx="239">
                  <c:v>94.811122895477396</c:v>
                </c:pt>
                <c:pt idx="240">
                  <c:v>98.490954667479258</c:v>
                </c:pt>
                <c:pt idx="241">
                  <c:v>95.389488947479265</c:v>
                </c:pt>
                <c:pt idx="242">
                  <c:v>42.147848663479259</c:v>
                </c:pt>
                <c:pt idx="243">
                  <c:v>37.578915619477392</c:v>
                </c:pt>
                <c:pt idx="244">
                  <c:v>62.32738921948112</c:v>
                </c:pt>
                <c:pt idx="245">
                  <c:v>72.060014443477399</c:v>
                </c:pt>
                <c:pt idx="246">
                  <c:v>64.883841791812969</c:v>
                </c:pt>
                <c:pt idx="247">
                  <c:v>60.960911771811105</c:v>
                </c:pt>
                <c:pt idx="248">
                  <c:v>70.572683851807383</c:v>
                </c:pt>
                <c:pt idx="249">
                  <c:v>41.411578935811107</c:v>
                </c:pt>
                <c:pt idx="250">
                  <c:v>41.354636751809245</c:v>
                </c:pt>
                <c:pt idx="251">
                  <c:v>60.27062237980924</c:v>
                </c:pt>
                <c:pt idx="252">
                  <c:v>56.165441323812964</c:v>
                </c:pt>
                <c:pt idx="253">
                  <c:v>64.953505773205393</c:v>
                </c:pt>
                <c:pt idx="254">
                  <c:v>70.248995309207274</c:v>
                </c:pt>
                <c:pt idx="255">
                  <c:v>73.449084457207263</c:v>
                </c:pt>
                <c:pt idx="256">
                  <c:v>61.409645237210988</c:v>
                </c:pt>
                <c:pt idx="257">
                  <c:v>62.933085797205401</c:v>
                </c:pt>
                <c:pt idx="258">
                  <c:v>84.705796105210993</c:v>
                </c:pt>
                <c:pt idx="259">
                  <c:v>82.96181858520913</c:v>
                </c:pt>
                <c:pt idx="260">
                  <c:v>88.422067961818541</c:v>
                </c:pt>
                <c:pt idx="261">
                  <c:v>87.487187521816665</c:v>
                </c:pt>
                <c:pt idx="262">
                  <c:v>81.833325337818536</c:v>
                </c:pt>
                <c:pt idx="263">
                  <c:v>85.378086121820388</c:v>
                </c:pt>
                <c:pt idx="264">
                  <c:v>63.705421921816672</c:v>
                </c:pt>
                <c:pt idx="265">
                  <c:v>71.866288133820404</c:v>
                </c:pt>
                <c:pt idx="266">
                  <c:v>76.699483453822268</c:v>
                </c:pt>
                <c:pt idx="267">
                  <c:v>44.951141361653775</c:v>
                </c:pt>
                <c:pt idx="268">
                  <c:v>84.566878257655645</c:v>
                </c:pt>
                <c:pt idx="269">
                  <c:v>51.342713629655641</c:v>
                </c:pt>
                <c:pt idx="270">
                  <c:v>47.232078169655637</c:v>
                </c:pt>
                <c:pt idx="271">
                  <c:v>30.955034121657505</c:v>
                </c:pt>
                <c:pt idx="272">
                  <c:v>46.388749833651922</c:v>
                </c:pt>
                <c:pt idx="273">
                  <c:v>49.7390358816575</c:v>
                </c:pt>
                <c:pt idx="274">
                  <c:v>59.622137735076741</c:v>
                </c:pt>
                <c:pt idx="275">
                  <c:v>43.383433879082332</c:v>
                </c:pt>
                <c:pt idx="276">
                  <c:v>51.377849187080471</c:v>
                </c:pt>
                <c:pt idx="277">
                  <c:v>46.978688771082325</c:v>
                </c:pt>
                <c:pt idx="278">
                  <c:v>38.849053715080466</c:v>
                </c:pt>
                <c:pt idx="279">
                  <c:v>42.251729895078604</c:v>
                </c:pt>
                <c:pt idx="280">
                  <c:v>48.831029183082336</c:v>
                </c:pt>
                <c:pt idx="281">
                  <c:v>39.655213428078106</c:v>
                </c:pt>
                <c:pt idx="282">
                  <c:v>56.533653168078104</c:v>
                </c:pt>
                <c:pt idx="283">
                  <c:v>35.848084328079977</c:v>
                </c:pt>
                <c:pt idx="284">
                  <c:v>39.187553216074392</c:v>
                </c:pt>
                <c:pt idx="285">
                  <c:v>34.758196140078105</c:v>
                </c:pt>
                <c:pt idx="286">
                  <c:v>64.002517723929074</c:v>
                </c:pt>
                <c:pt idx="287">
                  <c:v>64.002517723929074</c:v>
                </c:pt>
                <c:pt idx="288">
                  <c:v>62.759781339110461</c:v>
                </c:pt>
                <c:pt idx="289">
                  <c:v>64.002517723929074</c:v>
                </c:pt>
                <c:pt idx="290">
                  <c:v>51.741532331110456</c:v>
                </c:pt>
                <c:pt idx="291">
                  <c:v>42.602421635112314</c:v>
                </c:pt>
                <c:pt idx="292">
                  <c:v>30.117633127108594</c:v>
                </c:pt>
                <c:pt idx="293">
                  <c:v>41.492384483112325</c:v>
                </c:pt>
                <c:pt idx="294">
                  <c:v>51.60537784311046</c:v>
                </c:pt>
                <c:pt idx="295">
                  <c:v>56.123723707417419</c:v>
                </c:pt>
                <c:pt idx="296">
                  <c:v>62.085323663419288</c:v>
                </c:pt>
                <c:pt idx="297">
                  <c:v>59.580692003419287</c:v>
                </c:pt>
                <c:pt idx="298">
                  <c:v>44.02805007541928</c:v>
                </c:pt>
                <c:pt idx="299">
                  <c:v>35.421572939419292</c:v>
                </c:pt>
                <c:pt idx="300">
                  <c:v>57.747371875419283</c:v>
                </c:pt>
                <c:pt idx="301">
                  <c:v>56.617720343419293</c:v>
                </c:pt>
                <c:pt idx="302">
                  <c:v>38.670632130302387</c:v>
                </c:pt>
                <c:pt idx="303">
                  <c:v>28.264017142829317</c:v>
                </c:pt>
                <c:pt idx="304">
                  <c:v>28.264017142829317</c:v>
                </c:pt>
                <c:pt idx="305">
                  <c:v>28.264017142829317</c:v>
                </c:pt>
                <c:pt idx="306">
                  <c:v>4.5154322943023946</c:v>
                </c:pt>
                <c:pt idx="307">
                  <c:v>28.264017142829317</c:v>
                </c:pt>
                <c:pt idx="308">
                  <c:v>28.264017142829317</c:v>
                </c:pt>
                <c:pt idx="309">
                  <c:v>28.264017142829317</c:v>
                </c:pt>
                <c:pt idx="310">
                  <c:v>25.159698888306941</c:v>
                </c:pt>
                <c:pt idx="311">
                  <c:v>24.742204244305075</c:v>
                </c:pt>
                <c:pt idx="312">
                  <c:v>24.797153528305078</c:v>
                </c:pt>
                <c:pt idx="313">
                  <c:v>24.48336876030508</c:v>
                </c:pt>
                <c:pt idx="314">
                  <c:v>14.488888316305077</c:v>
                </c:pt>
                <c:pt idx="315">
                  <c:v>17.369116352305078</c:v>
                </c:pt>
                <c:pt idx="316">
                  <c:v>3.2072423586414223</c:v>
                </c:pt>
                <c:pt idx="317">
                  <c:v>3.4758885986414243</c:v>
                </c:pt>
                <c:pt idx="318">
                  <c:v>3.3561334426414251</c:v>
                </c:pt>
                <c:pt idx="319">
                  <c:v>4.1169874026414179</c:v>
                </c:pt>
                <c:pt idx="320">
                  <c:v>4.8147068986432791</c:v>
                </c:pt>
                <c:pt idx="321">
                  <c:v>3.6608772426414218</c:v>
                </c:pt>
                <c:pt idx="322">
                  <c:v>0.66537219064328379</c:v>
                </c:pt>
                <c:pt idx="323">
                  <c:v>19.232001297499554</c:v>
                </c:pt>
                <c:pt idx="324">
                  <c:v>16.465821301501418</c:v>
                </c:pt>
                <c:pt idx="325">
                  <c:v>13.174375153499554</c:v>
                </c:pt>
                <c:pt idx="326">
                  <c:v>11.514703877501415</c:v>
                </c:pt>
                <c:pt idx="327">
                  <c:v>7.0097984214995526</c:v>
                </c:pt>
                <c:pt idx="328">
                  <c:v>10.036056933501415</c:v>
                </c:pt>
                <c:pt idx="329">
                  <c:v>9.0594030974995547</c:v>
                </c:pt>
                <c:pt idx="330">
                  <c:v>6.2810819010995766</c:v>
                </c:pt>
                <c:pt idx="331">
                  <c:v>18.516500529097712</c:v>
                </c:pt>
                <c:pt idx="332">
                  <c:v>18.053295577097714</c:v>
                </c:pt>
                <c:pt idx="333">
                  <c:v>3.7941773750977155</c:v>
                </c:pt>
                <c:pt idx="334">
                  <c:v>4.4792705870995775</c:v>
                </c:pt>
                <c:pt idx="335">
                  <c:v>17.06077530949155</c:v>
                </c:pt>
                <c:pt idx="336">
                  <c:v>17.06077530949155</c:v>
                </c:pt>
                <c:pt idx="337">
                  <c:v>17.06077530949155</c:v>
                </c:pt>
                <c:pt idx="338">
                  <c:v>17.06077530949155</c:v>
                </c:pt>
                <c:pt idx="339">
                  <c:v>5.42220691034077</c:v>
                </c:pt>
                <c:pt idx="340">
                  <c:v>3.9963943463426332</c:v>
                </c:pt>
                <c:pt idx="341">
                  <c:v>2.8785522423407675</c:v>
                </c:pt>
                <c:pt idx="342">
                  <c:v>16.042872728340765</c:v>
                </c:pt>
                <c:pt idx="343">
                  <c:v>12.266544616340775</c:v>
                </c:pt>
                <c:pt idx="344">
                  <c:v>12.804513353729009</c:v>
                </c:pt>
                <c:pt idx="345">
                  <c:v>11.789653197727151</c:v>
                </c:pt>
                <c:pt idx="346">
                  <c:v>10.618266341727153</c:v>
                </c:pt>
                <c:pt idx="347">
                  <c:v>8.2967024137271501</c:v>
                </c:pt>
                <c:pt idx="348">
                  <c:v>2.8305311297280857</c:v>
                </c:pt>
                <c:pt idx="349">
                  <c:v>2.5193534617262192</c:v>
                </c:pt>
                <c:pt idx="350">
                  <c:v>1.6410471217280864</c:v>
                </c:pt>
                <c:pt idx="351">
                  <c:v>1.1195935109318815</c:v>
                </c:pt>
                <c:pt idx="352">
                  <c:v>12.308320820931884</c:v>
                </c:pt>
                <c:pt idx="353">
                  <c:v>10.066089832931882</c:v>
                </c:pt>
                <c:pt idx="354">
                  <c:v>3.8468667969328161</c:v>
                </c:pt>
                <c:pt idx="355">
                  <c:v>0.508441244930953</c:v>
                </c:pt>
                <c:pt idx="356">
                  <c:v>1.0553290569318852</c:v>
                </c:pt>
                <c:pt idx="357">
                  <c:v>0.95153298293281119</c:v>
                </c:pt>
                <c:pt idx="358">
                  <c:v>7.148299117668139</c:v>
                </c:pt>
                <c:pt idx="359">
                  <c:v>9.1900503616690692</c:v>
                </c:pt>
                <c:pt idx="360">
                  <c:v>4.0983882336709359</c:v>
                </c:pt>
                <c:pt idx="361">
                  <c:v>0.76033149366814179</c:v>
                </c:pt>
                <c:pt idx="362">
                  <c:v>1.0641274536700003</c:v>
                </c:pt>
                <c:pt idx="363">
                  <c:v>10.115708249667207</c:v>
                </c:pt>
                <c:pt idx="364">
                  <c:v>13.842601205670929</c:v>
                </c:pt>
                <c:pt idx="365">
                  <c:v>21.025860806984557</c:v>
                </c:pt>
                <c:pt idx="366">
                  <c:v>21.025860806984557</c:v>
                </c:pt>
                <c:pt idx="367">
                  <c:v>21.025860806984557</c:v>
                </c:pt>
                <c:pt idx="368">
                  <c:v>16.72784531692686</c:v>
                </c:pt>
                <c:pt idx="369">
                  <c:v>10.187934292924066</c:v>
                </c:pt>
                <c:pt idx="370">
                  <c:v>15.783412408925928</c:v>
                </c:pt>
                <c:pt idx="371">
                  <c:v>6.2602158249249991</c:v>
                </c:pt>
                <c:pt idx="372">
                  <c:v>20.079615491951159</c:v>
                </c:pt>
                <c:pt idx="373">
                  <c:v>20.903400847952092</c:v>
                </c:pt>
                <c:pt idx="374">
                  <c:v>20.187138247952092</c:v>
                </c:pt>
                <c:pt idx="375">
                  <c:v>15.096113991953025</c:v>
                </c:pt>
                <c:pt idx="376">
                  <c:v>20.022920527952092</c:v>
                </c:pt>
                <c:pt idx="377">
                  <c:v>12.783147795953024</c:v>
                </c:pt>
                <c:pt idx="378">
                  <c:v>21.025860806984557</c:v>
                </c:pt>
                <c:pt idx="379">
                  <c:v>21.025860806984557</c:v>
                </c:pt>
                <c:pt idx="380">
                  <c:v>21.025860806984557</c:v>
                </c:pt>
                <c:pt idx="381">
                  <c:v>16.343130441872198</c:v>
                </c:pt>
                <c:pt idx="382">
                  <c:v>11.763615425872201</c:v>
                </c:pt>
                <c:pt idx="383">
                  <c:v>10.983895529874061</c:v>
                </c:pt>
                <c:pt idx="384">
                  <c:v>12.360109627872204</c:v>
                </c:pt>
                <c:pt idx="385">
                  <c:v>11.8400754218722</c:v>
                </c:pt>
                <c:pt idx="386">
                  <c:v>21.025860806984557</c:v>
                </c:pt>
                <c:pt idx="387">
                  <c:v>18.724293949279911</c:v>
                </c:pt>
                <c:pt idx="388">
                  <c:v>21.025860806984557</c:v>
                </c:pt>
                <c:pt idx="389">
                  <c:v>21.025860806984557</c:v>
                </c:pt>
                <c:pt idx="390">
                  <c:v>15.441186585280844</c:v>
                </c:pt>
                <c:pt idx="391">
                  <c:v>21.025860806984557</c:v>
                </c:pt>
                <c:pt idx="392">
                  <c:v>21.025860806984557</c:v>
                </c:pt>
                <c:pt idx="393">
                  <c:v>21.025860806984557</c:v>
                </c:pt>
                <c:pt idx="394">
                  <c:v>20.678910095840067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layout>
                <c:manualLayout>
                  <c:x val="-3.6182722749886929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8-4255-86EA-374208140DCA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7.2365445499773858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3.6182722749886266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2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4-4C68-81C4-4DCDD1A28A28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layout>
                <c:manualLayout>
                  <c:x val="3.618272274988692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20.95959048014743</c:v>
                </c:pt>
                <c:pt idx="43">
                  <c:v>0</c:v>
                </c:pt>
                <c:pt idx="44">
                  <c:v>41.360965957335978</c:v>
                </c:pt>
                <c:pt idx="45">
                  <c:v>0</c:v>
                </c:pt>
                <c:pt idx="74">
                  <c:v>0</c:v>
                </c:pt>
                <c:pt idx="75">
                  <c:v>85.678144231829236</c:v>
                </c:pt>
                <c:pt idx="76">
                  <c:v>0</c:v>
                </c:pt>
                <c:pt idx="104">
                  <c:v>0</c:v>
                </c:pt>
                <c:pt idx="105">
                  <c:v>109.27964473765024</c:v>
                </c:pt>
                <c:pt idx="106">
                  <c:v>0</c:v>
                </c:pt>
                <c:pt idx="135">
                  <c:v>0</c:v>
                </c:pt>
                <c:pt idx="136">
                  <c:v>124.46511188199077</c:v>
                </c:pt>
                <c:pt idx="137">
                  <c:v>0</c:v>
                </c:pt>
                <c:pt idx="165">
                  <c:v>0</c:v>
                </c:pt>
                <c:pt idx="167">
                  <c:v>125.57183874706618</c:v>
                </c:pt>
                <c:pt idx="195">
                  <c:v>136.7399554485423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26">
                  <c:v>128.52573371940508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56">
                  <c:v>101.55332277089387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87">
                  <c:v>64.002517723929074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317">
                  <c:v>28.264017142829317</c:v>
                </c:pt>
                <c:pt idx="318">
                  <c:v>0</c:v>
                </c:pt>
                <c:pt idx="320">
                  <c:v>0</c:v>
                </c:pt>
                <c:pt idx="348">
                  <c:v>17.06077530949155</c:v>
                </c:pt>
                <c:pt idx="349">
                  <c:v>0</c:v>
                </c:pt>
                <c:pt idx="351">
                  <c:v>0</c:v>
                </c:pt>
                <c:pt idx="379">
                  <c:v>21.025860806984557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3'!$F$49:$F$61</c:f>
              <c:numCache>
                <c:formatCode>#,##0\ _)</c:formatCode>
                <c:ptCount val="13"/>
                <c:pt idx="0">
                  <c:v>10216.987657999998</c:v>
                </c:pt>
                <c:pt idx="1">
                  <c:v>9860.0850484999992</c:v>
                </c:pt>
                <c:pt idx="2">
                  <c:v>11197.565775799998</c:v>
                </c:pt>
                <c:pt idx="3">
                  <c:v>13334.108503349993</c:v>
                </c:pt>
                <c:pt idx="4">
                  <c:v>13030.265303050002</c:v>
                </c:pt>
                <c:pt idx="5">
                  <c:v>13350.687899449997</c:v>
                </c:pt>
                <c:pt idx="6">
                  <c:v>13867.618216399997</c:v>
                </c:pt>
                <c:pt idx="7">
                  <c:v>13950.648185050002</c:v>
                </c:pt>
                <c:pt idx="8">
                  <c:v>14154.758919950002</c:v>
                </c:pt>
                <c:pt idx="9">
                  <c:v>13861.50749955</c:v>
                </c:pt>
                <c:pt idx="10">
                  <c:v>12411.383130949995</c:v>
                </c:pt>
                <c:pt idx="11">
                  <c:v>11082.055950350004</c:v>
                </c:pt>
                <c:pt idx="12">
                  <c:v>10288.729394799997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3'!$G$49:$G$61</c:f>
              <c:numCache>
                <c:formatCode>#,##0\ _)</c:formatCode>
                <c:ptCount val="13"/>
                <c:pt idx="0">
                  <c:v>4709.6077613773832</c:v>
                </c:pt>
                <c:pt idx="1">
                  <c:v>4443.1848832624037</c:v>
                </c:pt>
                <c:pt idx="2">
                  <c:v>4806.2059127499997</c:v>
                </c:pt>
                <c:pt idx="3">
                  <c:v>5321.2928717999985</c:v>
                </c:pt>
                <c:pt idx="4">
                  <c:v>5467.9549016999981</c:v>
                </c:pt>
                <c:pt idx="5">
                  <c:v>5578.6608586499988</c:v>
                </c:pt>
                <c:pt idx="6">
                  <c:v>5886.7781087999983</c:v>
                </c:pt>
                <c:pt idx="7">
                  <c:v>7160.980094999999</c:v>
                </c:pt>
                <c:pt idx="8">
                  <c:v>7197.9099209999968</c:v>
                </c:pt>
                <c:pt idx="9">
                  <c:v>6659.6807604989417</c:v>
                </c:pt>
                <c:pt idx="10">
                  <c:v>5800.1947457021333</c:v>
                </c:pt>
                <c:pt idx="11">
                  <c:v>5069.3133357481856</c:v>
                </c:pt>
                <c:pt idx="12">
                  <c:v>4739.6054379773832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3'!$H$49:$H$61</c:f>
              <c:numCache>
                <c:formatCode>#,##0\ _)</c:formatCode>
                <c:ptCount val="13"/>
                <c:pt idx="0">
                  <c:v>7899.635656205076</c:v>
                </c:pt>
                <c:pt idx="1">
                  <c:v>7706.6327509883004</c:v>
                </c:pt>
                <c:pt idx="2">
                  <c:v>8149.1649360341953</c:v>
                </c:pt>
                <c:pt idx="3">
                  <c:v>8688.9230952214075</c:v>
                </c:pt>
                <c:pt idx="4">
                  <c:v>9460.7335985820428</c:v>
                </c:pt>
                <c:pt idx="5">
                  <c:v>10003.035437810451</c:v>
                </c:pt>
                <c:pt idx="6">
                  <c:v>10720.346582784256</c:v>
                </c:pt>
                <c:pt idx="7">
                  <c:v>11307.143756783118</c:v>
                </c:pt>
                <c:pt idx="8">
                  <c:v>11468.407586706651</c:v>
                </c:pt>
                <c:pt idx="9">
                  <c:v>10927.520460105234</c:v>
                </c:pt>
                <c:pt idx="10">
                  <c:v>9824.1360547772583</c:v>
                </c:pt>
                <c:pt idx="11">
                  <c:v>8745.5835792961407</c:v>
                </c:pt>
                <c:pt idx="12">
                  <c:v>7973.9046291740378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3'!$E$49:$E$61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3'!$D$49:$D$61</c:f>
              <c:numCache>
                <c:formatCode>#,##0</c:formatCode>
                <c:ptCount val="13"/>
                <c:pt idx="0">
                  <c:v>8414.2036093792703</c:v>
                </c:pt>
                <c:pt idx="1">
                  <c:v>8468.7189392685304</c:v>
                </c:pt>
                <c:pt idx="2">
                  <c:v>8407.9337983359892</c:v>
                </c:pt>
                <c:pt idx="3">
                  <c:v>9418.9304168690905</c:v>
                </c:pt>
                <c:pt idx="4">
                  <c:v>9758.5157368181899</c:v>
                </c:pt>
                <c:pt idx="5">
                  <c:v>12661.5058106672</c:v>
                </c:pt>
                <c:pt idx="6">
                  <c:v>12144.926731958538</c:v>
                </c:pt>
                <c:pt idx="7">
                  <c:v>11299.1892331082</c:v>
                </c:pt>
                <c:pt idx="8">
                  <c:v>11113.845787991901</c:v>
                </c:pt>
                <c:pt idx="9">
                  <c:v>10415.710777083699</c:v>
                </c:pt>
                <c:pt idx="10">
                  <c:v>8744.6750995529528</c:v>
                </c:pt>
                <c:pt idx="11">
                  <c:v>7124.7383119369397</c:v>
                </c:pt>
                <c:pt idx="12">
                  <c:v>6314.3165171768396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7560975609756097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0.60994322782426247</c:v>
                </c:pt>
                <c:pt idx="1">
                  <c:v>25.227796039104593</c:v>
                </c:pt>
                <c:pt idx="2">
                  <c:v>2.4654250560498627</c:v>
                </c:pt>
                <c:pt idx="3">
                  <c:v>22.162958833059818</c:v>
                </c:pt>
                <c:pt idx="4">
                  <c:v>11.114045615415339</c:v>
                </c:pt>
                <c:pt idx="5">
                  <c:v>0.86343907859596447</c:v>
                </c:pt>
                <c:pt idx="6">
                  <c:v>0.28701972943951964</c:v>
                </c:pt>
                <c:pt idx="7">
                  <c:v>16.111083445840492</c:v>
                </c:pt>
                <c:pt idx="8">
                  <c:v>7.181735350647914</c:v>
                </c:pt>
                <c:pt idx="9">
                  <c:v>9.6298188684242287</c:v>
                </c:pt>
                <c:pt idx="10">
                  <c:v>2.3081540711333806</c:v>
                </c:pt>
                <c:pt idx="11">
                  <c:v>2.0385806844646206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42.71755044880053</c:v>
                </c:pt>
                <c:pt idx="1">
                  <c:v>57.282449551199463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47953260536225573"/>
                  <c:y val="-0.150326797385620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36257389379186239"/>
                  <c:y val="0.1437908496732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62.443607850049837</c:v>
                </c:pt>
                <c:pt idx="1">
                  <c:v>37.556392149950156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07/09/2021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682926829268293"/>
                  <c:y val="-1.0457516339869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50.562671099269295</c:v>
                </c:pt>
                <c:pt idx="1">
                  <c:v>49.437328900730712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113821138211381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747378528903401"/>
                  <c:y val="3.5646132468735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139402086934255"/>
                  <c:y val="5.9445628120014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0.2464849567572511</c:v>
                </c:pt>
                <c:pt idx="1">
                  <c:v>22.736322218936582</c:v>
                </c:pt>
                <c:pt idx="2">
                  <c:v>1.5966622930507763</c:v>
                </c:pt>
                <c:pt idx="3">
                  <c:v>15.529685896944923</c:v>
                </c:pt>
                <c:pt idx="4">
                  <c:v>9.6303153503979289</c:v>
                </c:pt>
                <c:pt idx="5">
                  <c:v>0.82320038318183242</c:v>
                </c:pt>
                <c:pt idx="6">
                  <c:v>0.25457917553649995</c:v>
                </c:pt>
                <c:pt idx="7">
                  <c:v>30.676252945399042</c:v>
                </c:pt>
                <c:pt idx="8">
                  <c:v>6.2661024148843074</c:v>
                </c:pt>
                <c:pt idx="9">
                  <c:v>8.7334341844075336</c:v>
                </c:pt>
                <c:pt idx="10">
                  <c:v>1.8413169813329338</c:v>
                </c:pt>
                <c:pt idx="11">
                  <c:v>1.6656431991703999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29.009561479847868</c:v>
                </c:pt>
                <c:pt idx="1">
                  <c:v>71.050048170977988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0.69287353503403215</c:v>
                </c:pt>
                <c:pt idx="1">
                  <c:v>17.396233501341406</c:v>
                </c:pt>
                <c:pt idx="2">
                  <c:v>0</c:v>
                </c:pt>
                <c:pt idx="3">
                  <c:v>2.8866594676324682</c:v>
                </c:pt>
                <c:pt idx="4">
                  <c:v>7.3717055656322099</c:v>
                </c:pt>
                <c:pt idx="5">
                  <c:v>0.66208941020774792</c:v>
                </c:pt>
                <c:pt idx="6">
                  <c:v>0.22788295173986686</c:v>
                </c:pt>
                <c:pt idx="7">
                  <c:v>49.409597566100615</c:v>
                </c:pt>
                <c:pt idx="8">
                  <c:v>15.77299788250706</c:v>
                </c:pt>
                <c:pt idx="9">
                  <c:v>3.6790456418855046</c:v>
                </c:pt>
                <c:pt idx="10">
                  <c:v>0.17164642589485377</c:v>
                </c:pt>
                <c:pt idx="11">
                  <c:v>1.7888777028500891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39.199366315904015</c:v>
                </c:pt>
                <c:pt idx="1">
                  <c:v>48.429321696340907</c:v>
                </c:pt>
                <c:pt idx="2">
                  <c:v>42.082593677627422</c:v>
                </c:pt>
                <c:pt idx="3">
                  <c:v>52.100836322105295</c:v>
                </c:pt>
                <c:pt idx="4">
                  <c:v>53.431533558498792</c:v>
                </c:pt>
                <c:pt idx="5">
                  <c:v>60.44352922586944</c:v>
                </c:pt>
                <c:pt idx="6">
                  <c:v>55.162403354928152</c:v>
                </c:pt>
                <c:pt idx="7">
                  <c:v>48.13191198088132</c:v>
                </c:pt>
                <c:pt idx="8">
                  <c:v>52.255888575764992</c:v>
                </c:pt>
                <c:pt idx="9">
                  <c:v>48.253586845434484</c:v>
                </c:pt>
                <c:pt idx="10">
                  <c:v>47.72951546829556</c:v>
                </c:pt>
                <c:pt idx="11">
                  <c:v>44.29396838167451</c:v>
                </c:pt>
                <c:pt idx="12">
                  <c:v>37.556392149950156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60.800633684095999</c:v>
                </c:pt>
                <c:pt idx="1">
                  <c:v>51.570678303659108</c:v>
                </c:pt>
                <c:pt idx="2">
                  <c:v>57.917406322372578</c:v>
                </c:pt>
                <c:pt idx="3">
                  <c:v>47.899163677894734</c:v>
                </c:pt>
                <c:pt idx="4">
                  <c:v>46.568466441501208</c:v>
                </c:pt>
                <c:pt idx="5">
                  <c:v>39.55647077413056</c:v>
                </c:pt>
                <c:pt idx="6">
                  <c:v>44.837596645071848</c:v>
                </c:pt>
                <c:pt idx="7">
                  <c:v>51.86808801911868</c:v>
                </c:pt>
                <c:pt idx="8">
                  <c:v>47.744111424235008</c:v>
                </c:pt>
                <c:pt idx="9">
                  <c:v>51.746413154565516</c:v>
                </c:pt>
                <c:pt idx="10">
                  <c:v>52.27048453170444</c:v>
                </c:pt>
                <c:pt idx="11">
                  <c:v>55.70603161832549</c:v>
                </c:pt>
                <c:pt idx="12">
                  <c:v>62.443607850049844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2874627.5634499998</c:v>
                </c:pt>
                <c:pt idx="1">
                  <c:v>2190686.3617799999</c:v>
                </c:pt>
                <c:pt idx="2">
                  <c:v>2472772.88014</c:v>
                </c:pt>
                <c:pt idx="3">
                  <c:v>2104721.4178900002</c:v>
                </c:pt>
                <c:pt idx="4">
                  <c:v>2306031.16542</c:v>
                </c:pt>
                <c:pt idx="5">
                  <c:v>1316535.3315099999</c:v>
                </c:pt>
                <c:pt idx="6">
                  <c:v>1739042.33048</c:v>
                </c:pt>
                <c:pt idx="7">
                  <c:v>2186657.4454600001</c:v>
                </c:pt>
                <c:pt idx="8">
                  <c:v>1941284.8501899999</c:v>
                </c:pt>
                <c:pt idx="9">
                  <c:v>2449404.6848599999</c:v>
                </c:pt>
                <c:pt idx="10">
                  <c:v>2318993.4486500002</c:v>
                </c:pt>
                <c:pt idx="11">
                  <c:v>2397081.1027899999</c:v>
                </c:pt>
                <c:pt idx="12">
                  <c:v>2922471.9041400002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64.071970906964054</c:v>
                </c:pt>
                <c:pt idx="1">
                  <c:v>72.271197428317706</c:v>
                </c:pt>
                <c:pt idx="2">
                  <c:v>67.664244519508046</c:v>
                </c:pt>
                <c:pt idx="3">
                  <c:v>76.676155978886854</c:v>
                </c:pt>
                <c:pt idx="4">
                  <c:v>77.139707285732712</c:v>
                </c:pt>
                <c:pt idx="5">
                  <c:v>83.91534664043202</c:v>
                </c:pt>
                <c:pt idx="6">
                  <c:v>79.59747774264504</c:v>
                </c:pt>
                <c:pt idx="7">
                  <c:v>71.059107179732194</c:v>
                </c:pt>
                <c:pt idx="8">
                  <c:v>75.879362087268532</c:v>
                </c:pt>
                <c:pt idx="9">
                  <c:v>68.423827653264397</c:v>
                </c:pt>
                <c:pt idx="10">
                  <c:v>72.617555933613914</c:v>
                </c:pt>
                <c:pt idx="11">
                  <c:v>70.581848953866114</c:v>
                </c:pt>
                <c:pt idx="12">
                  <c:v>63.394131416879006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35.928029093035939</c:v>
                </c:pt>
                <c:pt idx="1">
                  <c:v>27.728802571682301</c:v>
                </c:pt>
                <c:pt idx="2">
                  <c:v>32.335755480491947</c:v>
                </c:pt>
                <c:pt idx="3">
                  <c:v>23.32384402111316</c:v>
                </c:pt>
                <c:pt idx="4">
                  <c:v>22.860292714267313</c:v>
                </c:pt>
                <c:pt idx="5">
                  <c:v>16.084653359567973</c:v>
                </c:pt>
                <c:pt idx="6">
                  <c:v>20.40252225735496</c:v>
                </c:pt>
                <c:pt idx="7">
                  <c:v>28.940892820267809</c:v>
                </c:pt>
                <c:pt idx="8">
                  <c:v>24.120637912731453</c:v>
                </c:pt>
                <c:pt idx="9">
                  <c:v>31.576172346735621</c:v>
                </c:pt>
                <c:pt idx="10">
                  <c:v>27.382444066386078</c:v>
                </c:pt>
                <c:pt idx="11">
                  <c:v>29.418151046133911</c:v>
                </c:pt>
                <c:pt idx="12">
                  <c:v>36.605868583120987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1678.3274013719999</c:v>
                </c:pt>
                <c:pt idx="1">
                  <c:v>1892.9846669420001</c:v>
                </c:pt>
                <c:pt idx="2">
                  <c:v>2459.7328362960002</c:v>
                </c:pt>
                <c:pt idx="3">
                  <c:v>3191.3531995479998</c:v>
                </c:pt>
                <c:pt idx="4">
                  <c:v>4055.5224591820001</c:v>
                </c:pt>
                <c:pt idx="5">
                  <c:v>4515.8167889480001</c:v>
                </c:pt>
                <c:pt idx="6">
                  <c:v>3713.0280040799998</c:v>
                </c:pt>
                <c:pt idx="7">
                  <c:v>2742.9927041320002</c:v>
                </c:pt>
                <c:pt idx="8">
                  <c:v>2156.5677169599999</c:v>
                </c:pt>
                <c:pt idx="9">
                  <c:v>2179.4227844279999</c:v>
                </c:pt>
                <c:pt idx="10">
                  <c:v>2203.5825142980002</c:v>
                </c:pt>
                <c:pt idx="11">
                  <c:v>1879.8039341619999</c:v>
                </c:pt>
                <c:pt idx="12">
                  <c:v>1392.20737074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3962.2430210000002</c:v>
                </c:pt>
                <c:pt idx="1">
                  <c:v>5669.7146759999996</c:v>
                </c:pt>
                <c:pt idx="2">
                  <c:v>4154.0834599999998</c:v>
                </c:pt>
                <c:pt idx="3">
                  <c:v>7378.7336489999998</c:v>
                </c:pt>
                <c:pt idx="4">
                  <c:v>7019.2746690000004</c:v>
                </c:pt>
                <c:pt idx="5">
                  <c:v>6235.5684270000002</c:v>
                </c:pt>
                <c:pt idx="6">
                  <c:v>5521.443166</c:v>
                </c:pt>
                <c:pt idx="7">
                  <c:v>4041.7178789999998</c:v>
                </c:pt>
                <c:pt idx="8">
                  <c:v>4620.819896</c:v>
                </c:pt>
                <c:pt idx="9">
                  <c:v>3533.4356429999998</c:v>
                </c:pt>
                <c:pt idx="10">
                  <c:v>4120.4592439999997</c:v>
                </c:pt>
                <c:pt idx="11">
                  <c:v>3597.1086890000001</c:v>
                </c:pt>
                <c:pt idx="12">
                  <c:v>3123.1962789999998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1426.722043</c:v>
                </c:pt>
                <c:pt idx="1">
                  <c:v>1283.3937249999999</c:v>
                </c:pt>
                <c:pt idx="2">
                  <c:v>788.93134899999995</c:v>
                </c:pt>
                <c:pt idx="3">
                  <c:v>719.15622399999995</c:v>
                </c:pt>
                <c:pt idx="4">
                  <c:v>821.66945299999998</c:v>
                </c:pt>
                <c:pt idx="5">
                  <c:v>945.54870300000005</c:v>
                </c:pt>
                <c:pt idx="6">
                  <c:v>1648.188848</c:v>
                </c:pt>
                <c:pt idx="7">
                  <c:v>1625.0275710000001</c:v>
                </c:pt>
                <c:pt idx="8">
                  <c:v>2335.6640040000002</c:v>
                </c:pt>
                <c:pt idx="9">
                  <c:v>2276.176676</c:v>
                </c:pt>
                <c:pt idx="10">
                  <c:v>2465.699314</c:v>
                </c:pt>
                <c:pt idx="11">
                  <c:v>2330.2383329999998</c:v>
                </c:pt>
                <c:pt idx="12">
                  <c:v>1866.7778960000001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452.15923299999997</c:v>
                </c:pt>
                <c:pt idx="1">
                  <c:v>340.27470899999997</c:v>
                </c:pt>
                <c:pt idx="2">
                  <c:v>108.048269</c:v>
                </c:pt>
                <c:pt idx="3">
                  <c:v>76.225913000000006</c:v>
                </c:pt>
                <c:pt idx="4">
                  <c:v>102.634029</c:v>
                </c:pt>
                <c:pt idx="5">
                  <c:v>138.18132700000001</c:v>
                </c:pt>
                <c:pt idx="6">
                  <c:v>355.01542699999999</c:v>
                </c:pt>
                <c:pt idx="7">
                  <c:v>266.78751899999997</c:v>
                </c:pt>
                <c:pt idx="8">
                  <c:v>645.65319899999997</c:v>
                </c:pt>
                <c:pt idx="9">
                  <c:v>655.36365000000001</c:v>
                </c:pt>
                <c:pt idx="10">
                  <c:v>828.47839999999997</c:v>
                </c:pt>
                <c:pt idx="11">
                  <c:v>661.321641</c:v>
                </c:pt>
                <c:pt idx="12">
                  <c:v>447.44465700000001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394.86022600000001</c:v>
                </c:pt>
                <c:pt idx="1">
                  <c:v>414.07609600000001</c:v>
                </c:pt>
                <c:pt idx="2">
                  <c:v>393.05924800000003</c:v>
                </c:pt>
                <c:pt idx="3">
                  <c:v>422.601923</c:v>
                </c:pt>
                <c:pt idx="4">
                  <c:v>389.92807800000003</c:v>
                </c:pt>
                <c:pt idx="5">
                  <c:v>364.35283099999998</c:v>
                </c:pt>
                <c:pt idx="6">
                  <c:v>358.00908700000002</c:v>
                </c:pt>
                <c:pt idx="7">
                  <c:v>391.39413100000002</c:v>
                </c:pt>
                <c:pt idx="8">
                  <c:v>390.09032500000001</c:v>
                </c:pt>
                <c:pt idx="9">
                  <c:v>357.15935500000001</c:v>
                </c:pt>
                <c:pt idx="10">
                  <c:v>351.58971200000002</c:v>
                </c:pt>
                <c:pt idx="11">
                  <c:v>409.60947299999998</c:v>
                </c:pt>
                <c:pt idx="12">
                  <c:v>395.18680599999999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58.507686499999998</c:v>
                </c:pt>
                <c:pt idx="1">
                  <c:v>64.967821499999999</c:v>
                </c:pt>
                <c:pt idx="2">
                  <c:v>67.556750500000007</c:v>
                </c:pt>
                <c:pt idx="3">
                  <c:v>66.683813999999998</c:v>
                </c:pt>
                <c:pt idx="4">
                  <c:v>52.060037999999999</c:v>
                </c:pt>
                <c:pt idx="5">
                  <c:v>57.768275000000003</c:v>
                </c:pt>
                <c:pt idx="6">
                  <c:v>61.963368000000003</c:v>
                </c:pt>
                <c:pt idx="7">
                  <c:v>66.322567500000005</c:v>
                </c:pt>
                <c:pt idx="8">
                  <c:v>53.009402999999999</c:v>
                </c:pt>
                <c:pt idx="9">
                  <c:v>65.533088500000005</c:v>
                </c:pt>
                <c:pt idx="10">
                  <c:v>70.069165499999997</c:v>
                </c:pt>
                <c:pt idx="11">
                  <c:v>67.949684000000005</c:v>
                </c:pt>
                <c:pt idx="12">
                  <c:v>55.639892500000002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0.41088</cdr:x>
      <cdr:y>0.06546</cdr:y>
    </cdr:from>
    <cdr:to>
      <cdr:x>0.41301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6955" y="238187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0.34117</cdr:x>
      <cdr:y>0.0913</cdr:y>
    </cdr:from>
    <cdr:to>
      <cdr:x>0.34125</cdr:x>
      <cdr:y>0.75394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88508" y="280035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6.314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Septiembre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G17" sqref="G17: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Septiembre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G10" sqref="G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Septiembre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5" t="s">
        <v>25</v>
      </c>
      <c r="E7" s="114"/>
      <c r="F7" s="336" t="str">
        <f>Dat_01!A2</f>
        <v>Septiembre 2021</v>
      </c>
      <c r="G7" s="337"/>
      <c r="H7" s="338" t="s">
        <v>27</v>
      </c>
      <c r="I7" s="33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5"/>
      <c r="E8" s="115" t="s">
        <v>28</v>
      </c>
      <c r="F8" s="298">
        <v>11603</v>
      </c>
      <c r="G8" s="299" t="s">
        <v>244</v>
      </c>
      <c r="H8" s="298">
        <v>19588</v>
      </c>
      <c r="I8" s="299" t="s">
        <v>201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45.9</v>
      </c>
      <c r="G9" s="278" t="s">
        <v>245</v>
      </c>
      <c r="H9" s="273">
        <v>75.900000000000006</v>
      </c>
      <c r="I9" s="278" t="s">
        <v>181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F33" sqref="F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Septiembre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5" t="s">
        <v>190</v>
      </c>
      <c r="E7" s="4"/>
    </row>
    <row r="8" spans="3:34">
      <c r="C8" s="335"/>
      <c r="E8" s="4"/>
    </row>
    <row r="9" spans="3:34">
      <c r="C9" s="335"/>
      <c r="E9" s="4"/>
    </row>
    <row r="10" spans="3:34">
      <c r="C10" s="335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F16" sqref="F1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Septiembre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35" t="s">
        <v>26</v>
      </c>
      <c r="V7" s="54"/>
    </row>
    <row r="8" spans="2:22">
      <c r="B8" s="335"/>
      <c r="V8" s="54"/>
    </row>
    <row r="9" spans="2:22">
      <c r="B9" s="335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33" sqref="D33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Septiembre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-8.7384323191771855</v>
      </c>
      <c r="O64" s="62">
        <f>'Data 3'!I60-'Data 3'!I48</f>
        <v>-12.778205001545473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18" sqref="H18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Septiembre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5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5"/>
      <c r="D8" s="77"/>
      <c r="E8" s="78"/>
      <c r="P8" s="80"/>
      <c r="Q8" s="80"/>
      <c r="R8" s="80"/>
    </row>
    <row r="9" spans="2:18" s="74" customFormat="1" ht="12.75" customHeight="1">
      <c r="B9" s="73"/>
      <c r="C9" s="335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5"/>
    </row>
    <row r="29" spans="2:9">
      <c r="E29" s="325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3.1167036722552952</v>
      </c>
      <c r="E5" s="107"/>
      <c r="F5" s="108" t="s">
        <v>16</v>
      </c>
      <c r="G5" s="109">
        <f>SUM(D5:D10)</f>
        <v>42.710112796703989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6.6586071560022484</v>
      </c>
      <c r="E6" s="107"/>
      <c r="F6" s="203" t="s">
        <v>17</v>
      </c>
      <c r="G6" s="204">
        <f>SUM(D11:D16)</f>
        <v>57.282449551199463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4.3433221915711995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22.9789255294667</v>
      </c>
      <c r="E8" s="107"/>
    </row>
    <row r="9" spans="2:7">
      <c r="B9" s="108" t="s">
        <v>9</v>
      </c>
      <c r="C9" s="127">
        <f>Dat_01!B37</f>
        <v>5596.8024999999998</v>
      </c>
      <c r="D9" s="109">
        <f t="shared" si="0"/>
        <v>5.2361094148518985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0.37644483255665268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0.12314459765257364</v>
      </c>
      <c r="E11" s="107"/>
    </row>
    <row r="12" spans="2:7">
      <c r="B12" s="108" t="s">
        <v>5</v>
      </c>
      <c r="C12" s="127">
        <f>Dat_01!B41</f>
        <v>27478.673500000001</v>
      </c>
      <c r="D12" s="109">
        <f t="shared" si="0"/>
        <v>25.707775291515361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15.990160557188576</v>
      </c>
      <c r="E13" s="107"/>
    </row>
    <row r="14" spans="2:7">
      <c r="B14" s="108" t="s">
        <v>6</v>
      </c>
      <c r="C14" s="127">
        <f>Dat_01!B43</f>
        <v>13137.638406</v>
      </c>
      <c r="D14" s="109">
        <f t="shared" si="0"/>
        <v>12.290966520004323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2.1555279396121567</v>
      </c>
      <c r="E15" s="107"/>
    </row>
    <row r="16" spans="2:7">
      <c r="B16" s="108" t="s">
        <v>8</v>
      </c>
      <c r="C16" s="127">
        <f>Dat_01!B45</f>
        <v>1084.7850000000001</v>
      </c>
      <c r="D16" s="109">
        <f t="shared" si="0"/>
        <v>1.0148746452264694</v>
      </c>
      <c r="E16" s="107"/>
    </row>
    <row r="17" spans="2:7">
      <c r="B17" s="110" t="s">
        <v>15</v>
      </c>
      <c r="C17" s="128">
        <f>SUM(C5:C16)+C18</f>
        <v>106888.57043600001</v>
      </c>
      <c r="D17" s="111">
        <f>SUM(D5:D16)+D18</f>
        <v>99.999999999999986</v>
      </c>
      <c r="E17" s="107"/>
    </row>
    <row r="18" spans="2:7">
      <c r="B18" s="108" t="s">
        <v>206</v>
      </c>
      <c r="C18" s="127">
        <f>Dat_01!B38</f>
        <v>7.95</v>
      </c>
      <c r="D18" s="109">
        <f>C18/$C$17*100</f>
        <v>7.4376520965448757E-3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118.23987045600001</v>
      </c>
      <c r="D21" s="109">
        <f>C21/$C$33*100</f>
        <v>0.60994322782426247</v>
      </c>
      <c r="E21" s="107"/>
      <c r="F21" s="108" t="s">
        <v>16</v>
      </c>
      <c r="G21" s="109">
        <f>SUM(D21:D26)</f>
        <v>62.443607850049837</v>
      </c>
    </row>
    <row r="22" spans="2:7">
      <c r="B22" s="108" t="s">
        <v>3</v>
      </c>
      <c r="C22" s="127">
        <f>Dat_01!B51</f>
        <v>4890.5065250000007</v>
      </c>
      <c r="D22" s="109">
        <f t="shared" ref="D22:D24" si="1">C22/$C$33*100</f>
        <v>25.227796039104593</v>
      </c>
      <c r="E22" s="129"/>
      <c r="F22" s="203" t="s">
        <v>17</v>
      </c>
      <c r="G22" s="204">
        <f>SUM(D27:D32)</f>
        <v>37.556392149950156</v>
      </c>
    </row>
    <row r="23" spans="2:7">
      <c r="B23" s="108" t="s">
        <v>4</v>
      </c>
      <c r="C23" s="127">
        <f>Dat_01!B52</f>
        <v>477.93225000000001</v>
      </c>
      <c r="D23" s="109">
        <f t="shared" si="1"/>
        <v>2.4654250560498627</v>
      </c>
      <c r="E23" s="129"/>
    </row>
    <row r="24" spans="2:7">
      <c r="B24" s="108" t="s">
        <v>11</v>
      </c>
      <c r="C24" s="127">
        <f>Dat_01!B53</f>
        <v>4296.3758949999992</v>
      </c>
      <c r="D24" s="109">
        <f t="shared" si="1"/>
        <v>22.162958833059818</v>
      </c>
      <c r="E24" s="129"/>
    </row>
    <row r="25" spans="2:7">
      <c r="B25" s="108" t="s">
        <v>9</v>
      </c>
      <c r="C25" s="127">
        <f>Dat_01!B54</f>
        <v>2154.5010320000001</v>
      </c>
      <c r="D25" s="109">
        <f>C25/$C$33*100</f>
        <v>11.114045615415339</v>
      </c>
      <c r="E25" s="129"/>
    </row>
    <row r="26" spans="2:7">
      <c r="B26" s="108" t="s">
        <v>70</v>
      </c>
      <c r="C26" s="127">
        <f>Dat_01!B55</f>
        <v>167.38102849999999</v>
      </c>
      <c r="D26" s="109">
        <f>C26/$C$33*100</f>
        <v>0.86343907859596447</v>
      </c>
      <c r="E26" s="129"/>
    </row>
    <row r="27" spans="2:7">
      <c r="B27" s="108" t="s">
        <v>69</v>
      </c>
      <c r="C27" s="127">
        <f>Dat_01!B56</f>
        <v>55.639892500000002</v>
      </c>
      <c r="D27" s="109">
        <f t="shared" ref="D27:D28" si="2">C27/$C$33*100</f>
        <v>0.28701972943951964</v>
      </c>
      <c r="E27" s="129"/>
    </row>
    <row r="28" spans="2:7">
      <c r="B28" s="108" t="s">
        <v>5</v>
      </c>
      <c r="C28" s="127">
        <f>Dat_01!B57</f>
        <v>3123.1962790000002</v>
      </c>
      <c r="D28" s="109">
        <f t="shared" si="2"/>
        <v>16.111083445840492</v>
      </c>
      <c r="E28" s="129"/>
    </row>
    <row r="29" spans="2:7">
      <c r="B29" s="108" t="s">
        <v>2</v>
      </c>
      <c r="C29" s="127">
        <f>Dat_01!B58</f>
        <v>1392.20737074</v>
      </c>
      <c r="D29" s="109">
        <f>C29/$C$33*100</f>
        <v>7.181735350647914</v>
      </c>
      <c r="E29" s="129"/>
    </row>
    <row r="30" spans="2:7">
      <c r="B30" s="108" t="s">
        <v>6</v>
      </c>
      <c r="C30" s="127">
        <f>Dat_01!B59</f>
        <v>1866.7778960000001</v>
      </c>
      <c r="D30" s="109">
        <f t="shared" ref="D30:D32" si="3">C30/$C$33*100</f>
        <v>9.6298188684242287</v>
      </c>
      <c r="E30" s="129"/>
    </row>
    <row r="31" spans="2:7">
      <c r="B31" s="108" t="s">
        <v>7</v>
      </c>
      <c r="C31" s="127">
        <f>Dat_01!B60</f>
        <v>447.44465700000001</v>
      </c>
      <c r="D31" s="109">
        <f t="shared" si="3"/>
        <v>2.3081540711333806</v>
      </c>
      <c r="E31" s="129"/>
    </row>
    <row r="32" spans="2:7">
      <c r="B32" s="108" t="s">
        <v>8</v>
      </c>
      <c r="C32" s="127">
        <f>Dat_01!B61</f>
        <v>395.18680599999999</v>
      </c>
      <c r="D32" s="109">
        <f t="shared" si="3"/>
        <v>2.0385806844646206</v>
      </c>
      <c r="E32" s="129"/>
    </row>
    <row r="33" spans="2:6">
      <c r="B33" s="110" t="s">
        <v>15</v>
      </c>
      <c r="C33" s="128">
        <f>SUM(C21:C32)</f>
        <v>19385.389502196002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0.2464849567572511</v>
      </c>
      <c r="D37" s="107"/>
      <c r="E37" s="108" t="s">
        <v>16</v>
      </c>
      <c r="F37" s="109">
        <f>SUM(C37:C42)</f>
        <v>50.562671099269295</v>
      </c>
    </row>
    <row r="38" spans="2:6">
      <c r="B38" s="108" t="s">
        <v>3</v>
      </c>
      <c r="C38" s="109">
        <f>Dat_01!B95</f>
        <v>22.736322218936582</v>
      </c>
      <c r="D38" s="107"/>
      <c r="E38" s="203" t="s">
        <v>17</v>
      </c>
      <c r="F38" s="204">
        <f>SUM(C43:C48)</f>
        <v>49.437328900730712</v>
      </c>
    </row>
    <row r="39" spans="2:6">
      <c r="B39" s="108" t="s">
        <v>4</v>
      </c>
      <c r="C39" s="109">
        <f>Dat_01!B96</f>
        <v>1.5966622930507763</v>
      </c>
      <c r="D39" s="107"/>
    </row>
    <row r="40" spans="2:6">
      <c r="B40" s="108" t="s">
        <v>11</v>
      </c>
      <c r="C40" s="109">
        <f>Dat_01!B97</f>
        <v>15.529685896944923</v>
      </c>
      <c r="D40" s="107"/>
    </row>
    <row r="41" spans="2:6">
      <c r="B41" s="108" t="s">
        <v>9</v>
      </c>
      <c r="C41" s="109">
        <f>Dat_01!B98</f>
        <v>9.6303153503979289</v>
      </c>
      <c r="D41" s="107"/>
      <c r="E41" s="107"/>
      <c r="F41" s="107"/>
    </row>
    <row r="42" spans="2:6">
      <c r="B42" s="108" t="s">
        <v>70</v>
      </c>
      <c r="C42" s="109">
        <f>Dat_01!B99</f>
        <v>0.82320038318183242</v>
      </c>
      <c r="D42" s="107"/>
      <c r="E42" s="107"/>
      <c r="F42" s="107"/>
    </row>
    <row r="43" spans="2:6">
      <c r="B43" s="108" t="s">
        <v>69</v>
      </c>
      <c r="C43" s="109">
        <f>Dat_01!B100</f>
        <v>0.25457917553649995</v>
      </c>
      <c r="D43" s="107"/>
      <c r="E43" s="107"/>
      <c r="F43" s="107"/>
    </row>
    <row r="44" spans="2:6">
      <c r="B44" s="108" t="s">
        <v>5</v>
      </c>
      <c r="C44" s="109">
        <f>Dat_01!B101</f>
        <v>30.676252945399042</v>
      </c>
      <c r="D44" s="107"/>
      <c r="E44" s="107"/>
      <c r="F44" s="107"/>
    </row>
    <row r="45" spans="2:6">
      <c r="B45" s="108" t="s">
        <v>2</v>
      </c>
      <c r="C45" s="109">
        <f>Dat_01!B102</f>
        <v>6.2661024148843074</v>
      </c>
      <c r="D45" s="107"/>
      <c r="E45" s="107"/>
      <c r="F45" s="107"/>
    </row>
    <row r="46" spans="2:6">
      <c r="B46" s="108" t="s">
        <v>6</v>
      </c>
      <c r="C46" s="109">
        <f>Dat_01!B103</f>
        <v>8.7334341844075336</v>
      </c>
      <c r="D46" s="107"/>
      <c r="E46" s="107"/>
      <c r="F46" s="107"/>
    </row>
    <row r="47" spans="2:6">
      <c r="B47" s="108" t="s">
        <v>7</v>
      </c>
      <c r="C47" s="109">
        <f>Dat_01!B104</f>
        <v>1.8413169813329338</v>
      </c>
      <c r="D47" s="107"/>
      <c r="E47" s="107"/>
      <c r="F47" s="107"/>
    </row>
    <row r="48" spans="2:6">
      <c r="B48" s="108" t="s">
        <v>8</v>
      </c>
      <c r="C48" s="109">
        <f>Dat_01!B105</f>
        <v>1.6656431991703999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0.69287353503403215</v>
      </c>
      <c r="D53" s="107"/>
      <c r="E53" s="108" t="s">
        <v>16</v>
      </c>
      <c r="F53" s="109">
        <f>SUM(C53:C58)</f>
        <v>29.009561479847868</v>
      </c>
    </row>
    <row r="54" spans="2:6">
      <c r="B54" s="108" t="s">
        <v>3</v>
      </c>
      <c r="C54" s="109">
        <f>Dat_01!H95</f>
        <v>17.396233501341406</v>
      </c>
      <c r="D54" s="107"/>
      <c r="E54" s="203" t="s">
        <v>17</v>
      </c>
      <c r="F54" s="204">
        <f>SUM(C59:C64)</f>
        <v>71.050048170977988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2.8866594676324682</v>
      </c>
      <c r="D56" s="107"/>
    </row>
    <row r="57" spans="2:6">
      <c r="B57" s="108" t="s">
        <v>9</v>
      </c>
      <c r="C57" s="109">
        <f>Dat_01!H98</f>
        <v>7.3717055656322099</v>
      </c>
      <c r="D57" s="107"/>
      <c r="E57" s="107"/>
      <c r="F57" s="107"/>
    </row>
    <row r="58" spans="2:6">
      <c r="B58" s="108" t="s">
        <v>70</v>
      </c>
      <c r="C58" s="109">
        <f>Dat_01!H99</f>
        <v>0.66208941020774792</v>
      </c>
      <c r="D58" s="107"/>
      <c r="E58" s="107"/>
      <c r="F58" s="107"/>
    </row>
    <row r="59" spans="2:6">
      <c r="B59" s="108" t="s">
        <v>69</v>
      </c>
      <c r="C59" s="109">
        <f>Dat_01!H100</f>
        <v>0.22788295173986686</v>
      </c>
      <c r="D59" s="107"/>
      <c r="E59" s="107"/>
      <c r="F59" s="107"/>
    </row>
    <row r="60" spans="2:6">
      <c r="B60" s="108" t="s">
        <v>5</v>
      </c>
      <c r="C60" s="109">
        <f>Dat_01!H101</f>
        <v>49.409597566100615</v>
      </c>
      <c r="D60" s="107"/>
      <c r="E60" s="107"/>
      <c r="F60" s="107"/>
    </row>
    <row r="61" spans="2:6">
      <c r="B61" s="108" t="s">
        <v>2</v>
      </c>
      <c r="C61" s="109">
        <f>Dat_01!H102</f>
        <v>15.77299788250706</v>
      </c>
      <c r="D61" s="107"/>
      <c r="E61" s="107"/>
      <c r="F61" s="107"/>
    </row>
    <row r="62" spans="2:6">
      <c r="B62" s="108" t="s">
        <v>6</v>
      </c>
      <c r="C62" s="109">
        <f>Dat_01!H103</f>
        <v>3.6790456418855046</v>
      </c>
      <c r="D62" s="107"/>
      <c r="E62" s="107"/>
      <c r="F62" s="107"/>
    </row>
    <row r="63" spans="2:6">
      <c r="B63" s="108" t="s">
        <v>7</v>
      </c>
      <c r="C63" s="109">
        <f>Dat_01!H104</f>
        <v>0.17164642589485377</v>
      </c>
      <c r="D63" s="107"/>
      <c r="E63" s="107"/>
      <c r="F63" s="107"/>
    </row>
    <row r="64" spans="2:6">
      <c r="B64" s="108" t="s">
        <v>8</v>
      </c>
      <c r="C64" s="109">
        <f>Dat_01!H105</f>
        <v>1.7888777028500891</v>
      </c>
    </row>
    <row r="65" spans="2:16">
      <c r="B65" s="110" t="s">
        <v>15</v>
      </c>
      <c r="C65" s="111">
        <f>SUM(C53:C64)</f>
        <v>100.05960965082585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S</v>
      </c>
      <c r="D68" s="208" t="str">
        <f>Dat_01!C140</f>
        <v>O</v>
      </c>
      <c r="E68" s="208" t="str">
        <f>Dat_01!D140</f>
        <v>N</v>
      </c>
      <c r="F68" s="208" t="str">
        <f>Dat_01!E140</f>
        <v>D</v>
      </c>
      <c r="G68" s="208" t="str">
        <f>Dat_01!F140</f>
        <v>E</v>
      </c>
      <c r="H68" s="208" t="str">
        <f>Dat_01!G140</f>
        <v>F</v>
      </c>
      <c r="I68" s="208" t="str">
        <f>Dat_01!H140</f>
        <v>M</v>
      </c>
      <c r="J68" s="208" t="str">
        <f>Dat_01!I140</f>
        <v>A</v>
      </c>
      <c r="K68" s="208" t="str">
        <f>Dat_01!J140</f>
        <v>M</v>
      </c>
      <c r="L68" s="208" t="str">
        <f>Dat_01!K140</f>
        <v>J</v>
      </c>
      <c r="M68" s="208" t="str">
        <f>Dat_01!L140</f>
        <v>J</v>
      </c>
      <c r="N68" s="208" t="str">
        <f>Dat_01!M140</f>
        <v>A</v>
      </c>
      <c r="O68" s="208" t="str">
        <f>Dat_01!N140</f>
        <v>S</v>
      </c>
      <c r="P68" s="209"/>
    </row>
    <row r="69" spans="2:16">
      <c r="B69" s="210" t="s">
        <v>2</v>
      </c>
      <c r="C69" s="211">
        <f>Dat_01!B142</f>
        <v>1678.3274013719999</v>
      </c>
      <c r="D69" s="211">
        <f>Dat_01!C142</f>
        <v>1892.9846669420001</v>
      </c>
      <c r="E69" s="211">
        <f>Dat_01!D142</f>
        <v>2459.7328362960002</v>
      </c>
      <c r="F69" s="211">
        <f>Dat_01!E142</f>
        <v>3191.3531995479998</v>
      </c>
      <c r="G69" s="211">
        <f>Dat_01!F142</f>
        <v>4055.5224591820001</v>
      </c>
      <c r="H69" s="211">
        <f>Dat_01!G142</f>
        <v>4515.8167889480001</v>
      </c>
      <c r="I69" s="211">
        <f>Dat_01!H142</f>
        <v>3713.0280040799998</v>
      </c>
      <c r="J69" s="211">
        <f>Dat_01!I142</f>
        <v>2742.9927041320002</v>
      </c>
      <c r="K69" s="211">
        <f>Dat_01!J142</f>
        <v>2156.5677169599999</v>
      </c>
      <c r="L69" s="211">
        <f>Dat_01!K142</f>
        <v>2179.4227844279999</v>
      </c>
      <c r="M69" s="211">
        <f>Dat_01!L142</f>
        <v>2203.5825142980002</v>
      </c>
      <c r="N69" s="211">
        <f>Dat_01!M142</f>
        <v>1879.8039341619999</v>
      </c>
      <c r="O69" s="211">
        <f>Dat_01!N142</f>
        <v>1392.20737074</v>
      </c>
    </row>
    <row r="70" spans="2:16">
      <c r="B70" s="210" t="s">
        <v>81</v>
      </c>
      <c r="C70" s="211">
        <f>Dat_01!B143</f>
        <v>187.668031348</v>
      </c>
      <c r="D70" s="211">
        <f>Dat_01!C143</f>
        <v>229.96202238999999</v>
      </c>
      <c r="E70" s="211">
        <f>Dat_01!D143</f>
        <v>205.997806862</v>
      </c>
      <c r="F70" s="211">
        <f>Dat_01!E143</f>
        <v>320.93024189800002</v>
      </c>
      <c r="G70" s="211">
        <f>Dat_01!F143</f>
        <v>320.51078940799999</v>
      </c>
      <c r="H70" s="211">
        <f>Dat_01!G143</f>
        <v>401.29321896599998</v>
      </c>
      <c r="I70" s="211">
        <f>Dat_01!H143</f>
        <v>330.80630354200002</v>
      </c>
      <c r="J70" s="211">
        <f>Dat_01!I143</f>
        <v>153.67971897199999</v>
      </c>
      <c r="K70" s="211">
        <f>Dat_01!J143</f>
        <v>238.70894406400001</v>
      </c>
      <c r="L70" s="211">
        <f>Dat_01!K143</f>
        <v>105.70565758799999</v>
      </c>
      <c r="M70" s="211">
        <f>Dat_01!L143</f>
        <v>115.790175512</v>
      </c>
      <c r="N70" s="211">
        <f>Dat_01!M143</f>
        <v>159.086738274</v>
      </c>
      <c r="O70" s="211">
        <f>Dat_01!N143</f>
        <v>118.23987045600001</v>
      </c>
    </row>
    <row r="71" spans="2:16">
      <c r="B71" s="210" t="s">
        <v>3</v>
      </c>
      <c r="C71" s="211">
        <f>Dat_01!B144</f>
        <v>4871.2094020000004</v>
      </c>
      <c r="D71" s="211">
        <f>Dat_01!C144</f>
        <v>4528.3442359999999</v>
      </c>
      <c r="E71" s="211">
        <f>Dat_01!D144</f>
        <v>4639.755709</v>
      </c>
      <c r="F71" s="211">
        <f>Dat_01!E144</f>
        <v>5270.8108380000003</v>
      </c>
      <c r="G71" s="211">
        <f>Dat_01!F144</f>
        <v>5199.7405159999998</v>
      </c>
      <c r="H71" s="211">
        <f>Dat_01!G144</f>
        <v>4358.5151070000002</v>
      </c>
      <c r="I71" s="211">
        <f>Dat_01!H144</f>
        <v>4833.1364599999997</v>
      </c>
      <c r="J71" s="211">
        <f>Dat_01!I144</f>
        <v>4197.3329299999996</v>
      </c>
      <c r="K71" s="211">
        <f>Dat_01!J144</f>
        <v>4373.2508939999998</v>
      </c>
      <c r="L71" s="211">
        <f>Dat_01!K144</f>
        <v>3684.3838430000001</v>
      </c>
      <c r="M71" s="211">
        <f>Dat_01!L144</f>
        <v>5119.3959809999997</v>
      </c>
      <c r="N71" s="211">
        <f>Dat_01!M144</f>
        <v>5150.2640140000003</v>
      </c>
      <c r="O71" s="211">
        <f>Dat_01!N144</f>
        <v>4890.5065249999998</v>
      </c>
    </row>
    <row r="72" spans="2:16">
      <c r="B72" s="210" t="s">
        <v>4</v>
      </c>
      <c r="C72" s="211">
        <f>Dat_01!B145</f>
        <v>282.55493999999999</v>
      </c>
      <c r="D72" s="211">
        <f>Dat_01!C145</f>
        <v>235.11278300000001</v>
      </c>
      <c r="E72" s="211">
        <f>Dat_01!D145</f>
        <v>336.18096000000003</v>
      </c>
      <c r="F72" s="211">
        <f>Dat_01!E145</f>
        <v>222.17338899999999</v>
      </c>
      <c r="G72" s="211">
        <f>Dat_01!F145</f>
        <v>558.54747499999996</v>
      </c>
      <c r="H72" s="211">
        <f>Dat_01!G145</f>
        <v>177.073452</v>
      </c>
      <c r="I72" s="211">
        <f>Dat_01!H145</f>
        <v>242.90618799999999</v>
      </c>
      <c r="J72" s="211">
        <f>Dat_01!I145</f>
        <v>270.940157</v>
      </c>
      <c r="K72" s="211">
        <f>Dat_01!J145</f>
        <v>333.46570800000001</v>
      </c>
      <c r="L72" s="211">
        <f>Dat_01!K145</f>
        <v>431.99096700000001</v>
      </c>
      <c r="M72" s="211">
        <f>Dat_01!L145</f>
        <v>302.41718100000003</v>
      </c>
      <c r="N72" s="211">
        <f>Dat_01!M145</f>
        <v>320.34443199999998</v>
      </c>
      <c r="O72" s="211">
        <f>Dat_01!N145</f>
        <v>477.93225000000001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4546.4757390000004</v>
      </c>
      <c r="D74" s="211">
        <f>Dat_01!C146</f>
        <v>2791.0383710000001</v>
      </c>
      <c r="E74" s="211">
        <f>Dat_01!D146</f>
        <v>3221.3084140000001</v>
      </c>
      <c r="F74" s="211">
        <f>Dat_01!E146</f>
        <v>2564.8316060000002</v>
      </c>
      <c r="G74" s="211">
        <f>Dat_01!F146</f>
        <v>2188.3044850000001</v>
      </c>
      <c r="H74" s="211">
        <f>Dat_01!G146</f>
        <v>1086.83896</v>
      </c>
      <c r="I74" s="211">
        <f>Dat_01!H146</f>
        <v>1649.419373</v>
      </c>
      <c r="J74" s="211">
        <f>Dat_01!I146</f>
        <v>2865.8610100000001</v>
      </c>
      <c r="K74" s="211">
        <f>Dat_01!J146</f>
        <v>2004.7769000000001</v>
      </c>
      <c r="L74" s="211">
        <f>Dat_01!K146</f>
        <v>3136.247484</v>
      </c>
      <c r="M74" s="211">
        <f>Dat_01!L146</f>
        <v>3024.8909399999998</v>
      </c>
      <c r="N74" s="211">
        <f>Dat_01!M146</f>
        <v>3325.1988150000002</v>
      </c>
      <c r="O74" s="211">
        <f>Dat_01!N146</f>
        <v>4296.3758950000001</v>
      </c>
    </row>
    <row r="75" spans="2:16">
      <c r="B75" s="210" t="s">
        <v>5</v>
      </c>
      <c r="C75" s="211">
        <f>Dat_01!B147</f>
        <v>3962.2430210000002</v>
      </c>
      <c r="D75" s="211">
        <f>Dat_01!C147</f>
        <v>5669.7146759999996</v>
      </c>
      <c r="E75" s="211">
        <f>Dat_01!D147</f>
        <v>4154.0834599999998</v>
      </c>
      <c r="F75" s="211">
        <f>Dat_01!E147</f>
        <v>7378.7336489999998</v>
      </c>
      <c r="G75" s="211">
        <f>Dat_01!F147</f>
        <v>7019.2746690000004</v>
      </c>
      <c r="H75" s="211">
        <f>Dat_01!G147</f>
        <v>6235.5684270000002</v>
      </c>
      <c r="I75" s="211">
        <f>Dat_01!H147</f>
        <v>5521.443166</v>
      </c>
      <c r="J75" s="211">
        <f>Dat_01!I147</f>
        <v>4041.7178789999998</v>
      </c>
      <c r="K75" s="211">
        <f>Dat_01!J147</f>
        <v>4620.819896</v>
      </c>
      <c r="L75" s="211">
        <f>Dat_01!K147</f>
        <v>3533.4356429999998</v>
      </c>
      <c r="M75" s="211">
        <f>Dat_01!L147</f>
        <v>4120.4592439999997</v>
      </c>
      <c r="N75" s="211">
        <f>Dat_01!M147</f>
        <v>3597.1086890000001</v>
      </c>
      <c r="O75" s="211">
        <f>Dat_01!N147</f>
        <v>3123.1962789999998</v>
      </c>
    </row>
    <row r="76" spans="2:16">
      <c r="B76" s="210" t="s">
        <v>132</v>
      </c>
      <c r="C76" s="211">
        <f>Dat_01!B148</f>
        <v>1426.722043</v>
      </c>
      <c r="D76" s="211">
        <f>Dat_01!C148</f>
        <v>1283.3937249999999</v>
      </c>
      <c r="E76" s="211">
        <f>Dat_01!D148</f>
        <v>788.93134899999995</v>
      </c>
      <c r="F76" s="211">
        <f>Dat_01!E148</f>
        <v>719.15622399999995</v>
      </c>
      <c r="G76" s="211">
        <f>Dat_01!F148</f>
        <v>821.66945299999998</v>
      </c>
      <c r="H76" s="211">
        <f>Dat_01!G148</f>
        <v>945.54870300000005</v>
      </c>
      <c r="I76" s="211">
        <f>Dat_01!H148</f>
        <v>1648.188848</v>
      </c>
      <c r="J76" s="211">
        <f>Dat_01!I148</f>
        <v>1625.0275710000001</v>
      </c>
      <c r="K76" s="211">
        <f>Dat_01!J148</f>
        <v>2335.6640040000002</v>
      </c>
      <c r="L76" s="211">
        <f>Dat_01!K148</f>
        <v>2276.176676</v>
      </c>
      <c r="M76" s="211">
        <f>Dat_01!L148</f>
        <v>2465.699314</v>
      </c>
      <c r="N76" s="211">
        <f>Dat_01!M148</f>
        <v>2330.2383329999998</v>
      </c>
      <c r="O76" s="211">
        <f>Dat_01!N148</f>
        <v>1866.7778960000001</v>
      </c>
    </row>
    <row r="77" spans="2:16">
      <c r="B77" s="210" t="s">
        <v>133</v>
      </c>
      <c r="C77" s="211">
        <f>Dat_01!B149</f>
        <v>452.15923299999997</v>
      </c>
      <c r="D77" s="211">
        <f>Dat_01!C149</f>
        <v>340.27470899999997</v>
      </c>
      <c r="E77" s="211">
        <f>Dat_01!D149</f>
        <v>108.048269</v>
      </c>
      <c r="F77" s="211">
        <f>Dat_01!E149</f>
        <v>76.225913000000006</v>
      </c>
      <c r="G77" s="211">
        <f>Dat_01!F149</f>
        <v>102.634029</v>
      </c>
      <c r="H77" s="211">
        <f>Dat_01!G149</f>
        <v>138.18132700000001</v>
      </c>
      <c r="I77" s="211">
        <f>Dat_01!H149</f>
        <v>355.01542699999999</v>
      </c>
      <c r="J77" s="211">
        <f>Dat_01!I149</f>
        <v>266.78751899999997</v>
      </c>
      <c r="K77" s="211">
        <f>Dat_01!J149</f>
        <v>645.65319899999997</v>
      </c>
      <c r="L77" s="211">
        <f>Dat_01!K149</f>
        <v>655.36365000000001</v>
      </c>
      <c r="M77" s="211">
        <f>Dat_01!L149</f>
        <v>828.47839999999997</v>
      </c>
      <c r="N77" s="211">
        <f>Dat_01!M149</f>
        <v>661.321641</v>
      </c>
      <c r="O77" s="211">
        <f>Dat_01!N149</f>
        <v>447.44465700000001</v>
      </c>
    </row>
    <row r="78" spans="2:16">
      <c r="B78" s="210" t="s">
        <v>9</v>
      </c>
      <c r="C78" s="211">
        <f>Dat_01!B151</f>
        <v>2304.531516</v>
      </c>
      <c r="D78" s="211">
        <f>Dat_01!C151</f>
        <v>2351.3923199999999</v>
      </c>
      <c r="E78" s="211">
        <f>Dat_01!D151</f>
        <v>2386.903992</v>
      </c>
      <c r="F78" s="211">
        <f>Dat_01!E151</f>
        <v>2339.665661</v>
      </c>
      <c r="G78" s="211">
        <f>Dat_01!F151</f>
        <v>2400.83545</v>
      </c>
      <c r="H78" s="211">
        <f>Dat_01!G151</f>
        <v>1836.423233</v>
      </c>
      <c r="I78" s="211">
        <f>Dat_01!H151</f>
        <v>2247.9164740000001</v>
      </c>
      <c r="J78" s="211">
        <f>Dat_01!I151</f>
        <v>2187.7371330000001</v>
      </c>
      <c r="K78" s="211">
        <f>Dat_01!J151</f>
        <v>2200.0301570000001</v>
      </c>
      <c r="L78" s="211">
        <f>Dat_01!K151</f>
        <v>2182.4178189999998</v>
      </c>
      <c r="M78" s="211">
        <f>Dat_01!L151</f>
        <v>2239.4408100000001</v>
      </c>
      <c r="N78" s="211">
        <f>Dat_01!M151</f>
        <v>2097.6266230000001</v>
      </c>
      <c r="O78" s="211">
        <f>Dat_01!N151</f>
        <v>2154.5010320000001</v>
      </c>
    </row>
    <row r="79" spans="2:16">
      <c r="B79" s="210" t="s">
        <v>134</v>
      </c>
      <c r="C79" s="211">
        <f>Dat_01!B152</f>
        <v>173.89508950000001</v>
      </c>
      <c r="D79" s="211">
        <f>Dat_01!C152</f>
        <v>156.50662750000001</v>
      </c>
      <c r="E79" s="211">
        <f>Dat_01!D152</f>
        <v>180.74303649999999</v>
      </c>
      <c r="F79" s="211">
        <f>Dat_01!E152</f>
        <v>180.31613300000001</v>
      </c>
      <c r="G79" s="211">
        <f>Dat_01!F152</f>
        <v>175.14184499999999</v>
      </c>
      <c r="H79" s="211">
        <f>Dat_01!G152</f>
        <v>161.44275200000001</v>
      </c>
      <c r="I79" s="211">
        <f>Dat_01!H152</f>
        <v>171.48853299999999</v>
      </c>
      <c r="J79" s="211">
        <f>Dat_01!I152</f>
        <v>167.72491149999999</v>
      </c>
      <c r="K79" s="211">
        <f>Dat_01!J152</f>
        <v>170.74740800000001</v>
      </c>
      <c r="L79" s="211">
        <f>Dat_01!K152</f>
        <v>182.66502349999999</v>
      </c>
      <c r="M79" s="211">
        <f>Dat_01!L152</f>
        <v>193.13370449999999</v>
      </c>
      <c r="N79" s="211">
        <f>Dat_01!M152</f>
        <v>198.40012300000001</v>
      </c>
      <c r="O79" s="211">
        <f>Dat_01!N152</f>
        <v>167.38102850000001</v>
      </c>
    </row>
    <row r="80" spans="2:16">
      <c r="B80" s="210" t="s">
        <v>135</v>
      </c>
      <c r="C80" s="211">
        <f>Dat_01!B153</f>
        <v>58.507686499999998</v>
      </c>
      <c r="D80" s="211">
        <f>Dat_01!C153</f>
        <v>64.967821499999999</v>
      </c>
      <c r="E80" s="211">
        <f>Dat_01!D153</f>
        <v>67.556750500000007</v>
      </c>
      <c r="F80" s="211">
        <f>Dat_01!E153</f>
        <v>66.683813999999998</v>
      </c>
      <c r="G80" s="211">
        <f>Dat_01!F153</f>
        <v>52.060037999999999</v>
      </c>
      <c r="H80" s="211">
        <f>Dat_01!G153</f>
        <v>57.768275000000003</v>
      </c>
      <c r="I80" s="211">
        <f>Dat_01!H153</f>
        <v>61.963368000000003</v>
      </c>
      <c r="J80" s="211">
        <f>Dat_01!I153</f>
        <v>66.322567500000005</v>
      </c>
      <c r="K80" s="211">
        <f>Dat_01!J153</f>
        <v>53.009402999999999</v>
      </c>
      <c r="L80" s="211">
        <f>Dat_01!K153</f>
        <v>65.533088500000005</v>
      </c>
      <c r="M80" s="211">
        <f>Dat_01!L153</f>
        <v>70.069165499999997</v>
      </c>
      <c r="N80" s="211">
        <f>Dat_01!M153</f>
        <v>67.949684000000005</v>
      </c>
      <c r="O80" s="211">
        <f>Dat_01!N153</f>
        <v>55.639892500000002</v>
      </c>
    </row>
    <row r="81" spans="2:15">
      <c r="B81" s="210" t="s">
        <v>136</v>
      </c>
      <c r="C81" s="211">
        <f>Dat_01!B150</f>
        <v>394.86022600000001</v>
      </c>
      <c r="D81" s="211">
        <f>Dat_01!C150</f>
        <v>414.07609600000001</v>
      </c>
      <c r="E81" s="211">
        <f>Dat_01!D150</f>
        <v>393.05924800000003</v>
      </c>
      <c r="F81" s="211">
        <f>Dat_01!E150</f>
        <v>422.601923</v>
      </c>
      <c r="G81" s="211">
        <f>Dat_01!F150</f>
        <v>389.92807800000003</v>
      </c>
      <c r="H81" s="211">
        <f>Dat_01!G150</f>
        <v>364.35283099999998</v>
      </c>
      <c r="I81" s="211">
        <f>Dat_01!H150</f>
        <v>358.00908700000002</v>
      </c>
      <c r="J81" s="211">
        <f>Dat_01!I150</f>
        <v>391.39413100000002</v>
      </c>
      <c r="K81" s="211">
        <f>Dat_01!J150</f>
        <v>390.09032500000001</v>
      </c>
      <c r="L81" s="211">
        <f>Dat_01!K150</f>
        <v>357.15935500000001</v>
      </c>
      <c r="M81" s="211">
        <f>Dat_01!L150</f>
        <v>351.58971200000002</v>
      </c>
      <c r="N81" s="211">
        <f>Dat_01!M150</f>
        <v>409.60947299999998</v>
      </c>
      <c r="O81" s="211">
        <f>Dat_01!N150</f>
        <v>395.18680599999999</v>
      </c>
    </row>
    <row r="82" spans="2:15">
      <c r="B82" s="210" t="s">
        <v>137</v>
      </c>
      <c r="C82" s="211">
        <f>Dat_01!B154</f>
        <v>20339.15432872</v>
      </c>
      <c r="D82" s="211">
        <f>Dat_01!C154</f>
        <v>19957.768054331998</v>
      </c>
      <c r="E82" s="211">
        <f>Dat_01!D154</f>
        <v>18942.301831158002</v>
      </c>
      <c r="F82" s="211">
        <f>Dat_01!E154</f>
        <v>22753.482591445994</v>
      </c>
      <c r="G82" s="211">
        <f>Dat_01!F154</f>
        <v>23284.169286589997</v>
      </c>
      <c r="H82" s="211">
        <f>Dat_01!G154</f>
        <v>20278.823074914002</v>
      </c>
      <c r="I82" s="211">
        <f>Dat_01!H154</f>
        <v>21133.321231622002</v>
      </c>
      <c r="J82" s="211">
        <f>Dat_01!I154</f>
        <v>18977.518232103997</v>
      </c>
      <c r="K82" s="211">
        <f>Dat_01!J154</f>
        <v>19522.784555024002</v>
      </c>
      <c r="L82" s="211">
        <f>Dat_01!K154</f>
        <v>18790.501991015997</v>
      </c>
      <c r="M82" s="211">
        <f>Dat_01!L154</f>
        <v>21034.94714181</v>
      </c>
      <c r="N82" s="211">
        <f>Dat_01!M154</f>
        <v>20196.952499436</v>
      </c>
      <c r="O82" s="211">
        <f>Dat_01!N154</f>
        <v>19385.389502196002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7972.8196108720003</v>
      </c>
      <c r="D88" s="215">
        <f t="shared" si="4"/>
        <v>9665.4116944420002</v>
      </c>
      <c r="E88" s="215">
        <f t="shared" si="4"/>
        <v>7971.4119127960003</v>
      </c>
      <c r="F88" s="215">
        <f t="shared" si="4"/>
        <v>11854.754722547999</v>
      </c>
      <c r="G88" s="215">
        <f t="shared" si="4"/>
        <v>12441.088726182003</v>
      </c>
      <c r="H88" s="215">
        <f t="shared" si="4"/>
        <v>12257.236351948002</v>
      </c>
      <c r="I88" s="215">
        <f t="shared" si="4"/>
        <v>11657.647900080001</v>
      </c>
      <c r="J88" s="215">
        <f t="shared" si="4"/>
        <v>9134.2423716320009</v>
      </c>
      <c r="K88" s="215">
        <f t="shared" si="4"/>
        <v>10201.804543959999</v>
      </c>
      <c r="L88" s="215">
        <f t="shared" si="4"/>
        <v>9067.0911969280005</v>
      </c>
      <c r="M88" s="215">
        <f t="shared" si="4"/>
        <v>10039.878349798</v>
      </c>
      <c r="N88" s="215">
        <f t="shared" si="4"/>
        <v>8946.0317541620007</v>
      </c>
      <c r="O88" s="215">
        <f t="shared" si="4"/>
        <v>7280.4529012399989</v>
      </c>
    </row>
    <row r="89" spans="2:15">
      <c r="B89" s="212" t="s">
        <v>16</v>
      </c>
      <c r="C89" s="213">
        <f t="shared" ref="C89:O89" si="5">SUM(C70:C74,C78:C79)</f>
        <v>12366.334717848002</v>
      </c>
      <c r="D89" s="213">
        <f t="shared" si="5"/>
        <v>10292.356359890002</v>
      </c>
      <c r="E89" s="213">
        <f t="shared" si="5"/>
        <v>10970.889918362</v>
      </c>
      <c r="F89" s="213">
        <f t="shared" si="5"/>
        <v>10898.727868898</v>
      </c>
      <c r="G89" s="213">
        <f t="shared" si="5"/>
        <v>10843.080560408001</v>
      </c>
      <c r="H89" s="213">
        <f t="shared" si="5"/>
        <v>8021.5867229659989</v>
      </c>
      <c r="I89" s="213">
        <f t="shared" si="5"/>
        <v>9475.6733315419988</v>
      </c>
      <c r="J89" s="213">
        <f t="shared" si="5"/>
        <v>9843.2758604720002</v>
      </c>
      <c r="K89" s="213">
        <f t="shared" si="5"/>
        <v>9320.980011063999</v>
      </c>
      <c r="L89" s="213">
        <f t="shared" si="5"/>
        <v>9723.4107940880003</v>
      </c>
      <c r="M89" s="213">
        <f t="shared" si="5"/>
        <v>10995.068792012</v>
      </c>
      <c r="N89" s="213">
        <f t="shared" si="5"/>
        <v>11250.920745273999</v>
      </c>
      <c r="O89" s="213">
        <f t="shared" si="5"/>
        <v>12104.936600956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39.199366315904008</v>
      </c>
      <c r="D91" s="216">
        <f t="shared" ref="D91:O91" si="6">SUM(D69/SUM(D88:D89)*100,D75/SUM(D88:D89)*100,D76/SUM(D88:D89)*100,D77/SUM(D88:D89)*100,D80/SUM(D88:D89)*100,D81/SUM(D88:D89)*100)</f>
        <v>48.429321696340899</v>
      </c>
      <c r="E91" s="216">
        <f t="shared" si="6"/>
        <v>42.082593677627422</v>
      </c>
      <c r="F91" s="216">
        <f t="shared" si="6"/>
        <v>52.100836322105273</v>
      </c>
      <c r="G91" s="216">
        <f t="shared" si="6"/>
        <v>53.431533558498764</v>
      </c>
      <c r="H91" s="216">
        <f t="shared" si="6"/>
        <v>60.44352922586944</v>
      </c>
      <c r="I91" s="216">
        <f t="shared" si="6"/>
        <v>55.162403354928152</v>
      </c>
      <c r="J91" s="216">
        <f t="shared" si="6"/>
        <v>48.131911980881313</v>
      </c>
      <c r="K91" s="216">
        <f t="shared" si="6"/>
        <v>52.255888575765006</v>
      </c>
      <c r="L91" s="216">
        <f t="shared" si="6"/>
        <v>48.253586845434477</v>
      </c>
      <c r="M91" s="216">
        <f t="shared" si="6"/>
        <v>47.72951546829556</v>
      </c>
      <c r="N91" s="216">
        <f t="shared" si="6"/>
        <v>44.29396838167451</v>
      </c>
      <c r="O91" s="216">
        <f t="shared" si="6"/>
        <v>37.556392149950156</v>
      </c>
    </row>
    <row r="92" spans="2:15">
      <c r="B92" s="212" t="s">
        <v>16</v>
      </c>
      <c r="C92" s="297">
        <f t="shared" ref="C92" si="7">100-C91</f>
        <v>60.800633684095992</v>
      </c>
      <c r="D92" s="297">
        <f t="shared" ref="D92:O92" si="8">100-D91</f>
        <v>51.570678303659101</v>
      </c>
      <c r="E92" s="297">
        <f t="shared" si="8"/>
        <v>57.917406322372578</v>
      </c>
      <c r="F92" s="297">
        <f t="shared" si="8"/>
        <v>47.899163677894727</v>
      </c>
      <c r="G92" s="297">
        <f t="shared" si="8"/>
        <v>46.568466441501236</v>
      </c>
      <c r="H92" s="297">
        <f t="shared" si="8"/>
        <v>39.55647077413056</v>
      </c>
      <c r="I92" s="297">
        <f t="shared" si="8"/>
        <v>44.837596645071848</v>
      </c>
      <c r="J92" s="297">
        <f t="shared" si="8"/>
        <v>51.868088019118687</v>
      </c>
      <c r="K92" s="297">
        <f t="shared" si="8"/>
        <v>47.744111424234994</v>
      </c>
      <c r="L92" s="297">
        <f t="shared" si="8"/>
        <v>51.746413154565523</v>
      </c>
      <c r="M92" s="297">
        <f t="shared" si="8"/>
        <v>52.27048453170444</v>
      </c>
      <c r="N92" s="297">
        <f t="shared" si="8"/>
        <v>55.70603161832549</v>
      </c>
      <c r="O92" s="297">
        <f t="shared" si="8"/>
        <v>62.443607850049844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S</v>
      </c>
      <c r="D98" s="208" t="str">
        <f>Dat_01!C140</f>
        <v>O</v>
      </c>
      <c r="E98" s="208" t="str">
        <f>Dat_01!D140</f>
        <v>N</v>
      </c>
      <c r="F98" s="208" t="str">
        <f>Dat_01!E140</f>
        <v>D</v>
      </c>
      <c r="G98" s="208" t="str">
        <f>Dat_01!F140</f>
        <v>E</v>
      </c>
      <c r="H98" s="208" t="str">
        <f>Dat_01!G140</f>
        <v>F</v>
      </c>
      <c r="I98" s="208" t="str">
        <f>Dat_01!H140</f>
        <v>M</v>
      </c>
      <c r="J98" s="208" t="str">
        <f>Dat_01!I140</f>
        <v>A</v>
      </c>
      <c r="K98" s="208" t="str">
        <f>Dat_01!J140</f>
        <v>M</v>
      </c>
      <c r="L98" s="208" t="str">
        <f>Dat_01!K140</f>
        <v>J</v>
      </c>
      <c r="M98" s="208" t="str">
        <f>Dat_01!L140</f>
        <v>J</v>
      </c>
      <c r="N98" s="208" t="str">
        <f>Dat_01!M140</f>
        <v>A</v>
      </c>
      <c r="O98" s="208" t="str">
        <f>Dat_01!N140</f>
        <v>S</v>
      </c>
      <c r="P98" s="209"/>
    </row>
    <row r="99" spans="2:16">
      <c r="B99" s="210" t="s">
        <v>2</v>
      </c>
      <c r="C99" s="211">
        <f>C69</f>
        <v>1678.3274013719999</v>
      </c>
      <c r="D99" s="211">
        <f t="shared" ref="D99:O99" si="9">D69</f>
        <v>1892.9846669420001</v>
      </c>
      <c r="E99" s="211">
        <f t="shared" si="9"/>
        <v>2459.7328362960002</v>
      </c>
      <c r="F99" s="211">
        <f t="shared" si="9"/>
        <v>3191.3531995479998</v>
      </c>
      <c r="G99" s="211">
        <f t="shared" si="9"/>
        <v>4055.5224591820001</v>
      </c>
      <c r="H99" s="211">
        <f t="shared" si="9"/>
        <v>4515.8167889480001</v>
      </c>
      <c r="I99" s="211">
        <f t="shared" si="9"/>
        <v>3713.0280040799998</v>
      </c>
      <c r="J99" s="211">
        <f t="shared" si="9"/>
        <v>2742.9927041320002</v>
      </c>
      <c r="K99" s="211">
        <f t="shared" si="9"/>
        <v>2156.5677169599999</v>
      </c>
      <c r="L99" s="211">
        <f t="shared" si="9"/>
        <v>2179.4227844279999</v>
      </c>
      <c r="M99" s="211">
        <f t="shared" si="9"/>
        <v>2203.5825142980002</v>
      </c>
      <c r="N99" s="211">
        <f t="shared" si="9"/>
        <v>1879.8039341619999</v>
      </c>
      <c r="O99" s="211">
        <f t="shared" si="9"/>
        <v>1392.20737074</v>
      </c>
    </row>
    <row r="100" spans="2:16">
      <c r="B100" s="210" t="s">
        <v>81</v>
      </c>
      <c r="C100" s="211">
        <f t="shared" ref="C100:O112" si="10">C70</f>
        <v>187.668031348</v>
      </c>
      <c r="D100" s="211">
        <f t="shared" si="10"/>
        <v>229.96202238999999</v>
      </c>
      <c r="E100" s="211">
        <f t="shared" si="10"/>
        <v>205.997806862</v>
      </c>
      <c r="F100" s="211">
        <f t="shared" si="10"/>
        <v>320.93024189800002</v>
      </c>
      <c r="G100" s="211">
        <f t="shared" si="10"/>
        <v>320.51078940799999</v>
      </c>
      <c r="H100" s="211">
        <f t="shared" si="10"/>
        <v>401.29321896599998</v>
      </c>
      <c r="I100" s="211">
        <f t="shared" si="10"/>
        <v>330.80630354200002</v>
      </c>
      <c r="J100" s="211">
        <f t="shared" si="10"/>
        <v>153.67971897199999</v>
      </c>
      <c r="K100" s="211">
        <f t="shared" si="10"/>
        <v>238.70894406400001</v>
      </c>
      <c r="L100" s="211">
        <f t="shared" si="10"/>
        <v>105.70565758799999</v>
      </c>
      <c r="M100" s="211">
        <f t="shared" si="10"/>
        <v>115.790175512</v>
      </c>
      <c r="N100" s="211">
        <f t="shared" si="10"/>
        <v>159.086738274</v>
      </c>
      <c r="O100" s="211">
        <f t="shared" si="10"/>
        <v>118.23987045600001</v>
      </c>
    </row>
    <row r="101" spans="2:16">
      <c r="B101" s="210" t="s">
        <v>3</v>
      </c>
      <c r="C101" s="211">
        <f t="shared" si="10"/>
        <v>4871.2094020000004</v>
      </c>
      <c r="D101" s="211">
        <f t="shared" si="10"/>
        <v>4528.3442359999999</v>
      </c>
      <c r="E101" s="211">
        <f t="shared" si="10"/>
        <v>4639.755709</v>
      </c>
      <c r="F101" s="211">
        <f t="shared" si="10"/>
        <v>5270.8108380000003</v>
      </c>
      <c r="G101" s="211">
        <f t="shared" si="10"/>
        <v>5199.7405159999998</v>
      </c>
      <c r="H101" s="211">
        <f t="shared" si="10"/>
        <v>4358.5151070000002</v>
      </c>
      <c r="I101" s="211">
        <f t="shared" si="10"/>
        <v>4833.1364599999997</v>
      </c>
      <c r="J101" s="211">
        <f t="shared" si="10"/>
        <v>4197.3329299999996</v>
      </c>
      <c r="K101" s="211">
        <f t="shared" si="10"/>
        <v>4373.2508939999998</v>
      </c>
      <c r="L101" s="211">
        <f t="shared" si="10"/>
        <v>3684.3838430000001</v>
      </c>
      <c r="M101" s="211">
        <f t="shared" si="10"/>
        <v>5119.3959809999997</v>
      </c>
      <c r="N101" s="211">
        <f t="shared" si="10"/>
        <v>5150.2640140000003</v>
      </c>
      <c r="O101" s="211">
        <f t="shared" si="10"/>
        <v>4890.5065249999998</v>
      </c>
    </row>
    <row r="102" spans="2:16">
      <c r="B102" s="210" t="s">
        <v>4</v>
      </c>
      <c r="C102" s="211">
        <f t="shared" si="10"/>
        <v>282.55493999999999</v>
      </c>
      <c r="D102" s="211">
        <f t="shared" si="10"/>
        <v>235.11278300000001</v>
      </c>
      <c r="E102" s="211">
        <f t="shared" si="10"/>
        <v>336.18096000000003</v>
      </c>
      <c r="F102" s="211">
        <f t="shared" si="10"/>
        <v>222.17338899999999</v>
      </c>
      <c r="G102" s="211">
        <f t="shared" si="10"/>
        <v>558.54747499999996</v>
      </c>
      <c r="H102" s="211">
        <f t="shared" si="10"/>
        <v>177.073452</v>
      </c>
      <c r="I102" s="211">
        <f t="shared" si="10"/>
        <v>242.90618799999999</v>
      </c>
      <c r="J102" s="211">
        <f t="shared" si="10"/>
        <v>270.940157</v>
      </c>
      <c r="K102" s="211">
        <f t="shared" si="10"/>
        <v>333.46570800000001</v>
      </c>
      <c r="L102" s="211">
        <f t="shared" si="10"/>
        <v>431.99096700000001</v>
      </c>
      <c r="M102" s="211">
        <f t="shared" si="10"/>
        <v>302.41718100000003</v>
      </c>
      <c r="N102" s="211">
        <f t="shared" si="10"/>
        <v>320.34443199999998</v>
      </c>
      <c r="O102" s="211">
        <f t="shared" si="10"/>
        <v>477.93225000000001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4546.4757390000004</v>
      </c>
      <c r="D104" s="211">
        <f t="shared" si="10"/>
        <v>2791.0383710000001</v>
      </c>
      <c r="E104" s="211">
        <f t="shared" si="10"/>
        <v>3221.3084140000001</v>
      </c>
      <c r="F104" s="211">
        <f t="shared" si="10"/>
        <v>2564.8316060000002</v>
      </c>
      <c r="G104" s="211">
        <f t="shared" si="10"/>
        <v>2188.3044850000001</v>
      </c>
      <c r="H104" s="211">
        <f t="shared" si="10"/>
        <v>1086.83896</v>
      </c>
      <c r="I104" s="211">
        <f t="shared" si="10"/>
        <v>1649.419373</v>
      </c>
      <c r="J104" s="211">
        <f t="shared" si="10"/>
        <v>2865.8610100000001</v>
      </c>
      <c r="K104" s="211">
        <f t="shared" si="10"/>
        <v>2004.7769000000001</v>
      </c>
      <c r="L104" s="211">
        <f t="shared" si="10"/>
        <v>3136.247484</v>
      </c>
      <c r="M104" s="211">
        <f t="shared" si="10"/>
        <v>3024.8909399999998</v>
      </c>
      <c r="N104" s="211">
        <f t="shared" si="10"/>
        <v>3325.1988150000002</v>
      </c>
      <c r="O104" s="211">
        <f t="shared" si="10"/>
        <v>4296.3758950000001</v>
      </c>
    </row>
    <row r="105" spans="2:16">
      <c r="B105" s="210" t="s">
        <v>5</v>
      </c>
      <c r="C105" s="211">
        <f t="shared" si="10"/>
        <v>3962.2430210000002</v>
      </c>
      <c r="D105" s="211">
        <f t="shared" si="10"/>
        <v>5669.7146759999996</v>
      </c>
      <c r="E105" s="211">
        <f t="shared" si="10"/>
        <v>4154.0834599999998</v>
      </c>
      <c r="F105" s="211">
        <f t="shared" si="10"/>
        <v>7378.7336489999998</v>
      </c>
      <c r="G105" s="211">
        <f t="shared" si="10"/>
        <v>7019.2746690000004</v>
      </c>
      <c r="H105" s="211">
        <f t="shared" si="10"/>
        <v>6235.5684270000002</v>
      </c>
      <c r="I105" s="211">
        <f t="shared" si="10"/>
        <v>5521.443166</v>
      </c>
      <c r="J105" s="211">
        <f t="shared" si="10"/>
        <v>4041.7178789999998</v>
      </c>
      <c r="K105" s="211">
        <f t="shared" si="10"/>
        <v>4620.819896</v>
      </c>
      <c r="L105" s="211">
        <f t="shared" si="10"/>
        <v>3533.4356429999998</v>
      </c>
      <c r="M105" s="211">
        <f t="shared" si="10"/>
        <v>4120.4592439999997</v>
      </c>
      <c r="N105" s="211">
        <f t="shared" si="10"/>
        <v>3597.1086890000001</v>
      </c>
      <c r="O105" s="211">
        <f t="shared" si="10"/>
        <v>3123.1962789999998</v>
      </c>
    </row>
    <row r="106" spans="2:16">
      <c r="B106" s="210" t="s">
        <v>132</v>
      </c>
      <c r="C106" s="211">
        <f t="shared" si="10"/>
        <v>1426.722043</v>
      </c>
      <c r="D106" s="211">
        <f t="shared" si="10"/>
        <v>1283.3937249999999</v>
      </c>
      <c r="E106" s="211">
        <f t="shared" si="10"/>
        <v>788.93134899999995</v>
      </c>
      <c r="F106" s="211">
        <f t="shared" si="10"/>
        <v>719.15622399999995</v>
      </c>
      <c r="G106" s="211">
        <f t="shared" si="10"/>
        <v>821.66945299999998</v>
      </c>
      <c r="H106" s="211">
        <f t="shared" si="10"/>
        <v>945.54870300000005</v>
      </c>
      <c r="I106" s="211">
        <f t="shared" si="10"/>
        <v>1648.188848</v>
      </c>
      <c r="J106" s="211">
        <f t="shared" si="10"/>
        <v>1625.0275710000001</v>
      </c>
      <c r="K106" s="211">
        <f t="shared" si="10"/>
        <v>2335.6640040000002</v>
      </c>
      <c r="L106" s="211">
        <f t="shared" si="10"/>
        <v>2276.176676</v>
      </c>
      <c r="M106" s="211">
        <f t="shared" si="10"/>
        <v>2465.699314</v>
      </c>
      <c r="N106" s="211">
        <f t="shared" si="10"/>
        <v>2330.2383329999998</v>
      </c>
      <c r="O106" s="211">
        <f t="shared" si="10"/>
        <v>1866.7778960000001</v>
      </c>
    </row>
    <row r="107" spans="2:16">
      <c r="B107" s="210" t="s">
        <v>133</v>
      </c>
      <c r="C107" s="211">
        <f t="shared" si="10"/>
        <v>452.15923299999997</v>
      </c>
      <c r="D107" s="211">
        <f t="shared" si="10"/>
        <v>340.27470899999997</v>
      </c>
      <c r="E107" s="211">
        <f t="shared" si="10"/>
        <v>108.048269</v>
      </c>
      <c r="F107" s="211">
        <f t="shared" si="10"/>
        <v>76.225913000000006</v>
      </c>
      <c r="G107" s="211">
        <f t="shared" si="10"/>
        <v>102.634029</v>
      </c>
      <c r="H107" s="211">
        <f t="shared" si="10"/>
        <v>138.18132700000001</v>
      </c>
      <c r="I107" s="211">
        <f t="shared" si="10"/>
        <v>355.01542699999999</v>
      </c>
      <c r="J107" s="211">
        <f t="shared" si="10"/>
        <v>266.78751899999997</v>
      </c>
      <c r="K107" s="211">
        <f t="shared" si="10"/>
        <v>645.65319899999997</v>
      </c>
      <c r="L107" s="211">
        <f t="shared" si="10"/>
        <v>655.36365000000001</v>
      </c>
      <c r="M107" s="211">
        <f t="shared" si="10"/>
        <v>828.47839999999997</v>
      </c>
      <c r="N107" s="211">
        <f t="shared" si="10"/>
        <v>661.321641</v>
      </c>
      <c r="O107" s="211">
        <f t="shared" si="10"/>
        <v>447.44465700000001</v>
      </c>
    </row>
    <row r="108" spans="2:16">
      <c r="B108" s="210" t="s">
        <v>9</v>
      </c>
      <c r="C108" s="211">
        <f t="shared" si="10"/>
        <v>2304.531516</v>
      </c>
      <c r="D108" s="211">
        <f t="shared" si="10"/>
        <v>2351.3923199999999</v>
      </c>
      <c r="E108" s="211">
        <f t="shared" si="10"/>
        <v>2386.903992</v>
      </c>
      <c r="F108" s="211">
        <f t="shared" si="10"/>
        <v>2339.665661</v>
      </c>
      <c r="G108" s="211">
        <f t="shared" si="10"/>
        <v>2400.83545</v>
      </c>
      <c r="H108" s="211">
        <f t="shared" si="10"/>
        <v>1836.423233</v>
      </c>
      <c r="I108" s="211">
        <f t="shared" si="10"/>
        <v>2247.9164740000001</v>
      </c>
      <c r="J108" s="211">
        <f t="shared" si="10"/>
        <v>2187.7371330000001</v>
      </c>
      <c r="K108" s="211">
        <f t="shared" si="10"/>
        <v>2200.0301570000001</v>
      </c>
      <c r="L108" s="211">
        <f t="shared" si="10"/>
        <v>2182.4178189999998</v>
      </c>
      <c r="M108" s="211">
        <f t="shared" si="10"/>
        <v>2239.4408100000001</v>
      </c>
      <c r="N108" s="211">
        <f t="shared" si="10"/>
        <v>2097.6266230000001</v>
      </c>
      <c r="O108" s="211">
        <f t="shared" si="10"/>
        <v>2154.5010320000001</v>
      </c>
    </row>
    <row r="109" spans="2:16">
      <c r="B109" s="210" t="s">
        <v>134</v>
      </c>
      <c r="C109" s="211">
        <f t="shared" si="10"/>
        <v>173.89508950000001</v>
      </c>
      <c r="D109" s="211">
        <f t="shared" si="10"/>
        <v>156.50662750000001</v>
      </c>
      <c r="E109" s="211">
        <f t="shared" si="10"/>
        <v>180.74303649999999</v>
      </c>
      <c r="F109" s="211">
        <f t="shared" si="10"/>
        <v>180.31613300000001</v>
      </c>
      <c r="G109" s="211">
        <f t="shared" si="10"/>
        <v>175.14184499999999</v>
      </c>
      <c r="H109" s="211">
        <f t="shared" si="10"/>
        <v>161.44275200000001</v>
      </c>
      <c r="I109" s="211">
        <f t="shared" si="10"/>
        <v>171.48853299999999</v>
      </c>
      <c r="J109" s="211">
        <f t="shared" si="10"/>
        <v>167.72491149999999</v>
      </c>
      <c r="K109" s="211">
        <f t="shared" si="10"/>
        <v>170.74740800000001</v>
      </c>
      <c r="L109" s="211">
        <f t="shared" si="10"/>
        <v>182.66502349999999</v>
      </c>
      <c r="M109" s="211">
        <f t="shared" si="10"/>
        <v>193.13370449999999</v>
      </c>
      <c r="N109" s="211">
        <f t="shared" si="10"/>
        <v>198.40012300000001</v>
      </c>
      <c r="O109" s="211">
        <f t="shared" si="10"/>
        <v>167.38102850000001</v>
      </c>
    </row>
    <row r="110" spans="2:16">
      <c r="B110" s="210" t="s">
        <v>135</v>
      </c>
      <c r="C110" s="211">
        <f t="shared" si="10"/>
        <v>58.507686499999998</v>
      </c>
      <c r="D110" s="211">
        <f t="shared" si="10"/>
        <v>64.967821499999999</v>
      </c>
      <c r="E110" s="211">
        <f t="shared" si="10"/>
        <v>67.556750500000007</v>
      </c>
      <c r="F110" s="211">
        <f t="shared" si="10"/>
        <v>66.683813999999998</v>
      </c>
      <c r="G110" s="211">
        <f t="shared" si="10"/>
        <v>52.060037999999999</v>
      </c>
      <c r="H110" s="211">
        <f t="shared" si="10"/>
        <v>57.768275000000003</v>
      </c>
      <c r="I110" s="211">
        <f t="shared" si="10"/>
        <v>61.963368000000003</v>
      </c>
      <c r="J110" s="211">
        <f t="shared" si="10"/>
        <v>66.322567500000005</v>
      </c>
      <c r="K110" s="211">
        <f t="shared" si="10"/>
        <v>53.009402999999999</v>
      </c>
      <c r="L110" s="211">
        <f t="shared" si="10"/>
        <v>65.533088500000005</v>
      </c>
      <c r="M110" s="211">
        <f t="shared" si="10"/>
        <v>70.069165499999997</v>
      </c>
      <c r="N110" s="211">
        <f t="shared" si="10"/>
        <v>67.949684000000005</v>
      </c>
      <c r="O110" s="211">
        <f t="shared" si="10"/>
        <v>55.639892500000002</v>
      </c>
    </row>
    <row r="111" spans="2:16">
      <c r="B111" s="210" t="s">
        <v>136</v>
      </c>
      <c r="C111" s="211">
        <f t="shared" si="10"/>
        <v>394.86022600000001</v>
      </c>
      <c r="D111" s="211">
        <f t="shared" si="10"/>
        <v>414.07609600000001</v>
      </c>
      <c r="E111" s="211">
        <f t="shared" si="10"/>
        <v>393.05924800000003</v>
      </c>
      <c r="F111" s="211">
        <f t="shared" si="10"/>
        <v>422.601923</v>
      </c>
      <c r="G111" s="211">
        <f t="shared" si="10"/>
        <v>389.92807800000003</v>
      </c>
      <c r="H111" s="211">
        <f t="shared" si="10"/>
        <v>364.35283099999998</v>
      </c>
      <c r="I111" s="211">
        <f t="shared" si="10"/>
        <v>358.00908700000002</v>
      </c>
      <c r="J111" s="211">
        <f t="shared" si="10"/>
        <v>391.39413100000002</v>
      </c>
      <c r="K111" s="211">
        <f t="shared" si="10"/>
        <v>390.09032500000001</v>
      </c>
      <c r="L111" s="211">
        <f t="shared" si="10"/>
        <v>357.15935500000001</v>
      </c>
      <c r="M111" s="211">
        <f t="shared" si="10"/>
        <v>351.58971200000002</v>
      </c>
      <c r="N111" s="211">
        <f t="shared" si="10"/>
        <v>409.60947299999998</v>
      </c>
      <c r="O111" s="211">
        <f t="shared" si="10"/>
        <v>395.18680599999999</v>
      </c>
    </row>
    <row r="112" spans="2:16">
      <c r="B112" s="210" t="s">
        <v>137</v>
      </c>
      <c r="C112" s="211">
        <f t="shared" si="10"/>
        <v>20339.15432872</v>
      </c>
      <c r="D112" s="211">
        <f t="shared" si="10"/>
        <v>19957.768054331998</v>
      </c>
      <c r="E112" s="211">
        <f t="shared" si="10"/>
        <v>18942.301831158002</v>
      </c>
      <c r="F112" s="211">
        <f t="shared" si="10"/>
        <v>22753.482591445994</v>
      </c>
      <c r="G112" s="211">
        <f t="shared" si="10"/>
        <v>23284.169286589997</v>
      </c>
      <c r="H112" s="211">
        <f t="shared" si="10"/>
        <v>20278.823074914002</v>
      </c>
      <c r="I112" s="211">
        <f t="shared" si="10"/>
        <v>21133.321231622002</v>
      </c>
      <c r="J112" s="211">
        <f t="shared" si="10"/>
        <v>18977.518232103997</v>
      </c>
      <c r="K112" s="211">
        <f t="shared" si="10"/>
        <v>19522.784555024002</v>
      </c>
      <c r="L112" s="211">
        <f t="shared" si="10"/>
        <v>18790.501991015997</v>
      </c>
      <c r="M112" s="211">
        <f t="shared" si="10"/>
        <v>21034.94714181</v>
      </c>
      <c r="N112" s="211">
        <f t="shared" si="10"/>
        <v>20196.952499436</v>
      </c>
      <c r="O112" s="211">
        <f t="shared" si="10"/>
        <v>19385.389502196002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13031.69704422</v>
      </c>
      <c r="D118" s="215">
        <f t="shared" ref="D118:O118" si="11">SUM(D99:D101,D105:D107,D110:D111)</f>
        <v>14423.717952831999</v>
      </c>
      <c r="E118" s="215">
        <f t="shared" si="11"/>
        <v>12817.165428658</v>
      </c>
      <c r="F118" s="215">
        <f t="shared" si="11"/>
        <v>17446.495802445996</v>
      </c>
      <c r="G118" s="215">
        <f t="shared" si="11"/>
        <v>17961.34003159</v>
      </c>
      <c r="H118" s="215">
        <f t="shared" si="11"/>
        <v>17017.044677913997</v>
      </c>
      <c r="I118" s="215">
        <f t="shared" si="11"/>
        <v>16821.590663621999</v>
      </c>
      <c r="J118" s="215">
        <f t="shared" si="11"/>
        <v>13485.255020604</v>
      </c>
      <c r="K118" s="215">
        <f t="shared" si="11"/>
        <v>14813.764382024001</v>
      </c>
      <c r="L118" s="215">
        <f t="shared" si="11"/>
        <v>12857.180697516</v>
      </c>
      <c r="M118" s="215">
        <f t="shared" si="11"/>
        <v>15275.064506309998</v>
      </c>
      <c r="N118" s="215">
        <f t="shared" si="11"/>
        <v>14255.382506436001</v>
      </c>
      <c r="O118" s="215">
        <f t="shared" si="11"/>
        <v>12289.199296695999</v>
      </c>
    </row>
    <row r="119" spans="2:18">
      <c r="B119" s="212" t="s">
        <v>175</v>
      </c>
      <c r="C119" s="213">
        <f>SUM(C102:C104,C108:C109)</f>
        <v>7307.4572845000002</v>
      </c>
      <c r="D119" s="213">
        <f t="shared" ref="D119:O119" si="12">SUM(D102:D104,D108:D109)</f>
        <v>5534.0501015</v>
      </c>
      <c r="E119" s="213">
        <f t="shared" si="12"/>
        <v>6125.1364025000003</v>
      </c>
      <c r="F119" s="213">
        <f t="shared" si="12"/>
        <v>5306.9867890000005</v>
      </c>
      <c r="G119" s="213">
        <f t="shared" si="12"/>
        <v>5322.8292550000006</v>
      </c>
      <c r="H119" s="213">
        <f t="shared" si="12"/>
        <v>3261.778397</v>
      </c>
      <c r="I119" s="213">
        <f t="shared" si="12"/>
        <v>4311.7305679999999</v>
      </c>
      <c r="J119" s="213">
        <f t="shared" si="12"/>
        <v>5492.2632115000006</v>
      </c>
      <c r="K119" s="213">
        <f t="shared" si="12"/>
        <v>4709.0201729999999</v>
      </c>
      <c r="L119" s="213">
        <f t="shared" si="12"/>
        <v>5933.3212934999992</v>
      </c>
      <c r="M119" s="213">
        <f t="shared" si="12"/>
        <v>5759.8826355000001</v>
      </c>
      <c r="N119" s="213">
        <f t="shared" si="12"/>
        <v>5941.5699930000001</v>
      </c>
      <c r="O119" s="213">
        <f t="shared" si="12"/>
        <v>7096.1902055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64.071970906964069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72.271197428317706</v>
      </c>
      <c r="E121" s="216">
        <f t="shared" si="13"/>
        <v>67.664244519508046</v>
      </c>
      <c r="F121" s="216">
        <f t="shared" si="13"/>
        <v>76.676155978886854</v>
      </c>
      <c r="G121" s="216">
        <f t="shared" si="13"/>
        <v>77.139707285732683</v>
      </c>
      <c r="H121" s="216">
        <f t="shared" si="13"/>
        <v>83.915346640432048</v>
      </c>
      <c r="I121" s="216">
        <f t="shared" si="13"/>
        <v>79.59747774264504</v>
      </c>
      <c r="J121" s="216">
        <f t="shared" si="13"/>
        <v>71.05910717973218</v>
      </c>
      <c r="K121" s="216">
        <f t="shared" si="13"/>
        <v>75.879362087268532</v>
      </c>
      <c r="L121" s="216">
        <f t="shared" si="13"/>
        <v>68.423827653264397</v>
      </c>
      <c r="M121" s="216">
        <f t="shared" si="13"/>
        <v>72.617555933613914</v>
      </c>
      <c r="N121" s="216">
        <f t="shared" si="13"/>
        <v>70.5818489538661</v>
      </c>
      <c r="O121" s="216">
        <f t="shared" si="13"/>
        <v>63.394131416879013</v>
      </c>
    </row>
    <row r="122" spans="2:18">
      <c r="B122" s="212" t="s">
        <v>176</v>
      </c>
      <c r="C122" s="297">
        <f t="shared" ref="C122:O122" si="14">100-C121</f>
        <v>35.928029093035931</v>
      </c>
      <c r="D122" s="297">
        <f t="shared" si="14"/>
        <v>27.728802571682294</v>
      </c>
      <c r="E122" s="297">
        <f t="shared" si="14"/>
        <v>32.335755480491954</v>
      </c>
      <c r="F122" s="297">
        <f t="shared" si="14"/>
        <v>23.323844021113146</v>
      </c>
      <c r="G122" s="297">
        <f t="shared" si="14"/>
        <v>22.860292714267317</v>
      </c>
      <c r="H122" s="297">
        <f t="shared" si="14"/>
        <v>16.084653359567952</v>
      </c>
      <c r="I122" s="297">
        <f t="shared" si="14"/>
        <v>20.40252225735496</v>
      </c>
      <c r="J122" s="297">
        <f t="shared" si="14"/>
        <v>28.94089282026782</v>
      </c>
      <c r="K122" s="297">
        <f t="shared" si="14"/>
        <v>24.120637912731468</v>
      </c>
      <c r="L122" s="297">
        <f t="shared" si="14"/>
        <v>31.576172346735603</v>
      </c>
      <c r="M122" s="297">
        <f t="shared" si="14"/>
        <v>27.382444066386086</v>
      </c>
      <c r="N122" s="297">
        <f t="shared" si="14"/>
        <v>29.4181510461339</v>
      </c>
      <c r="O122" s="297">
        <f t="shared" si="14"/>
        <v>36.605868583120987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S</v>
      </c>
      <c r="D125" s="208" t="str">
        <f>Dat_01!C140</f>
        <v>O</v>
      </c>
      <c r="E125" s="208" t="str">
        <f>Dat_01!D140</f>
        <v>N</v>
      </c>
      <c r="F125" s="208" t="str">
        <f>Dat_01!E140</f>
        <v>D</v>
      </c>
      <c r="G125" s="208" t="str">
        <f>Dat_01!F140</f>
        <v>E</v>
      </c>
      <c r="H125" s="208" t="str">
        <f>Dat_01!G140</f>
        <v>F</v>
      </c>
      <c r="I125" s="208" t="str">
        <f>Dat_01!H140</f>
        <v>M</v>
      </c>
      <c r="J125" s="208" t="str">
        <f>Dat_01!I140</f>
        <v>A</v>
      </c>
      <c r="K125" s="208" t="str">
        <f>Dat_01!J140</f>
        <v>M</v>
      </c>
      <c r="L125" s="208" t="str">
        <f>Dat_01!K140</f>
        <v>J</v>
      </c>
      <c r="M125" s="208" t="str">
        <f>Dat_01!L140</f>
        <v>J</v>
      </c>
      <c r="N125" s="208" t="str">
        <f>Dat_01!M140</f>
        <v>A</v>
      </c>
      <c r="O125" s="208" t="str">
        <f>Dat_01!N140</f>
        <v>S</v>
      </c>
    </row>
    <row r="126" spans="2:18">
      <c r="B126" s="210" t="s">
        <v>2</v>
      </c>
      <c r="C126" s="211">
        <f>C69</f>
        <v>1678.3274013719999</v>
      </c>
      <c r="D126" s="211">
        <f t="shared" ref="D126:O126" si="15">D69</f>
        <v>1892.9846669420001</v>
      </c>
      <c r="E126" s="211">
        <f t="shared" si="15"/>
        <v>2459.7328362960002</v>
      </c>
      <c r="F126" s="211">
        <f t="shared" si="15"/>
        <v>3191.3531995479998</v>
      </c>
      <c r="G126" s="211">
        <f t="shared" si="15"/>
        <v>4055.5224591820001</v>
      </c>
      <c r="H126" s="211">
        <f t="shared" si="15"/>
        <v>4515.8167889480001</v>
      </c>
      <c r="I126" s="211">
        <f t="shared" si="15"/>
        <v>3713.0280040799998</v>
      </c>
      <c r="J126" s="211">
        <f t="shared" si="15"/>
        <v>2742.9927041320002</v>
      </c>
      <c r="K126" s="211">
        <f t="shared" si="15"/>
        <v>2156.5677169599999</v>
      </c>
      <c r="L126" s="211">
        <f t="shared" si="15"/>
        <v>2179.4227844279999</v>
      </c>
      <c r="M126" s="211">
        <f t="shared" si="15"/>
        <v>2203.5825142980002</v>
      </c>
      <c r="N126" s="211">
        <f t="shared" si="15"/>
        <v>1879.8039341619999</v>
      </c>
      <c r="O126" s="211">
        <f t="shared" si="15"/>
        <v>1392.20737074</v>
      </c>
      <c r="P126" s="219"/>
    </row>
    <row r="127" spans="2:18">
      <c r="B127" s="210" t="s">
        <v>81</v>
      </c>
      <c r="C127" s="211">
        <f t="shared" ref="C127:O139" si="16">C70</f>
        <v>187.668031348</v>
      </c>
      <c r="D127" s="211">
        <f t="shared" si="16"/>
        <v>229.96202238999999</v>
      </c>
      <c r="E127" s="211">
        <f t="shared" si="16"/>
        <v>205.997806862</v>
      </c>
      <c r="F127" s="211">
        <f t="shared" si="16"/>
        <v>320.93024189800002</v>
      </c>
      <c r="G127" s="211">
        <f t="shared" si="16"/>
        <v>320.51078940799999</v>
      </c>
      <c r="H127" s="211">
        <f t="shared" si="16"/>
        <v>401.29321896599998</v>
      </c>
      <c r="I127" s="211">
        <f t="shared" si="16"/>
        <v>330.80630354200002</v>
      </c>
      <c r="J127" s="211">
        <f t="shared" si="16"/>
        <v>153.67971897199999</v>
      </c>
      <c r="K127" s="211">
        <f t="shared" si="16"/>
        <v>238.70894406400001</v>
      </c>
      <c r="L127" s="211">
        <f t="shared" si="16"/>
        <v>105.70565758799999</v>
      </c>
      <c r="M127" s="211">
        <f t="shared" si="16"/>
        <v>115.790175512</v>
      </c>
      <c r="N127" s="211">
        <f t="shared" si="16"/>
        <v>159.086738274</v>
      </c>
      <c r="O127" s="211">
        <f t="shared" si="16"/>
        <v>118.23987045600001</v>
      </c>
    </row>
    <row r="128" spans="2:18">
      <c r="B128" s="210" t="s">
        <v>3</v>
      </c>
      <c r="C128" s="211">
        <f t="shared" si="16"/>
        <v>4871.2094020000004</v>
      </c>
      <c r="D128" s="211">
        <f t="shared" si="16"/>
        <v>4528.3442359999999</v>
      </c>
      <c r="E128" s="211">
        <f t="shared" si="16"/>
        <v>4639.755709</v>
      </c>
      <c r="F128" s="211">
        <f t="shared" si="16"/>
        <v>5270.8108380000003</v>
      </c>
      <c r="G128" s="211">
        <f t="shared" si="16"/>
        <v>5199.7405159999998</v>
      </c>
      <c r="H128" s="211">
        <f t="shared" si="16"/>
        <v>4358.5151070000002</v>
      </c>
      <c r="I128" s="211">
        <f t="shared" si="16"/>
        <v>4833.1364599999997</v>
      </c>
      <c r="J128" s="211">
        <f t="shared" si="16"/>
        <v>4197.3329299999996</v>
      </c>
      <c r="K128" s="211">
        <f t="shared" si="16"/>
        <v>4373.2508939999998</v>
      </c>
      <c r="L128" s="211">
        <f t="shared" si="16"/>
        <v>3684.3838430000001</v>
      </c>
      <c r="M128" s="211">
        <f t="shared" si="16"/>
        <v>5119.3959809999997</v>
      </c>
      <c r="N128" s="211">
        <f t="shared" si="16"/>
        <v>5150.2640140000003</v>
      </c>
      <c r="O128" s="211">
        <f t="shared" si="16"/>
        <v>4890.5065249999998</v>
      </c>
    </row>
    <row r="129" spans="2:15">
      <c r="B129" s="210" t="s">
        <v>4</v>
      </c>
      <c r="C129" s="211">
        <f t="shared" si="16"/>
        <v>282.55493999999999</v>
      </c>
      <c r="D129" s="211">
        <f t="shared" si="16"/>
        <v>235.11278300000001</v>
      </c>
      <c r="E129" s="211">
        <f t="shared" si="16"/>
        <v>336.18096000000003</v>
      </c>
      <c r="F129" s="211">
        <f t="shared" si="16"/>
        <v>222.17338899999999</v>
      </c>
      <c r="G129" s="211">
        <f t="shared" si="16"/>
        <v>558.54747499999996</v>
      </c>
      <c r="H129" s="211">
        <f t="shared" si="16"/>
        <v>177.073452</v>
      </c>
      <c r="I129" s="211">
        <f t="shared" si="16"/>
        <v>242.90618799999999</v>
      </c>
      <c r="J129" s="211">
        <f t="shared" si="16"/>
        <v>270.940157</v>
      </c>
      <c r="K129" s="211">
        <f t="shared" si="16"/>
        <v>333.46570800000001</v>
      </c>
      <c r="L129" s="211">
        <f t="shared" si="16"/>
        <v>431.99096700000001</v>
      </c>
      <c r="M129" s="211">
        <f t="shared" si="16"/>
        <v>302.41718100000003</v>
      </c>
      <c r="N129" s="211">
        <f t="shared" si="16"/>
        <v>320.34443199999998</v>
      </c>
      <c r="O129" s="211">
        <f t="shared" si="16"/>
        <v>477.93225000000001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4546.4757390000004</v>
      </c>
      <c r="D131" s="211">
        <f t="shared" si="16"/>
        <v>2791.0383710000001</v>
      </c>
      <c r="E131" s="211">
        <f t="shared" si="16"/>
        <v>3221.3084140000001</v>
      </c>
      <c r="F131" s="211">
        <f t="shared" si="16"/>
        <v>2564.8316060000002</v>
      </c>
      <c r="G131" s="211">
        <f t="shared" si="16"/>
        <v>2188.3044850000001</v>
      </c>
      <c r="H131" s="211">
        <f t="shared" si="16"/>
        <v>1086.83896</v>
      </c>
      <c r="I131" s="211">
        <f t="shared" si="16"/>
        <v>1649.419373</v>
      </c>
      <c r="J131" s="211">
        <f t="shared" si="16"/>
        <v>2865.8610100000001</v>
      </c>
      <c r="K131" s="211">
        <f t="shared" si="16"/>
        <v>2004.7769000000001</v>
      </c>
      <c r="L131" s="211">
        <f t="shared" si="16"/>
        <v>3136.247484</v>
      </c>
      <c r="M131" s="211">
        <f t="shared" si="16"/>
        <v>3024.8909399999998</v>
      </c>
      <c r="N131" s="211">
        <f t="shared" si="16"/>
        <v>3325.1988150000002</v>
      </c>
      <c r="O131" s="211">
        <f t="shared" si="16"/>
        <v>4296.3758950000001</v>
      </c>
    </row>
    <row r="132" spans="2:15">
      <c r="B132" s="210" t="s">
        <v>5</v>
      </c>
      <c r="C132" s="211">
        <f t="shared" si="16"/>
        <v>3962.2430210000002</v>
      </c>
      <c r="D132" s="211">
        <f t="shared" si="16"/>
        <v>5669.7146759999996</v>
      </c>
      <c r="E132" s="211">
        <f t="shared" si="16"/>
        <v>4154.0834599999998</v>
      </c>
      <c r="F132" s="211">
        <f t="shared" si="16"/>
        <v>7378.7336489999998</v>
      </c>
      <c r="G132" s="211">
        <f t="shared" si="16"/>
        <v>7019.2746690000004</v>
      </c>
      <c r="H132" s="211">
        <f t="shared" si="16"/>
        <v>6235.5684270000002</v>
      </c>
      <c r="I132" s="211">
        <f t="shared" si="16"/>
        <v>5521.443166</v>
      </c>
      <c r="J132" s="211">
        <f t="shared" si="16"/>
        <v>4041.7178789999998</v>
      </c>
      <c r="K132" s="211">
        <f t="shared" si="16"/>
        <v>4620.819896</v>
      </c>
      <c r="L132" s="211">
        <f t="shared" si="16"/>
        <v>3533.4356429999998</v>
      </c>
      <c r="M132" s="211">
        <f t="shared" si="16"/>
        <v>4120.4592439999997</v>
      </c>
      <c r="N132" s="211">
        <f t="shared" si="16"/>
        <v>3597.1086890000001</v>
      </c>
      <c r="O132" s="211">
        <f t="shared" si="16"/>
        <v>3123.1962789999998</v>
      </c>
    </row>
    <row r="133" spans="2:15">
      <c r="B133" s="210" t="s">
        <v>132</v>
      </c>
      <c r="C133" s="211">
        <f t="shared" si="16"/>
        <v>1426.722043</v>
      </c>
      <c r="D133" s="211">
        <f t="shared" si="16"/>
        <v>1283.3937249999999</v>
      </c>
      <c r="E133" s="211">
        <f t="shared" si="16"/>
        <v>788.93134899999995</v>
      </c>
      <c r="F133" s="211">
        <f t="shared" si="16"/>
        <v>719.15622399999995</v>
      </c>
      <c r="G133" s="211">
        <f t="shared" si="16"/>
        <v>821.66945299999998</v>
      </c>
      <c r="H133" s="211">
        <f t="shared" si="16"/>
        <v>945.54870300000005</v>
      </c>
      <c r="I133" s="211">
        <f t="shared" si="16"/>
        <v>1648.188848</v>
      </c>
      <c r="J133" s="211">
        <f t="shared" si="16"/>
        <v>1625.0275710000001</v>
      </c>
      <c r="K133" s="211">
        <f t="shared" si="16"/>
        <v>2335.6640040000002</v>
      </c>
      <c r="L133" s="211">
        <f t="shared" si="16"/>
        <v>2276.176676</v>
      </c>
      <c r="M133" s="211">
        <f t="shared" si="16"/>
        <v>2465.699314</v>
      </c>
      <c r="N133" s="211">
        <f t="shared" si="16"/>
        <v>2330.2383329999998</v>
      </c>
      <c r="O133" s="211">
        <f t="shared" si="16"/>
        <v>1866.7778960000001</v>
      </c>
    </row>
    <row r="134" spans="2:15">
      <c r="B134" s="210" t="s">
        <v>133</v>
      </c>
      <c r="C134" s="211">
        <f t="shared" si="16"/>
        <v>452.15923299999997</v>
      </c>
      <c r="D134" s="211">
        <f t="shared" si="16"/>
        <v>340.27470899999997</v>
      </c>
      <c r="E134" s="211">
        <f t="shared" si="16"/>
        <v>108.048269</v>
      </c>
      <c r="F134" s="211">
        <f t="shared" si="16"/>
        <v>76.225913000000006</v>
      </c>
      <c r="G134" s="211">
        <f t="shared" si="16"/>
        <v>102.634029</v>
      </c>
      <c r="H134" s="211">
        <f t="shared" si="16"/>
        <v>138.18132700000001</v>
      </c>
      <c r="I134" s="211">
        <f t="shared" si="16"/>
        <v>355.01542699999999</v>
      </c>
      <c r="J134" s="211">
        <f t="shared" si="16"/>
        <v>266.78751899999997</v>
      </c>
      <c r="K134" s="211">
        <f t="shared" si="16"/>
        <v>645.65319899999997</v>
      </c>
      <c r="L134" s="211">
        <f t="shared" si="16"/>
        <v>655.36365000000001</v>
      </c>
      <c r="M134" s="211">
        <f t="shared" si="16"/>
        <v>828.47839999999997</v>
      </c>
      <c r="N134" s="211">
        <f t="shared" si="16"/>
        <v>661.321641</v>
      </c>
      <c r="O134" s="211">
        <f t="shared" si="16"/>
        <v>447.44465700000001</v>
      </c>
    </row>
    <row r="135" spans="2:15">
      <c r="B135" s="210" t="s">
        <v>9</v>
      </c>
      <c r="C135" s="211">
        <f t="shared" si="16"/>
        <v>2304.531516</v>
      </c>
      <c r="D135" s="211">
        <f t="shared" si="16"/>
        <v>2351.3923199999999</v>
      </c>
      <c r="E135" s="211">
        <f t="shared" si="16"/>
        <v>2386.903992</v>
      </c>
      <c r="F135" s="211">
        <f t="shared" si="16"/>
        <v>2339.665661</v>
      </c>
      <c r="G135" s="211">
        <f t="shared" si="16"/>
        <v>2400.83545</v>
      </c>
      <c r="H135" s="211">
        <f t="shared" si="16"/>
        <v>1836.423233</v>
      </c>
      <c r="I135" s="211">
        <f t="shared" si="16"/>
        <v>2247.9164740000001</v>
      </c>
      <c r="J135" s="211">
        <f t="shared" si="16"/>
        <v>2187.7371330000001</v>
      </c>
      <c r="K135" s="211">
        <f t="shared" si="16"/>
        <v>2200.0301570000001</v>
      </c>
      <c r="L135" s="211">
        <f t="shared" si="16"/>
        <v>2182.4178189999998</v>
      </c>
      <c r="M135" s="211">
        <f t="shared" si="16"/>
        <v>2239.4408100000001</v>
      </c>
      <c r="N135" s="211">
        <f t="shared" si="16"/>
        <v>2097.6266230000001</v>
      </c>
      <c r="O135" s="211">
        <f t="shared" si="16"/>
        <v>2154.5010320000001</v>
      </c>
    </row>
    <row r="136" spans="2:15">
      <c r="B136" s="210" t="s">
        <v>134</v>
      </c>
      <c r="C136" s="211">
        <f t="shared" si="16"/>
        <v>173.89508950000001</v>
      </c>
      <c r="D136" s="211">
        <f t="shared" si="16"/>
        <v>156.50662750000001</v>
      </c>
      <c r="E136" s="211">
        <f t="shared" si="16"/>
        <v>180.74303649999999</v>
      </c>
      <c r="F136" s="211">
        <f t="shared" si="16"/>
        <v>180.31613300000001</v>
      </c>
      <c r="G136" s="211">
        <f t="shared" si="16"/>
        <v>175.14184499999999</v>
      </c>
      <c r="H136" s="211">
        <f t="shared" si="16"/>
        <v>161.44275200000001</v>
      </c>
      <c r="I136" s="211">
        <f t="shared" si="16"/>
        <v>171.48853299999999</v>
      </c>
      <c r="J136" s="211">
        <f t="shared" si="16"/>
        <v>167.72491149999999</v>
      </c>
      <c r="K136" s="211">
        <f t="shared" si="16"/>
        <v>170.74740800000001</v>
      </c>
      <c r="L136" s="211">
        <f t="shared" si="16"/>
        <v>182.66502349999999</v>
      </c>
      <c r="M136" s="211">
        <f t="shared" si="16"/>
        <v>193.13370449999999</v>
      </c>
      <c r="N136" s="211">
        <f t="shared" si="16"/>
        <v>198.40012300000001</v>
      </c>
      <c r="O136" s="211">
        <f t="shared" si="16"/>
        <v>167.38102850000001</v>
      </c>
    </row>
    <row r="137" spans="2:15">
      <c r="B137" s="210" t="s">
        <v>135</v>
      </c>
      <c r="C137" s="211">
        <f t="shared" si="16"/>
        <v>58.507686499999998</v>
      </c>
      <c r="D137" s="211">
        <f t="shared" si="16"/>
        <v>64.967821499999999</v>
      </c>
      <c r="E137" s="211">
        <f t="shared" si="16"/>
        <v>67.556750500000007</v>
      </c>
      <c r="F137" s="211">
        <f t="shared" si="16"/>
        <v>66.683813999999998</v>
      </c>
      <c r="G137" s="211">
        <f t="shared" si="16"/>
        <v>52.060037999999999</v>
      </c>
      <c r="H137" s="211">
        <f t="shared" si="16"/>
        <v>57.768275000000003</v>
      </c>
      <c r="I137" s="211">
        <f t="shared" si="16"/>
        <v>61.963368000000003</v>
      </c>
      <c r="J137" s="211">
        <f t="shared" si="16"/>
        <v>66.322567500000005</v>
      </c>
      <c r="K137" s="211">
        <f t="shared" si="16"/>
        <v>53.009402999999999</v>
      </c>
      <c r="L137" s="211">
        <f t="shared" si="16"/>
        <v>65.533088500000005</v>
      </c>
      <c r="M137" s="211">
        <f t="shared" si="16"/>
        <v>70.069165499999997</v>
      </c>
      <c r="N137" s="211">
        <f t="shared" si="16"/>
        <v>67.949684000000005</v>
      </c>
      <c r="O137" s="211">
        <f t="shared" si="16"/>
        <v>55.639892500000002</v>
      </c>
    </row>
    <row r="138" spans="2:15">
      <c r="B138" s="210" t="s">
        <v>136</v>
      </c>
      <c r="C138" s="211">
        <f t="shared" si="16"/>
        <v>394.86022600000001</v>
      </c>
      <c r="D138" s="211">
        <f t="shared" si="16"/>
        <v>414.07609600000001</v>
      </c>
      <c r="E138" s="211">
        <f t="shared" si="16"/>
        <v>393.05924800000003</v>
      </c>
      <c r="F138" s="211">
        <f t="shared" si="16"/>
        <v>422.601923</v>
      </c>
      <c r="G138" s="211">
        <f t="shared" si="16"/>
        <v>389.92807800000003</v>
      </c>
      <c r="H138" s="211">
        <f t="shared" si="16"/>
        <v>364.35283099999998</v>
      </c>
      <c r="I138" s="211">
        <f t="shared" si="16"/>
        <v>358.00908700000002</v>
      </c>
      <c r="J138" s="211">
        <f t="shared" si="16"/>
        <v>391.39413100000002</v>
      </c>
      <c r="K138" s="211">
        <f t="shared" si="16"/>
        <v>390.09032500000001</v>
      </c>
      <c r="L138" s="211">
        <f t="shared" si="16"/>
        <v>357.15935500000001</v>
      </c>
      <c r="M138" s="211">
        <f t="shared" si="16"/>
        <v>351.58971200000002</v>
      </c>
      <c r="N138" s="211">
        <f t="shared" si="16"/>
        <v>409.60947299999998</v>
      </c>
      <c r="O138" s="211">
        <f t="shared" si="16"/>
        <v>395.18680599999999</v>
      </c>
    </row>
    <row r="139" spans="2:15">
      <c r="B139" s="210" t="s">
        <v>137</v>
      </c>
      <c r="C139" s="211">
        <f t="shared" si="16"/>
        <v>20339.15432872</v>
      </c>
      <c r="D139" s="211">
        <f t="shared" si="16"/>
        <v>19957.768054331998</v>
      </c>
      <c r="E139" s="211">
        <f t="shared" si="16"/>
        <v>18942.301831158002</v>
      </c>
      <c r="F139" s="211">
        <f t="shared" si="16"/>
        <v>22753.482591445994</v>
      </c>
      <c r="G139" s="211">
        <f t="shared" si="16"/>
        <v>23284.169286589997</v>
      </c>
      <c r="H139" s="211">
        <f t="shared" si="16"/>
        <v>20278.823074914002</v>
      </c>
      <c r="I139" s="211">
        <f t="shared" si="16"/>
        <v>21133.321231622002</v>
      </c>
      <c r="J139" s="211">
        <f t="shared" si="16"/>
        <v>18977.518232103997</v>
      </c>
      <c r="K139" s="211">
        <f t="shared" si="16"/>
        <v>19522.784555024002</v>
      </c>
      <c r="L139" s="211">
        <f t="shared" si="16"/>
        <v>18790.501991015997</v>
      </c>
      <c r="M139" s="211">
        <f t="shared" si="16"/>
        <v>21034.94714181</v>
      </c>
      <c r="N139" s="211">
        <f t="shared" si="16"/>
        <v>20196.952499436</v>
      </c>
      <c r="O139" s="211">
        <f t="shared" si="16"/>
        <v>19385.389502196002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7972.8196108720003</v>
      </c>
      <c r="D145" s="215">
        <f t="shared" ref="D145:N145" si="17">SUM(D126,D132:D134,D137:D138)</f>
        <v>9665.4116944420002</v>
      </c>
      <c r="E145" s="215">
        <f t="shared" si="17"/>
        <v>7971.4119127960003</v>
      </c>
      <c r="F145" s="215">
        <f t="shared" si="17"/>
        <v>11854.754722547999</v>
      </c>
      <c r="G145" s="215">
        <f t="shared" si="17"/>
        <v>12441.088726182003</v>
      </c>
      <c r="H145" s="215">
        <f t="shared" si="17"/>
        <v>12257.236351948002</v>
      </c>
      <c r="I145" s="215">
        <f t="shared" si="17"/>
        <v>11657.647900080001</v>
      </c>
      <c r="J145" s="215">
        <f t="shared" si="17"/>
        <v>9134.2423716320009</v>
      </c>
      <c r="K145" s="215">
        <f t="shared" si="17"/>
        <v>10201.804543959999</v>
      </c>
      <c r="L145" s="215">
        <f t="shared" si="17"/>
        <v>9067.0911969280005</v>
      </c>
      <c r="M145" s="215">
        <f t="shared" si="17"/>
        <v>10039.878349798</v>
      </c>
      <c r="N145" s="215">
        <f t="shared" si="17"/>
        <v>8946.0317541620007</v>
      </c>
      <c r="O145" s="215">
        <f>SUM(O126,O132:O134,O137:O138)</f>
        <v>7280.4529012399989</v>
      </c>
    </row>
    <row r="146" spans="2:15">
      <c r="B146" s="212" t="s">
        <v>16</v>
      </c>
      <c r="C146" s="213">
        <f>SUM(C127:C131,C135:C136)</f>
        <v>12366.334717848002</v>
      </c>
      <c r="D146" s="213">
        <f t="shared" ref="D146:O146" si="18">SUM(D127:D131,D135:D136)</f>
        <v>10292.356359890002</v>
      </c>
      <c r="E146" s="213">
        <f t="shared" si="18"/>
        <v>10970.889918362</v>
      </c>
      <c r="F146" s="213">
        <f t="shared" si="18"/>
        <v>10898.727868898</v>
      </c>
      <c r="G146" s="213">
        <f t="shared" si="18"/>
        <v>10843.080560408001</v>
      </c>
      <c r="H146" s="213">
        <f t="shared" si="18"/>
        <v>8021.5867229659989</v>
      </c>
      <c r="I146" s="213">
        <f t="shared" si="18"/>
        <v>9475.6733315419988</v>
      </c>
      <c r="J146" s="213">
        <f t="shared" si="18"/>
        <v>9843.2758604720002</v>
      </c>
      <c r="K146" s="213">
        <f t="shared" si="18"/>
        <v>9320.980011063999</v>
      </c>
      <c r="L146" s="213">
        <f t="shared" si="18"/>
        <v>9723.4107940880003</v>
      </c>
      <c r="M146" s="213">
        <f t="shared" si="18"/>
        <v>10995.068792012</v>
      </c>
      <c r="N146" s="213">
        <f t="shared" si="18"/>
        <v>11250.920745273999</v>
      </c>
      <c r="O146" s="213">
        <f t="shared" si="18"/>
        <v>12104.936600956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39.199366315904008</v>
      </c>
      <c r="D148" s="216">
        <f t="shared" ref="D148:I148" si="19">SUM(D126/SUM(D145:D146)*100,D132/SUM(D145:D146)*100,D133/SUM(D145:D146)*100,D134/SUM(D145:D146)*100,D137/SUM(D145:D146)*100,D138/SUM(D145:D146)*100)</f>
        <v>48.429321696340899</v>
      </c>
      <c r="E148" s="216">
        <f t="shared" si="19"/>
        <v>42.082593677627422</v>
      </c>
      <c r="F148" s="216">
        <f t="shared" si="19"/>
        <v>52.100836322105273</v>
      </c>
      <c r="G148" s="216">
        <f t="shared" si="19"/>
        <v>53.431533558498764</v>
      </c>
      <c r="H148" s="216">
        <f t="shared" si="19"/>
        <v>60.44352922586944</v>
      </c>
      <c r="I148" s="216">
        <f t="shared" si="19"/>
        <v>55.162403354928152</v>
      </c>
      <c r="J148" s="216">
        <f>SUM(J126/SUM(J145:J146)*100,J132/SUM(J145:J146)*100,J133/SUM(J145:J146)*100,J134/SUM(J145:J146)*100,J137/SUM(J145:J146)*100,J138/SUM(J145:J146)*100)</f>
        <v>48.131911980881313</v>
      </c>
      <c r="K148" s="216">
        <f t="shared" ref="K148:O148" si="20">SUM(K126/SUM(K145:K146)*100,K132/SUM(K145:K146)*100,K133/SUM(K145:K146)*100,K134/SUM(K145:K146)*100,K137/SUM(K145:K146)*100,K138/SUM(K145:K146)*100)</f>
        <v>52.255888575765006</v>
      </c>
      <c r="L148" s="216">
        <f t="shared" si="20"/>
        <v>48.253586845434477</v>
      </c>
      <c r="M148" s="216">
        <f t="shared" si="20"/>
        <v>47.72951546829556</v>
      </c>
      <c r="N148" s="216">
        <f t="shared" si="20"/>
        <v>44.29396838167451</v>
      </c>
      <c r="O148" s="216">
        <f t="shared" si="20"/>
        <v>37.556392149950156</v>
      </c>
    </row>
    <row r="149" spans="2:15">
      <c r="B149" s="212" t="s">
        <v>16</v>
      </c>
      <c r="C149" s="297">
        <f t="shared" ref="C149" si="21">100-C148</f>
        <v>60.800633684095992</v>
      </c>
      <c r="D149" s="297">
        <f t="shared" ref="D149:J149" si="22">100-D148</f>
        <v>51.570678303659101</v>
      </c>
      <c r="E149" s="297">
        <f t="shared" si="22"/>
        <v>57.917406322372578</v>
      </c>
      <c r="F149" s="297">
        <f t="shared" si="22"/>
        <v>47.899163677894727</v>
      </c>
      <c r="G149" s="297">
        <f t="shared" si="22"/>
        <v>46.568466441501236</v>
      </c>
      <c r="H149" s="297">
        <f t="shared" si="22"/>
        <v>39.55647077413056</v>
      </c>
      <c r="I149" s="297">
        <f t="shared" si="22"/>
        <v>44.837596645071848</v>
      </c>
      <c r="J149" s="297">
        <f t="shared" si="22"/>
        <v>51.868088019118687</v>
      </c>
      <c r="K149" s="297">
        <f t="shared" ref="K149:O149" si="23">100-K148</f>
        <v>47.744111424234994</v>
      </c>
      <c r="L149" s="297">
        <f t="shared" si="23"/>
        <v>51.746413154565523</v>
      </c>
      <c r="M149" s="297">
        <f t="shared" si="23"/>
        <v>52.27048453170444</v>
      </c>
      <c r="N149" s="297">
        <f t="shared" si="23"/>
        <v>55.70603161832549</v>
      </c>
      <c r="O149" s="297">
        <f t="shared" si="23"/>
        <v>62.443607850049844</v>
      </c>
    </row>
    <row r="153" spans="2:15">
      <c r="B153" s="149" t="s">
        <v>24</v>
      </c>
    </row>
    <row r="154" spans="2:15">
      <c r="B154" s="214"/>
      <c r="C154" s="214"/>
      <c r="D154" s="339" t="s">
        <v>22</v>
      </c>
      <c r="E154" s="339" t="s">
        <v>23</v>
      </c>
    </row>
    <row r="155" spans="2:15">
      <c r="B155" s="212" t="s">
        <v>144</v>
      </c>
      <c r="C155" s="212" t="s">
        <v>145</v>
      </c>
      <c r="D155" s="340"/>
      <c r="E155" s="340"/>
    </row>
    <row r="156" spans="2:15">
      <c r="B156" s="220">
        <f>DATE(YEAR(Dat_01!B$2),MONTH(Dat_01!B$2),Dat_01!A180)</f>
        <v>44440</v>
      </c>
      <c r="C156" s="210">
        <f>Dat_01!A180</f>
        <v>1</v>
      </c>
      <c r="D156" s="221">
        <f>Dat_01!W180</f>
        <v>106.179665</v>
      </c>
      <c r="E156" s="222">
        <f>Dat_01!V180</f>
        <v>16.084817865236442</v>
      </c>
    </row>
    <row r="157" spans="2:15">
      <c r="B157" s="220">
        <f>DATE(YEAR(Dat_01!B$2),MONTH(Dat_01!B$2),Dat_01!A181)</f>
        <v>44441</v>
      </c>
      <c r="C157" s="210">
        <f>Dat_01!A181</f>
        <v>2</v>
      </c>
      <c r="D157" s="221">
        <f>Dat_01!W181</f>
        <v>31.284413000000001</v>
      </c>
      <c r="E157" s="222">
        <f>Dat_01!V181</f>
        <v>4.9045970513655233</v>
      </c>
    </row>
    <row r="158" spans="2:15">
      <c r="B158" s="220">
        <f>DATE(YEAR(Dat_01!B$2),MONTH(Dat_01!B$2),Dat_01!A182)</f>
        <v>44442</v>
      </c>
      <c r="C158" s="210">
        <f>Dat_01!A182</f>
        <v>3</v>
      </c>
      <c r="D158" s="221">
        <f>Dat_01!W182</f>
        <v>18.010330999999997</v>
      </c>
      <c r="E158" s="222">
        <f>Dat_01!V182</f>
        <v>2.7939182752712548</v>
      </c>
    </row>
    <row r="159" spans="2:15">
      <c r="B159" s="220">
        <f>DATE(YEAR(Dat_01!B$2),MONTH(Dat_01!B$2),Dat_01!A183)</f>
        <v>44443</v>
      </c>
      <c r="C159" s="210">
        <f>Dat_01!A183</f>
        <v>4</v>
      </c>
      <c r="D159" s="221">
        <f>Dat_01!W183</f>
        <v>30.801796999999997</v>
      </c>
      <c r="E159" s="222">
        <f>Dat_01!V183</f>
        <v>5.0623107929124833</v>
      </c>
    </row>
    <row r="160" spans="2:15">
      <c r="B160" s="220">
        <f>DATE(YEAR(Dat_01!B$2),MONTH(Dat_01!B$2),Dat_01!A184)</f>
        <v>44444</v>
      </c>
      <c r="C160" s="210">
        <f>Dat_01!A184</f>
        <v>5</v>
      </c>
      <c r="D160" s="221">
        <f>Dat_01!W184</f>
        <v>76.818566000000004</v>
      </c>
      <c r="E160" s="222">
        <f>Dat_01!V184</f>
        <v>12.761176228029921</v>
      </c>
    </row>
    <row r="161" spans="2:5">
      <c r="B161" s="220">
        <f>DATE(YEAR(Dat_01!B$2),MONTH(Dat_01!B$2),Dat_01!A185)</f>
        <v>44445</v>
      </c>
      <c r="C161" s="210">
        <f>Dat_01!A185</f>
        <v>6</v>
      </c>
      <c r="D161" s="221">
        <f>Dat_01!W185</f>
        <v>139.00359599999999</v>
      </c>
      <c r="E161" s="222">
        <f>Dat_01!V185</f>
        <v>20.611797514653574</v>
      </c>
    </row>
    <row r="162" spans="2:5">
      <c r="B162" s="220">
        <f>DATE(YEAR(Dat_01!B$2),MONTH(Dat_01!B$2),Dat_01!A186)</f>
        <v>44446</v>
      </c>
      <c r="C162" s="210">
        <f>Dat_01!A186</f>
        <v>7</v>
      </c>
      <c r="D162" s="221">
        <f>Dat_01!W186</f>
        <v>224.050218</v>
      </c>
      <c r="E162" s="222">
        <f>Dat_01!V186</f>
        <v>30.676252945399035</v>
      </c>
    </row>
    <row r="163" spans="2:5">
      <c r="B163" s="220">
        <f>DATE(YEAR(Dat_01!B$2),MONTH(Dat_01!B$2),Dat_01!A187)</f>
        <v>44447</v>
      </c>
      <c r="C163" s="210">
        <f>Dat_01!A187</f>
        <v>8</v>
      </c>
      <c r="D163" s="221">
        <f>Dat_01!W187</f>
        <v>131.33757900000001</v>
      </c>
      <c r="E163" s="222">
        <f>Dat_01!V187</f>
        <v>18.855059493563857</v>
      </c>
    </row>
    <row r="164" spans="2:5">
      <c r="B164" s="220">
        <f>DATE(YEAR(Dat_01!B$2),MONTH(Dat_01!B$2),Dat_01!A188)</f>
        <v>44448</v>
      </c>
      <c r="C164" s="210">
        <f>Dat_01!A188</f>
        <v>9</v>
      </c>
      <c r="D164" s="221">
        <f>Dat_01!W188</f>
        <v>116.048224</v>
      </c>
      <c r="E164" s="222">
        <f>Dat_01!V188</f>
        <v>16.785716332340481</v>
      </c>
    </row>
    <row r="165" spans="2:5">
      <c r="B165" s="220">
        <f>DATE(YEAR(Dat_01!B$2),MONTH(Dat_01!B$2),Dat_01!A189)</f>
        <v>44449</v>
      </c>
      <c r="C165" s="210">
        <f>Dat_01!A189</f>
        <v>10</v>
      </c>
      <c r="D165" s="221">
        <f>Dat_01!W189</f>
        <v>65.758053000000004</v>
      </c>
      <c r="E165" s="222">
        <f>Dat_01!V189</f>
        <v>9.8358184889172424</v>
      </c>
    </row>
    <row r="166" spans="2:5">
      <c r="B166" s="220">
        <f>DATE(YEAR(Dat_01!B$2),MONTH(Dat_01!B$2),Dat_01!A190)</f>
        <v>44450</v>
      </c>
      <c r="C166" s="210">
        <f>Dat_01!A190</f>
        <v>11</v>
      </c>
      <c r="D166" s="221">
        <f>Dat_01!W190</f>
        <v>33.643822</v>
      </c>
      <c r="E166" s="222">
        <f>Dat_01!V190</f>
        <v>5.637192498514441</v>
      </c>
    </row>
    <row r="167" spans="2:5">
      <c r="B167" s="220">
        <f>DATE(YEAR(Dat_01!B$2),MONTH(Dat_01!B$2),Dat_01!A191)</f>
        <v>44451</v>
      </c>
      <c r="C167" s="210">
        <f>Dat_01!A191</f>
        <v>12</v>
      </c>
      <c r="D167" s="221">
        <f>Dat_01!W191</f>
        <v>46.565080000000002</v>
      </c>
      <c r="E167" s="222">
        <f>Dat_01!V191</f>
        <v>8.1163003588238993</v>
      </c>
    </row>
    <row r="168" spans="2:5">
      <c r="B168" s="220">
        <f>DATE(YEAR(Dat_01!B$2),MONTH(Dat_01!B$2),Dat_01!A192)</f>
        <v>44452</v>
      </c>
      <c r="C168" s="210">
        <f>Dat_01!A192</f>
        <v>13</v>
      </c>
      <c r="D168" s="221">
        <f>Dat_01!W192</f>
        <v>152.68756200000001</v>
      </c>
      <c r="E168" s="222">
        <f>Dat_01!V192</f>
        <v>22.95750336372188</v>
      </c>
    </row>
    <row r="169" spans="2:5">
      <c r="B169" s="220">
        <f>DATE(YEAR(Dat_01!B$2),MONTH(Dat_01!B$2),Dat_01!A193)</f>
        <v>44453</v>
      </c>
      <c r="C169" s="210">
        <f>Dat_01!A193</f>
        <v>14</v>
      </c>
      <c r="D169" s="221">
        <f>Dat_01!W193</f>
        <v>117.796391</v>
      </c>
      <c r="E169" s="222">
        <f>Dat_01!V193</f>
        <v>16.825788053392181</v>
      </c>
    </row>
    <row r="170" spans="2:5">
      <c r="B170" s="220">
        <f>DATE(YEAR(Dat_01!B$2),MONTH(Dat_01!B$2),Dat_01!A194)</f>
        <v>44454</v>
      </c>
      <c r="C170" s="210">
        <f>Dat_01!A194</f>
        <v>15</v>
      </c>
      <c r="D170" s="221">
        <f>Dat_01!W194</f>
        <v>45.131961000000004</v>
      </c>
      <c r="E170" s="222">
        <f>Dat_01!V194</f>
        <v>6.3360883582419563</v>
      </c>
    </row>
    <row r="171" spans="2:5">
      <c r="B171" s="220">
        <f>DATE(YEAR(Dat_01!B$2),MONTH(Dat_01!B$2),Dat_01!A195)</f>
        <v>44455</v>
      </c>
      <c r="C171" s="210">
        <f>Dat_01!A195</f>
        <v>16</v>
      </c>
      <c r="D171" s="221">
        <f>Dat_01!W195</f>
        <v>82.345393999999999</v>
      </c>
      <c r="E171" s="222">
        <f>Dat_01!V195</f>
        <v>12.266304902003867</v>
      </c>
    </row>
    <row r="172" spans="2:5">
      <c r="B172" s="220">
        <f>DATE(YEAR(Dat_01!B$2),MONTH(Dat_01!B$2),Dat_01!A196)</f>
        <v>44456</v>
      </c>
      <c r="C172" s="210">
        <f>Dat_01!A196</f>
        <v>17</v>
      </c>
      <c r="D172" s="221">
        <f>Dat_01!W196</f>
        <v>51.152388000000002</v>
      </c>
      <c r="E172" s="222">
        <f>Dat_01!V196</f>
        <v>7.6864834048740702</v>
      </c>
    </row>
    <row r="173" spans="2:5">
      <c r="B173" s="220">
        <f>DATE(YEAR(Dat_01!B$2),MONTH(Dat_01!B$2),Dat_01!A197)</f>
        <v>44457</v>
      </c>
      <c r="C173" s="210">
        <f>Dat_01!A197</f>
        <v>18</v>
      </c>
      <c r="D173" s="221">
        <f>Dat_01!W197</f>
        <v>108.261092</v>
      </c>
      <c r="E173" s="222">
        <f>Dat_01!V197</f>
        <v>17.887705832043348</v>
      </c>
    </row>
    <row r="174" spans="2:5">
      <c r="B174" s="220">
        <f>DATE(YEAR(Dat_01!B$2),MONTH(Dat_01!B$2),Dat_01!A198)</f>
        <v>44458</v>
      </c>
      <c r="C174" s="210">
        <f>Dat_01!A198</f>
        <v>19</v>
      </c>
      <c r="D174" s="221">
        <f>Dat_01!W198</f>
        <v>91.992326000000006</v>
      </c>
      <c r="E174" s="222">
        <f>Dat_01!V198</f>
        <v>15.851276423608034</v>
      </c>
    </row>
    <row r="175" spans="2:5">
      <c r="B175" s="220">
        <f>DATE(YEAR(Dat_01!B$2),MONTH(Dat_01!B$2),Dat_01!A199)</f>
        <v>44459</v>
      </c>
      <c r="C175" s="210">
        <f>Dat_01!A199</f>
        <v>20</v>
      </c>
      <c r="D175" s="221">
        <f>Dat_01!W199</f>
        <v>192.81291200000001</v>
      </c>
      <c r="E175" s="222">
        <f>Dat_01!V199</f>
        <v>28.415385818233368</v>
      </c>
    </row>
    <row r="176" spans="2:5">
      <c r="B176" s="220">
        <f>DATE(YEAR(Dat_01!B$2),MONTH(Dat_01!B$2),Dat_01!A200)</f>
        <v>44460</v>
      </c>
      <c r="C176" s="210">
        <f>Dat_01!A200</f>
        <v>21</v>
      </c>
      <c r="D176" s="221">
        <f>Dat_01!W200</f>
        <v>218.81851699999999</v>
      </c>
      <c r="E176" s="222">
        <f>Dat_01!V200</f>
        <v>32.637378358827704</v>
      </c>
    </row>
    <row r="177" spans="2:27">
      <c r="B177" s="220">
        <f>DATE(YEAR(Dat_01!B$2),MONTH(Dat_01!B$2),Dat_01!A201)</f>
        <v>44461</v>
      </c>
      <c r="C177" s="210">
        <f>Dat_01!A201</f>
        <v>22</v>
      </c>
      <c r="D177" s="221">
        <f>Dat_01!W201</f>
        <v>154.24976500000002</v>
      </c>
      <c r="E177" s="222">
        <f>Dat_01!V201</f>
        <v>24.339496819755144</v>
      </c>
    </row>
    <row r="178" spans="2:27">
      <c r="B178" s="220">
        <f>DATE(YEAR(Dat_01!B$2),MONTH(Dat_01!B$2),Dat_01!A202)</f>
        <v>44462</v>
      </c>
      <c r="C178" s="210">
        <f>Dat_01!A202</f>
        <v>23</v>
      </c>
      <c r="D178" s="221">
        <f>Dat_01!W202</f>
        <v>208.741558</v>
      </c>
      <c r="E178" s="222">
        <f>Dat_01!V202</f>
        <v>32.192891488501168</v>
      </c>
    </row>
    <row r="179" spans="2:27">
      <c r="B179" s="220">
        <f>DATE(YEAR(Dat_01!B$2),MONTH(Dat_01!B$2),Dat_01!A203)</f>
        <v>44463</v>
      </c>
      <c r="C179" s="210">
        <f>Dat_01!A203</f>
        <v>24</v>
      </c>
      <c r="D179" s="221">
        <f>Dat_01!W203</f>
        <v>120.76299400000001</v>
      </c>
      <c r="E179" s="222">
        <f>Dat_01!V203</f>
        <v>19.142194436190167</v>
      </c>
    </row>
    <row r="180" spans="2:27">
      <c r="B180" s="220">
        <f>DATE(YEAR(Dat_01!B$2),MONTH(Dat_01!B$2),Dat_01!A204)</f>
        <v>44464</v>
      </c>
      <c r="C180" s="210">
        <f>Dat_01!A204</f>
        <v>25</v>
      </c>
      <c r="D180" s="221">
        <f>Dat_01!W204</f>
        <v>118.209121</v>
      </c>
      <c r="E180" s="222">
        <f>Dat_01!V204</f>
        <v>19.918079755377306</v>
      </c>
    </row>
    <row r="181" spans="2:27">
      <c r="B181" s="220">
        <f>DATE(YEAR(Dat_01!B$2),MONTH(Dat_01!B$2),Dat_01!A205)</f>
        <v>44465</v>
      </c>
      <c r="C181" s="210">
        <f>Dat_01!A205</f>
        <v>26</v>
      </c>
      <c r="D181" s="221">
        <f>Dat_01!W205</f>
        <v>100.700209</v>
      </c>
      <c r="E181" s="222">
        <f>Dat_01!V205</f>
        <v>17.159544446349535</v>
      </c>
    </row>
    <row r="182" spans="2:27">
      <c r="B182" s="220">
        <f>DATE(YEAR(Dat_01!B$2),MONTH(Dat_01!B$2),Dat_01!A206)</f>
        <v>44466</v>
      </c>
      <c r="C182" s="210">
        <f>Dat_01!A206</f>
        <v>27</v>
      </c>
      <c r="D182" s="221">
        <f>Dat_01!W206</f>
        <v>77.713066000000012</v>
      </c>
      <c r="E182" s="222">
        <f>Dat_01!V206</f>
        <v>12.119985895070181</v>
      </c>
    </row>
    <row r="183" spans="2:27">
      <c r="B183" s="220">
        <f>DATE(YEAR(Dat_01!B$2),MONTH(Dat_01!B$2),Dat_01!A207)</f>
        <v>44467</v>
      </c>
      <c r="C183" s="210">
        <f>Dat_01!A207</f>
        <v>28</v>
      </c>
      <c r="D183" s="221">
        <f>Dat_01!W207</f>
        <v>58.143307</v>
      </c>
      <c r="E183" s="222">
        <f>Dat_01!V207</f>
        <v>9.1989058468471931</v>
      </c>
    </row>
    <row r="184" spans="2:27">
      <c r="B184" s="220">
        <f>DATE(YEAR(Dat_01!B$2),MONTH(Dat_01!B$2),Dat_01!A208)</f>
        <v>44468</v>
      </c>
      <c r="C184" s="210">
        <f>Dat_01!A208</f>
        <v>29</v>
      </c>
      <c r="D184" s="221">
        <f>Dat_01!W208</f>
        <v>121.052795</v>
      </c>
      <c r="E184" s="222">
        <f>Dat_01!V208</f>
        <v>18.924673063849522</v>
      </c>
    </row>
    <row r="185" spans="2:27">
      <c r="B185" s="220">
        <f>DATE(YEAR(Dat_01!B$2),MONTH(Dat_01!B$2),Dat_01!A209)</f>
        <v>44469</v>
      </c>
      <c r="C185" s="210">
        <f>Dat_01!A209</f>
        <v>30</v>
      </c>
      <c r="D185" s="221">
        <f>Dat_01!W209</f>
        <v>83.123577000000012</v>
      </c>
      <c r="E185" s="222">
        <f>Dat_01!V209</f>
        <v>12.878265774568465</v>
      </c>
    </row>
    <row r="186" spans="2:27">
      <c r="B186" s="220">
        <f>DATE(YEAR(Dat_01!B$2),MONTH(Dat_01!B$2),Dat_01!A210)</f>
        <v>44439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224.050218</v>
      </c>
      <c r="E189" s="225">
        <f>VLOOKUP(D189,D156:E186,2)</f>
        <v>12.878265774568465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84" zoomScaleNormal="100" workbookViewId="0">
      <selection activeCell="Q262" sqref="Q262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11" t="s">
        <v>232</v>
      </c>
      <c r="B2" s="311" t="s">
        <v>233</v>
      </c>
    </row>
    <row r="4" spans="1:13">
      <c r="A4" s="308" t="s">
        <v>30</v>
      </c>
      <c r="B4" s="349" t="s">
        <v>232</v>
      </c>
      <c r="C4" s="350"/>
      <c r="D4" s="350"/>
      <c r="E4" s="350"/>
      <c r="F4" s="350"/>
      <c r="G4" s="350"/>
      <c r="H4" s="350"/>
      <c r="I4" s="350"/>
      <c r="J4" s="350"/>
      <c r="L4" s="302" t="s">
        <v>106</v>
      </c>
      <c r="M4" s="303" t="s">
        <v>225</v>
      </c>
    </row>
    <row r="5" spans="1:13">
      <c r="A5" s="308" t="s">
        <v>105</v>
      </c>
      <c r="B5" s="341" t="s">
        <v>98</v>
      </c>
      <c r="C5" s="342"/>
      <c r="D5" s="342"/>
      <c r="E5" s="342"/>
      <c r="F5" s="342"/>
      <c r="G5" s="342"/>
      <c r="H5" s="342"/>
      <c r="I5" s="342"/>
      <c r="J5" s="342"/>
      <c r="L5" s="302" t="s">
        <v>30</v>
      </c>
      <c r="M5" s="303" t="s">
        <v>235</v>
      </c>
    </row>
    <row r="6" spans="1:13">
      <c r="A6" s="308" t="s">
        <v>106</v>
      </c>
      <c r="B6" s="309" t="s">
        <v>99</v>
      </c>
      <c r="C6" s="309" t="s">
        <v>171</v>
      </c>
      <c r="D6" s="309" t="s">
        <v>100</v>
      </c>
      <c r="E6" s="309" t="s">
        <v>101</v>
      </c>
      <c r="F6" s="309" t="s">
        <v>159</v>
      </c>
      <c r="G6" s="309" t="s">
        <v>102</v>
      </c>
      <c r="H6" s="309" t="s">
        <v>103</v>
      </c>
      <c r="I6" s="309" t="s">
        <v>172</v>
      </c>
      <c r="J6" s="309" t="s">
        <v>104</v>
      </c>
      <c r="L6" s="302" t="s">
        <v>226</v>
      </c>
      <c r="M6" s="304"/>
    </row>
    <row r="7" spans="1:13">
      <c r="A7" s="308" t="s">
        <v>107</v>
      </c>
      <c r="B7" s="310"/>
      <c r="C7" s="310"/>
      <c r="D7" s="310"/>
      <c r="E7" s="310"/>
      <c r="F7" s="310"/>
      <c r="G7" s="310"/>
      <c r="H7" s="310"/>
      <c r="I7" s="310"/>
      <c r="J7" s="310"/>
      <c r="L7" s="265" t="s">
        <v>4</v>
      </c>
      <c r="M7" s="305">
        <v>4642.5150000000003</v>
      </c>
    </row>
    <row r="8" spans="1:13">
      <c r="A8" s="311" t="s">
        <v>2</v>
      </c>
      <c r="B8" s="312">
        <v>1392207.3707399999</v>
      </c>
      <c r="C8" s="312">
        <v>1678327.4013720001</v>
      </c>
      <c r="D8" s="313">
        <v>-0.17047927030000001</v>
      </c>
      <c r="E8" s="312">
        <v>24838944.276930001</v>
      </c>
      <c r="F8" s="312">
        <v>23066701.968139999</v>
      </c>
      <c r="G8" s="313">
        <v>7.6831196399999996E-2</v>
      </c>
      <c r="H8" s="312">
        <v>32383014.979715999</v>
      </c>
      <c r="I8" s="312">
        <v>31490678.296675999</v>
      </c>
      <c r="J8" s="313">
        <v>2.8336534199999999E-2</v>
      </c>
      <c r="L8" s="265" t="s">
        <v>131</v>
      </c>
      <c r="M8" s="305">
        <v>24561.845000000001</v>
      </c>
    </row>
    <row r="9" spans="1:13">
      <c r="A9" s="311" t="s">
        <v>81</v>
      </c>
      <c r="B9" s="312">
        <v>118239.870456</v>
      </c>
      <c r="C9" s="312">
        <v>187668.03134799999</v>
      </c>
      <c r="D9" s="313">
        <v>-0.3699519859</v>
      </c>
      <c r="E9" s="312">
        <v>1943821.4167820001</v>
      </c>
      <c r="F9" s="312">
        <v>1991210.6470679999</v>
      </c>
      <c r="G9" s="313">
        <v>-2.3799204899999999E-2</v>
      </c>
      <c r="H9" s="312">
        <v>2700711.4879319998</v>
      </c>
      <c r="I9" s="312">
        <v>2601290.4383220002</v>
      </c>
      <c r="J9" s="313">
        <v>3.8219895800000001E-2</v>
      </c>
      <c r="L9" s="265" t="s">
        <v>9</v>
      </c>
      <c r="M9" s="305">
        <v>5596.8024999999998</v>
      </c>
    </row>
    <row r="10" spans="1:13">
      <c r="A10" s="311" t="s">
        <v>3</v>
      </c>
      <c r="B10" s="312">
        <v>4890506.5250000004</v>
      </c>
      <c r="C10" s="312">
        <v>4871209.4019999998</v>
      </c>
      <c r="D10" s="313">
        <v>3.9614645000000002E-3</v>
      </c>
      <c r="E10" s="312">
        <v>41806526.270000003</v>
      </c>
      <c r="F10" s="312">
        <v>41317864.127999999</v>
      </c>
      <c r="G10" s="313">
        <v>1.1826897499999999E-2</v>
      </c>
      <c r="H10" s="312">
        <v>56245437.053000003</v>
      </c>
      <c r="I10" s="312">
        <v>53625949.398000002</v>
      </c>
      <c r="J10" s="313">
        <v>4.8847389800000002E-2</v>
      </c>
      <c r="L10" s="265" t="s">
        <v>5</v>
      </c>
      <c r="M10" s="305">
        <v>27478.673500000001</v>
      </c>
    </row>
    <row r="11" spans="1:13">
      <c r="A11" s="311" t="s">
        <v>4</v>
      </c>
      <c r="B11" s="312">
        <v>477932.25</v>
      </c>
      <c r="C11" s="312">
        <v>282554.94</v>
      </c>
      <c r="D11" s="313">
        <v>0.69146662240000001</v>
      </c>
      <c r="E11" s="312">
        <v>3115617.81</v>
      </c>
      <c r="F11" s="312">
        <v>4006588.5869999998</v>
      </c>
      <c r="G11" s="313">
        <v>-0.2223764077</v>
      </c>
      <c r="H11" s="312">
        <v>3909084.9419999998</v>
      </c>
      <c r="I11" s="312">
        <v>5604137.3779999996</v>
      </c>
      <c r="J11" s="313">
        <v>-0.30246446900000001</v>
      </c>
      <c r="L11" s="265" t="s">
        <v>95</v>
      </c>
      <c r="M11" s="305">
        <v>7.95</v>
      </c>
    </row>
    <row r="12" spans="1:13">
      <c r="A12" s="311" t="s">
        <v>95</v>
      </c>
      <c r="B12" s="312">
        <v>0</v>
      </c>
      <c r="C12" s="312">
        <v>0</v>
      </c>
      <c r="D12" s="313">
        <v>0</v>
      </c>
      <c r="E12" s="312">
        <v>-1E-3</v>
      </c>
      <c r="F12" s="312">
        <v>0</v>
      </c>
      <c r="G12" s="313">
        <v>0</v>
      </c>
      <c r="H12" s="312">
        <v>-1E-3</v>
      </c>
      <c r="I12" s="312">
        <v>-1E-3</v>
      </c>
      <c r="J12" s="313">
        <v>0</v>
      </c>
      <c r="L12" s="265" t="s">
        <v>2</v>
      </c>
      <c r="M12" s="305">
        <v>17091.654030000002</v>
      </c>
    </row>
    <row r="13" spans="1:13">
      <c r="A13" s="311" t="s">
        <v>11</v>
      </c>
      <c r="B13" s="312">
        <v>4296375.8949999996</v>
      </c>
      <c r="C13" s="312">
        <v>4546475.7390000001</v>
      </c>
      <c r="D13" s="313">
        <v>-5.5009607100000003E-2</v>
      </c>
      <c r="E13" s="312">
        <v>23577913.862</v>
      </c>
      <c r="F13" s="312">
        <v>29779374.787999999</v>
      </c>
      <c r="G13" s="313">
        <v>-0.20824684769999999</v>
      </c>
      <c r="H13" s="312">
        <v>32155092.252999999</v>
      </c>
      <c r="I13" s="312">
        <v>42020192.57</v>
      </c>
      <c r="J13" s="313">
        <v>-0.23477046900000001</v>
      </c>
      <c r="L13" s="265" t="s">
        <v>3</v>
      </c>
      <c r="M13" s="305">
        <v>7117.29</v>
      </c>
    </row>
    <row r="14" spans="1:13">
      <c r="A14" s="311" t="s">
        <v>5</v>
      </c>
      <c r="B14" s="312">
        <v>3123196.2790000001</v>
      </c>
      <c r="C14" s="312">
        <v>3962243.0210000002</v>
      </c>
      <c r="D14" s="313">
        <v>-0.2117605451</v>
      </c>
      <c r="E14" s="312">
        <v>41813023.891999997</v>
      </c>
      <c r="F14" s="312">
        <v>36592786.700000003</v>
      </c>
      <c r="G14" s="313">
        <v>0.1426575471</v>
      </c>
      <c r="H14" s="312">
        <v>59015555.677000001</v>
      </c>
      <c r="I14" s="312">
        <v>53053950.156000003</v>
      </c>
      <c r="J14" s="313">
        <v>0.11236873980000001</v>
      </c>
      <c r="L14" s="265" t="s">
        <v>136</v>
      </c>
      <c r="M14" s="305">
        <v>1084.7850000000001</v>
      </c>
    </row>
    <row r="15" spans="1:13">
      <c r="A15" s="311" t="s">
        <v>6</v>
      </c>
      <c r="B15" s="312">
        <v>1866777.8959999999</v>
      </c>
      <c r="C15" s="312">
        <v>1426722.0430000001</v>
      </c>
      <c r="D15" s="313">
        <v>0.30843839220000002</v>
      </c>
      <c r="E15" s="312">
        <v>16314990.798</v>
      </c>
      <c r="F15" s="312">
        <v>12120917.926000001</v>
      </c>
      <c r="G15" s="313">
        <v>0.34601941019999999</v>
      </c>
      <c r="H15" s="312">
        <v>19106472.096000001</v>
      </c>
      <c r="I15" s="312">
        <v>13881541.566</v>
      </c>
      <c r="J15" s="313">
        <v>0.37639411340000001</v>
      </c>
      <c r="L15" s="265" t="s">
        <v>224</v>
      </c>
      <c r="M15" s="305">
        <v>402.37650000000002</v>
      </c>
    </row>
    <row r="16" spans="1:13">
      <c r="A16" s="311" t="s">
        <v>7</v>
      </c>
      <c r="B16" s="312">
        <v>447444.65700000001</v>
      </c>
      <c r="C16" s="312">
        <v>452159.23300000001</v>
      </c>
      <c r="D16" s="313">
        <v>-1.04268047E-2</v>
      </c>
      <c r="E16" s="312">
        <v>4100879.8489999999</v>
      </c>
      <c r="F16" s="312">
        <v>4013761.2390000001</v>
      </c>
      <c r="G16" s="313">
        <v>2.17049806E-2</v>
      </c>
      <c r="H16" s="312">
        <v>4625428.74</v>
      </c>
      <c r="I16" s="312">
        <v>4455795.2829999998</v>
      </c>
      <c r="J16" s="313">
        <v>3.8070298599999997E-2</v>
      </c>
      <c r="L16" s="265" t="s">
        <v>135</v>
      </c>
      <c r="M16" s="305">
        <v>131.6275</v>
      </c>
    </row>
    <row r="17" spans="1:13">
      <c r="A17" s="311" t="s">
        <v>8</v>
      </c>
      <c r="B17" s="312">
        <v>395186.80599999998</v>
      </c>
      <c r="C17" s="312">
        <v>394860.22600000002</v>
      </c>
      <c r="D17" s="313">
        <v>8.2707750000000002E-4</v>
      </c>
      <c r="E17" s="312">
        <v>3407319.798</v>
      </c>
      <c r="F17" s="312">
        <v>3240552.4190000002</v>
      </c>
      <c r="G17" s="313">
        <v>5.1462638900000003E-2</v>
      </c>
      <c r="H17" s="312">
        <v>4637057.0650000004</v>
      </c>
      <c r="I17" s="312">
        <v>4159617.1290000002</v>
      </c>
      <c r="J17" s="313">
        <v>0.1147797793</v>
      </c>
      <c r="L17" s="265" t="s">
        <v>132</v>
      </c>
      <c r="M17" s="305">
        <v>13137.638406</v>
      </c>
    </row>
    <row r="18" spans="1:13">
      <c r="A18" s="311" t="s">
        <v>9</v>
      </c>
      <c r="B18" s="312">
        <v>2154501.0320000001</v>
      </c>
      <c r="C18" s="312">
        <v>2304531.5159999998</v>
      </c>
      <c r="D18" s="313">
        <v>-6.5102378899999994E-2</v>
      </c>
      <c r="E18" s="312">
        <v>19546928.730999999</v>
      </c>
      <c r="F18" s="312">
        <v>19896474.728999998</v>
      </c>
      <c r="G18" s="313">
        <v>-1.7568237699999999E-2</v>
      </c>
      <c r="H18" s="312">
        <v>26624890.704</v>
      </c>
      <c r="I18" s="312">
        <v>27200449.109000001</v>
      </c>
      <c r="J18" s="313">
        <v>-2.1159886100000001E-2</v>
      </c>
      <c r="L18" s="265" t="s">
        <v>133</v>
      </c>
      <c r="M18" s="305">
        <v>2304.0129999999999</v>
      </c>
    </row>
    <row r="19" spans="1:13">
      <c r="A19" s="311" t="s">
        <v>69</v>
      </c>
      <c r="B19" s="312">
        <v>55639.892500000002</v>
      </c>
      <c r="C19" s="312">
        <v>58507.686500000003</v>
      </c>
      <c r="D19" s="313">
        <v>-4.9015679299999997E-2</v>
      </c>
      <c r="E19" s="312">
        <v>550315.48199999996</v>
      </c>
      <c r="F19" s="312">
        <v>406916.41450000001</v>
      </c>
      <c r="G19" s="313">
        <v>0.35240423440000002</v>
      </c>
      <c r="H19" s="312">
        <v>749523.86800000002</v>
      </c>
      <c r="I19" s="312">
        <v>594379.99300000002</v>
      </c>
      <c r="J19" s="313">
        <v>0.26101799660000002</v>
      </c>
      <c r="L19" s="265" t="s">
        <v>81</v>
      </c>
      <c r="M19" s="305">
        <v>3331.4</v>
      </c>
    </row>
    <row r="20" spans="1:13">
      <c r="A20" s="311" t="s">
        <v>70</v>
      </c>
      <c r="B20" s="312">
        <v>167381.02849999999</v>
      </c>
      <c r="C20" s="312">
        <v>173895.0895</v>
      </c>
      <c r="D20" s="313">
        <v>-3.7459717900000002E-2</v>
      </c>
      <c r="E20" s="312">
        <v>1588125.3289999999</v>
      </c>
      <c r="F20" s="312">
        <v>1378223.3635</v>
      </c>
      <c r="G20" s="313">
        <v>0.15229894590000001</v>
      </c>
      <c r="H20" s="312">
        <v>2105691.1260000002</v>
      </c>
      <c r="I20" s="312">
        <v>1853147.6029999999</v>
      </c>
      <c r="J20" s="313">
        <v>0.1362781478</v>
      </c>
      <c r="L20" s="306" t="s">
        <v>15</v>
      </c>
      <c r="M20" s="307">
        <v>106888.57043599999</v>
      </c>
    </row>
    <row r="21" spans="1:13">
      <c r="A21" s="314" t="s">
        <v>10</v>
      </c>
      <c r="B21" s="315">
        <v>19385389.502195999</v>
      </c>
      <c r="C21" s="315">
        <v>20339154.32872</v>
      </c>
      <c r="D21" s="316">
        <v>-4.6893042400000001E-2</v>
      </c>
      <c r="E21" s="315">
        <v>182604407.51371199</v>
      </c>
      <c r="F21" s="315">
        <v>177811372.909208</v>
      </c>
      <c r="G21" s="316">
        <v>2.69557258E-2</v>
      </c>
      <c r="H21" s="315">
        <v>244257959.990648</v>
      </c>
      <c r="I21" s="315">
        <v>240541128.918998</v>
      </c>
      <c r="J21" s="316">
        <v>1.5451956500000001E-2</v>
      </c>
    </row>
    <row r="22" spans="1:13">
      <c r="A22" s="311" t="s">
        <v>122</v>
      </c>
      <c r="B22" s="312">
        <v>-182660.00700000001</v>
      </c>
      <c r="C22" s="312">
        <v>-221760.98604799999</v>
      </c>
      <c r="D22" s="313">
        <v>-0.17632036970000001</v>
      </c>
      <c r="E22" s="312">
        <v>-3256553.1161259999</v>
      </c>
      <c r="F22" s="312">
        <v>-3436575.7734130002</v>
      </c>
      <c r="G22" s="313">
        <v>-5.2384311900000001E-2</v>
      </c>
      <c r="H22" s="312">
        <v>-4441305.6671259999</v>
      </c>
      <c r="I22" s="312">
        <v>-4670155.6994129997</v>
      </c>
      <c r="J22" s="313">
        <v>-4.9002655800000003E-2</v>
      </c>
    </row>
    <row r="23" spans="1:13">
      <c r="A23" s="311" t="s">
        <v>97</v>
      </c>
      <c r="B23" s="312">
        <v>-37549.396999999997</v>
      </c>
      <c r="C23" s="312">
        <v>-116274.961</v>
      </c>
      <c r="D23" s="313">
        <v>-0.67706377470000001</v>
      </c>
      <c r="E23" s="312">
        <v>-791236.90099999995</v>
      </c>
      <c r="F23" s="312">
        <v>-1086004.8</v>
      </c>
      <c r="G23" s="313">
        <v>-0.27142412170000002</v>
      </c>
      <c r="H23" s="312">
        <v>-1131769.6259999999</v>
      </c>
      <c r="I23" s="312">
        <v>-1434681.4820000001</v>
      </c>
      <c r="J23" s="313">
        <v>-0.2111352658</v>
      </c>
    </row>
    <row r="24" spans="1:13">
      <c r="A24" s="311" t="s">
        <v>123</v>
      </c>
      <c r="B24" s="312">
        <v>479900.48</v>
      </c>
      <c r="C24" s="312">
        <v>-625627.28200000001</v>
      </c>
      <c r="D24" s="313">
        <v>-1.7670708963999999</v>
      </c>
      <c r="E24" s="312">
        <v>3554494.4380000001</v>
      </c>
      <c r="F24" s="312">
        <v>2880803.6630000002</v>
      </c>
      <c r="G24" s="313">
        <v>0.23385515079999999</v>
      </c>
      <c r="H24" s="312">
        <v>3953275.662</v>
      </c>
      <c r="I24" s="312">
        <v>3613158.3909999998</v>
      </c>
      <c r="J24" s="313">
        <v>9.4132953599999999E-2</v>
      </c>
    </row>
    <row r="25" spans="1:13">
      <c r="A25" s="314" t="s">
        <v>124</v>
      </c>
      <c r="B25" s="315">
        <v>19645080.578196</v>
      </c>
      <c r="C25" s="315">
        <v>19375491.099672001</v>
      </c>
      <c r="D25" s="316">
        <v>1.3913943E-2</v>
      </c>
      <c r="E25" s="315">
        <v>182111111.93458599</v>
      </c>
      <c r="F25" s="315">
        <v>176169595.998795</v>
      </c>
      <c r="G25" s="316">
        <v>3.3726114299999999E-2</v>
      </c>
      <c r="H25" s="315">
        <v>242638160.35952201</v>
      </c>
      <c r="I25" s="315">
        <v>238049450.12858501</v>
      </c>
      <c r="J25" s="316">
        <v>1.9276290000000001E-2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3.1167036722552952</v>
      </c>
      <c r="D33" s="107"/>
      <c r="E33" s="167" t="s">
        <v>16</v>
      </c>
      <c r="F33" s="168">
        <f>SUM(C33:C39)</f>
        <v>42.71755044880053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6.6586071560022484</v>
      </c>
      <c r="D34" s="107"/>
      <c r="E34" s="171" t="s">
        <v>17</v>
      </c>
      <c r="F34" s="172">
        <f>SUM(C40:C45)</f>
        <v>57.282449551199463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4.3433221915711995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22.9789255294667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5596.8024999999998</v>
      </c>
      <c r="C37" s="109">
        <f t="shared" si="1"/>
        <v>5.2361094148518985</v>
      </c>
      <c r="D37" s="107"/>
      <c r="E37" s="165"/>
      <c r="F37" s="165"/>
      <c r="I37" s="44"/>
    </row>
    <row r="38" spans="1:9">
      <c r="A38" s="108" t="s">
        <v>227</v>
      </c>
      <c r="B38" s="127">
        <f t="shared" si="0"/>
        <v>7.95</v>
      </c>
      <c r="C38" s="109">
        <f t="shared" si="1"/>
        <v>7.4376520965448757E-3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0.37644483255665268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0.12314459765257364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27478.673500000001</v>
      </c>
      <c r="C41" s="109">
        <f t="shared" si="1"/>
        <v>25.707775291515361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17091.654030000002</v>
      </c>
      <c r="C42" s="109">
        <f t="shared" si="1"/>
        <v>15.990160557188576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13137.638406</v>
      </c>
      <c r="C43" s="109">
        <f t="shared" si="1"/>
        <v>12.290966520004323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2.1555279396121567</v>
      </c>
      <c r="D44" s="107"/>
      <c r="E44" s="165"/>
      <c r="F44" s="165"/>
    </row>
    <row r="45" spans="1:9">
      <c r="A45" s="108" t="s">
        <v>8</v>
      </c>
      <c r="B45" s="127">
        <f t="shared" si="0"/>
        <v>1084.7850000000001</v>
      </c>
      <c r="C45" s="109">
        <f t="shared" si="1"/>
        <v>1.0148746452264694</v>
      </c>
      <c r="E45" s="165"/>
      <c r="F45" s="165"/>
    </row>
    <row r="46" spans="1:9">
      <c r="A46" s="110" t="s">
        <v>15</v>
      </c>
      <c r="B46" s="128">
        <f>SUM(B33:B45)</f>
        <v>106888.57043600001</v>
      </c>
      <c r="C46" s="111">
        <f>SUM(C33:C45)</f>
        <v>99.999999999999986</v>
      </c>
      <c r="D46" s="107" t="str">
        <f>CONCATENATE(TEXT(B46,"#.##0")," MW")</f>
        <v>106.889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118.23987045600001</v>
      </c>
      <c r="C50" s="109">
        <f t="shared" ref="C50:C61" si="2">B50/$B$62*100</f>
        <v>0.60994322782426247</v>
      </c>
      <c r="D50" s="129"/>
      <c r="E50" s="167" t="s">
        <v>16</v>
      </c>
      <c r="F50" s="168">
        <f>SUM(C50:C55)</f>
        <v>62.443607850049837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4890.5065250000007</v>
      </c>
      <c r="C51" s="109">
        <f t="shared" si="2"/>
        <v>25.227796039104593</v>
      </c>
      <c r="D51" s="129"/>
      <c r="E51" s="171" t="s">
        <v>17</v>
      </c>
      <c r="F51" s="172">
        <f>SUM(C56:C61)</f>
        <v>37.556392149950156</v>
      </c>
      <c r="J51" s="44"/>
    </row>
    <row r="52" spans="1:10">
      <c r="A52" s="108" t="s">
        <v>4</v>
      </c>
      <c r="B52" s="173">
        <f t="shared" si="3"/>
        <v>477.93225000000001</v>
      </c>
      <c r="C52" s="109">
        <f t="shared" si="2"/>
        <v>2.4654250560498627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4296.3758949999992</v>
      </c>
      <c r="C53" s="109">
        <f t="shared" si="2"/>
        <v>22.162958833059818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2154.5010320000001</v>
      </c>
      <c r="C54" s="109">
        <f t="shared" si="2"/>
        <v>11.114045615415339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167.38102849999999</v>
      </c>
      <c r="C55" s="109">
        <f t="shared" si="2"/>
        <v>0.86343907859596447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55.639892500000002</v>
      </c>
      <c r="C56" s="109">
        <f t="shared" si="2"/>
        <v>0.28701972943951964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3123.1962790000002</v>
      </c>
      <c r="C57" s="109">
        <f t="shared" si="2"/>
        <v>16.111083445840492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1392.20737074</v>
      </c>
      <c r="C58" s="109">
        <f t="shared" si="2"/>
        <v>7.181735350647914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1866.7778960000001</v>
      </c>
      <c r="C59" s="109">
        <f t="shared" si="2"/>
        <v>9.6298188684242287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447.44465700000001</v>
      </c>
      <c r="C60" s="109">
        <f t="shared" si="2"/>
        <v>2.3081540711333806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395.18680599999999</v>
      </c>
      <c r="C61" s="109">
        <f t="shared" si="2"/>
        <v>2.0385806844646206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19385.389502196002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17" t="s">
        <v>237</v>
      </c>
      <c r="G66" s="174" t="s">
        <v>31</v>
      </c>
      <c r="H66" s="317" t="s">
        <v>203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11" t="s">
        <v>2</v>
      </c>
      <c r="B69" s="177">
        <v>45.765746376000003</v>
      </c>
      <c r="G69" s="311" t="s">
        <v>2</v>
      </c>
      <c r="H69" s="177">
        <v>120.970156024</v>
      </c>
    </row>
    <row r="70" spans="1:8">
      <c r="A70" s="311" t="s">
        <v>81</v>
      </c>
      <c r="B70" s="177">
        <v>1.800252736</v>
      </c>
      <c r="G70" s="311" t="s">
        <v>81</v>
      </c>
      <c r="H70" s="177">
        <v>5.3139561840000002</v>
      </c>
    </row>
    <row r="71" spans="1:8">
      <c r="A71" s="311" t="s">
        <v>3</v>
      </c>
      <c r="B71" s="177">
        <v>166.05932799999999</v>
      </c>
      <c r="G71" s="311" t="s">
        <v>3</v>
      </c>
      <c r="H71" s="177">
        <v>133.41947400000001</v>
      </c>
    </row>
    <row r="72" spans="1:8">
      <c r="A72" s="311" t="s">
        <v>4</v>
      </c>
      <c r="B72" s="177">
        <v>11.661546</v>
      </c>
      <c r="G72" s="311" t="s">
        <v>4</v>
      </c>
      <c r="H72" s="177">
        <v>-0.457173</v>
      </c>
    </row>
    <row r="73" spans="1:8">
      <c r="A73" s="311" t="s">
        <v>95</v>
      </c>
      <c r="B73" s="177">
        <v>0</v>
      </c>
      <c r="G73" s="311" t="s">
        <v>95</v>
      </c>
      <c r="H73" s="177">
        <v>0</v>
      </c>
    </row>
    <row r="74" spans="1:8">
      <c r="A74" s="311" t="s">
        <v>11</v>
      </c>
      <c r="B74" s="177">
        <v>113.42420199999999</v>
      </c>
      <c r="G74" s="311" t="s">
        <v>11</v>
      </c>
      <c r="H74" s="177">
        <v>22.139078999999999</v>
      </c>
    </row>
    <row r="75" spans="1:8">
      <c r="A75" s="311" t="s">
        <v>5</v>
      </c>
      <c r="B75" s="177">
        <v>224.050218</v>
      </c>
      <c r="G75" s="311" t="s">
        <v>5</v>
      </c>
      <c r="H75" s="177">
        <v>378.94424199999997</v>
      </c>
    </row>
    <row r="76" spans="1:8">
      <c r="A76" s="311" t="s">
        <v>6</v>
      </c>
      <c r="B76" s="177">
        <v>63.786403</v>
      </c>
      <c r="G76" s="311" t="s">
        <v>6</v>
      </c>
      <c r="H76" s="177">
        <v>28.216242000000001</v>
      </c>
    </row>
    <row r="77" spans="1:8">
      <c r="A77" s="311" t="s">
        <v>7</v>
      </c>
      <c r="B77" s="177">
        <v>13.448430999999999</v>
      </c>
      <c r="G77" s="311" t="s">
        <v>7</v>
      </c>
      <c r="H77" s="177">
        <v>1.316433</v>
      </c>
    </row>
    <row r="78" spans="1:8">
      <c r="A78" s="311" t="s">
        <v>8</v>
      </c>
      <c r="B78" s="177">
        <v>12.165362</v>
      </c>
      <c r="G78" s="311" t="s">
        <v>8</v>
      </c>
      <c r="H78" s="177">
        <v>13.719701000000001</v>
      </c>
    </row>
    <row r="79" spans="1:8">
      <c r="A79" s="311" t="s">
        <v>9</v>
      </c>
      <c r="B79" s="177">
        <v>70.336956000000001</v>
      </c>
      <c r="G79" s="311" t="s">
        <v>9</v>
      </c>
      <c r="H79" s="177">
        <v>56.536898000000001</v>
      </c>
    </row>
    <row r="80" spans="1:8">
      <c r="A80" s="311" t="s">
        <v>69</v>
      </c>
      <c r="B80" s="177">
        <v>1.8593705</v>
      </c>
      <c r="G80" s="311" t="s">
        <v>69</v>
      </c>
      <c r="H80" s="177">
        <v>1.747736</v>
      </c>
    </row>
    <row r="81" spans="1:11">
      <c r="A81" s="311" t="s">
        <v>70</v>
      </c>
      <c r="B81" s="177">
        <v>6.0124104999999997</v>
      </c>
      <c r="G81" s="311" t="s">
        <v>70</v>
      </c>
      <c r="H81" s="177">
        <v>5.0778590000000001</v>
      </c>
    </row>
    <row r="82" spans="1:11">
      <c r="A82" s="314" t="s">
        <v>10</v>
      </c>
      <c r="B82" s="178">
        <v>730.37022611199995</v>
      </c>
      <c r="G82" s="314" t="s">
        <v>10</v>
      </c>
      <c r="H82" s="178">
        <v>766.94460320799999</v>
      </c>
    </row>
    <row r="83" spans="1:11">
      <c r="A83" s="311" t="s">
        <v>122</v>
      </c>
      <c r="B83" s="177">
        <v>-6.970955</v>
      </c>
      <c r="G83" s="311" t="s">
        <v>122</v>
      </c>
      <c r="H83" s="177">
        <v>-65.728476000000001</v>
      </c>
    </row>
    <row r="84" spans="1:11">
      <c r="A84" s="311" t="s">
        <v>97</v>
      </c>
      <c r="B84" s="177">
        <v>-1.220269</v>
      </c>
      <c r="G84" s="311" t="s">
        <v>97</v>
      </c>
      <c r="H84" s="177">
        <v>-3.9743140000000001</v>
      </c>
    </row>
    <row r="85" spans="1:11">
      <c r="A85" s="311" t="s">
        <v>123</v>
      </c>
      <c r="B85" s="177">
        <v>6.5571729999999997</v>
      </c>
      <c r="G85" s="311" t="s">
        <v>123</v>
      </c>
      <c r="H85" s="177">
        <v>-58.300165</v>
      </c>
    </row>
    <row r="86" spans="1:11">
      <c r="A86" s="314" t="s">
        <v>124</v>
      </c>
      <c r="B86" s="178">
        <v>728.73617511199996</v>
      </c>
      <c r="G86" s="314" t="s">
        <v>124</v>
      </c>
      <c r="H86" s="178">
        <v>638.94164820799995</v>
      </c>
    </row>
    <row r="91" spans="1:11">
      <c r="B91" s="184" t="str">
        <f>"Mes " &amp;B66</f>
        <v>Mes 07/09/2021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07/09/2021</v>
      </c>
      <c r="B92" s="164"/>
      <c r="C92" s="164"/>
      <c r="D92" s="164"/>
      <c r="E92" s="183" t="str">
        <f>CONCATENATE("Mes",CHAR(13),MID(A92,66,10))</f>
        <v>Mes_x000D_07/09/2021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0.2464849567572511</v>
      </c>
      <c r="C94" s="107"/>
      <c r="G94" s="108" t="s">
        <v>81</v>
      </c>
      <c r="H94" s="182">
        <f>VLOOKUP(G94,G$69:H$84,2,FALSE)/VLOOKUP("Generación",G$69:H$84,2,FALSE)*100</f>
        <v>0.69287353503403215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22.736322218936582</v>
      </c>
      <c r="C95" s="107"/>
      <c r="G95" s="108" t="s">
        <v>3</v>
      </c>
      <c r="H95" s="182">
        <f>VLOOKUP(G95,G$69:H$84,2,FALSE)/VLOOKUP("Generación",G$69:H$84,2,FALSE)*100</f>
        <v>17.396233501341406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1.5966622930507763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15.529685896944923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2.8866594676324682</v>
      </c>
      <c r="I97" s="107"/>
      <c r="J97" s="165"/>
      <c r="K97" s="165"/>
    </row>
    <row r="98" spans="1:11">
      <c r="A98" s="108" t="s">
        <v>9</v>
      </c>
      <c r="B98" s="182">
        <f t="shared" si="5"/>
        <v>9.6303153503979289</v>
      </c>
      <c r="C98" s="107"/>
      <c r="D98" s="107"/>
      <c r="E98" s="107"/>
      <c r="G98" s="108" t="s">
        <v>9</v>
      </c>
      <c r="H98" s="182">
        <f t="shared" si="6"/>
        <v>7.3717055656322099</v>
      </c>
      <c r="I98" s="107"/>
      <c r="J98" s="107"/>
      <c r="K98" s="107"/>
    </row>
    <row r="99" spans="1:11">
      <c r="A99" s="108" t="s">
        <v>70</v>
      </c>
      <c r="B99" s="182">
        <f t="shared" si="5"/>
        <v>0.82320038318183242</v>
      </c>
      <c r="C99" s="107"/>
      <c r="D99" s="107"/>
      <c r="E99" s="107"/>
      <c r="G99" s="108" t="s">
        <v>70</v>
      </c>
      <c r="H99" s="182">
        <f t="shared" si="6"/>
        <v>0.66208941020774792</v>
      </c>
      <c r="I99" s="107"/>
      <c r="J99" s="107"/>
      <c r="K99" s="107"/>
    </row>
    <row r="100" spans="1:11">
      <c r="A100" s="108" t="s">
        <v>69</v>
      </c>
      <c r="B100" s="182">
        <f t="shared" si="5"/>
        <v>0.25457917553649995</v>
      </c>
      <c r="C100" s="107"/>
      <c r="D100" s="107"/>
      <c r="E100" s="107"/>
      <c r="G100" s="108" t="s">
        <v>69</v>
      </c>
      <c r="H100" s="182">
        <f t="shared" si="6"/>
        <v>0.22788295173986686</v>
      </c>
      <c r="I100" s="107"/>
      <c r="J100" s="107"/>
      <c r="K100" s="107"/>
    </row>
    <row r="101" spans="1:11">
      <c r="A101" s="108" t="s">
        <v>5</v>
      </c>
      <c r="B101" s="182">
        <f t="shared" si="5"/>
        <v>30.676252945399042</v>
      </c>
      <c r="C101" s="107"/>
      <c r="D101" s="107"/>
      <c r="E101" s="107"/>
      <c r="G101" s="108" t="s">
        <v>5</v>
      </c>
      <c r="H101" s="182">
        <f t="shared" si="6"/>
        <v>49.409597566100615</v>
      </c>
      <c r="I101" s="107"/>
      <c r="J101" s="107"/>
      <c r="K101" s="107"/>
    </row>
    <row r="102" spans="1:11">
      <c r="A102" s="108" t="s">
        <v>2</v>
      </c>
      <c r="B102" s="182">
        <f t="shared" si="5"/>
        <v>6.2661024148843074</v>
      </c>
      <c r="C102" s="107"/>
      <c r="D102" s="107"/>
      <c r="E102" s="107"/>
      <c r="G102" s="108" t="s">
        <v>2</v>
      </c>
      <c r="H102" s="182">
        <f t="shared" si="6"/>
        <v>15.77299788250706</v>
      </c>
      <c r="I102" s="107"/>
      <c r="J102" s="107"/>
      <c r="K102" s="107"/>
    </row>
    <row r="103" spans="1:11">
      <c r="A103" s="108" t="s">
        <v>6</v>
      </c>
      <c r="B103" s="182">
        <f t="shared" si="5"/>
        <v>8.7334341844075336</v>
      </c>
      <c r="C103" s="107"/>
      <c r="D103" s="107"/>
      <c r="E103" s="107"/>
      <c r="G103" s="108" t="s">
        <v>6</v>
      </c>
      <c r="H103" s="182">
        <f t="shared" si="6"/>
        <v>3.6790456418855046</v>
      </c>
      <c r="I103" s="107"/>
      <c r="J103" s="107"/>
      <c r="K103" s="107"/>
    </row>
    <row r="104" spans="1:11">
      <c r="A104" s="108" t="s">
        <v>7</v>
      </c>
      <c r="B104" s="182">
        <f t="shared" si="5"/>
        <v>1.8413169813329338</v>
      </c>
      <c r="C104" s="107"/>
      <c r="D104" s="107"/>
      <c r="E104" s="107"/>
      <c r="G104" s="108" t="s">
        <v>7</v>
      </c>
      <c r="H104" s="182">
        <f t="shared" si="6"/>
        <v>0.17164642589485377</v>
      </c>
      <c r="I104" s="107"/>
      <c r="J104" s="107"/>
      <c r="K104" s="107"/>
    </row>
    <row r="105" spans="1:11">
      <c r="A105" s="108" t="s">
        <v>8</v>
      </c>
      <c r="B105" s="182">
        <f t="shared" si="5"/>
        <v>1.6656431991703999</v>
      </c>
      <c r="C105" s="164"/>
      <c r="D105" s="164"/>
      <c r="E105" s="164"/>
      <c r="G105" s="108" t="s">
        <v>8</v>
      </c>
      <c r="H105" s="182">
        <f t="shared" si="6"/>
        <v>1.7888777028500891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100.05960965082585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50.562671099269295</v>
      </c>
      <c r="G109" s="167" t="s">
        <v>16</v>
      </c>
      <c r="H109" s="168">
        <f>SUM(H94:H99)</f>
        <v>29.009561479847868</v>
      </c>
    </row>
    <row r="110" spans="1:11">
      <c r="A110" s="171" t="s">
        <v>17</v>
      </c>
      <c r="B110" s="172">
        <f>SUM(B100:B105)</f>
        <v>49.437328900730712</v>
      </c>
      <c r="G110" s="171" t="s">
        <v>17</v>
      </c>
      <c r="H110" s="172">
        <f>SUM(H100:H105)</f>
        <v>71.050048170977988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9" t="s">
        <v>98</v>
      </c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</row>
    <row r="116" spans="1:26">
      <c r="A116" s="174" t="s">
        <v>106</v>
      </c>
      <c r="B116" s="343" t="s">
        <v>109</v>
      </c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</row>
    <row r="117" spans="1:26">
      <c r="A117" s="179" t="s">
        <v>30</v>
      </c>
      <c r="B117" s="317" t="s">
        <v>178</v>
      </c>
      <c r="C117" s="317" t="s">
        <v>179</v>
      </c>
      <c r="D117" s="317" t="s">
        <v>180</v>
      </c>
      <c r="E117" s="317" t="s">
        <v>182</v>
      </c>
      <c r="F117" s="317" t="s">
        <v>185</v>
      </c>
      <c r="G117" s="317" t="s">
        <v>186</v>
      </c>
      <c r="H117" s="317" t="s">
        <v>188</v>
      </c>
      <c r="I117" s="317" t="s">
        <v>192</v>
      </c>
      <c r="J117" s="317" t="s">
        <v>193</v>
      </c>
      <c r="K117" s="317" t="s">
        <v>194</v>
      </c>
      <c r="L117" s="317" t="s">
        <v>195</v>
      </c>
      <c r="M117" s="317" t="s">
        <v>196</v>
      </c>
      <c r="N117" s="317" t="s">
        <v>197</v>
      </c>
      <c r="O117" s="317" t="s">
        <v>198</v>
      </c>
      <c r="P117" s="317" t="s">
        <v>199</v>
      </c>
      <c r="Q117" s="317" t="s">
        <v>200</v>
      </c>
      <c r="R117" s="317" t="s">
        <v>202</v>
      </c>
      <c r="S117" s="317" t="s">
        <v>204</v>
      </c>
      <c r="T117" s="317" t="s">
        <v>205</v>
      </c>
      <c r="U117" s="317" t="s">
        <v>207</v>
      </c>
      <c r="V117" s="317" t="s">
        <v>221</v>
      </c>
      <c r="W117" s="317" t="s">
        <v>223</v>
      </c>
      <c r="X117" s="317" t="s">
        <v>228</v>
      </c>
      <c r="Y117" s="317" t="s">
        <v>229</v>
      </c>
      <c r="Z117" s="317" t="s">
        <v>232</v>
      </c>
    </row>
    <row r="118" spans="1:26">
      <c r="A118" s="174" t="s">
        <v>107</v>
      </c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</row>
    <row r="119" spans="1:26">
      <c r="A119" s="311" t="s">
        <v>2</v>
      </c>
      <c r="B119" s="177">
        <v>1224.9819326679999</v>
      </c>
      <c r="C119" s="177">
        <v>1122.02994646</v>
      </c>
      <c r="D119" s="177">
        <v>2663.0366552999999</v>
      </c>
      <c r="E119" s="177">
        <v>4638.9097267759998</v>
      </c>
      <c r="F119" s="177">
        <v>3729.0395239300001</v>
      </c>
      <c r="G119" s="177">
        <v>2838.3377134379998</v>
      </c>
      <c r="H119" s="177">
        <v>3113.7620234460001</v>
      </c>
      <c r="I119" s="177">
        <v>2862.0862255259999</v>
      </c>
      <c r="J119" s="177">
        <v>2859.971565626</v>
      </c>
      <c r="K119" s="177">
        <v>2262.29681415</v>
      </c>
      <c r="L119" s="177">
        <v>1836.876773208</v>
      </c>
      <c r="M119" s="177">
        <v>1886.0039274440001</v>
      </c>
      <c r="N119" s="177">
        <v>1678.3274013719999</v>
      </c>
      <c r="O119" s="177">
        <v>1892.9846669420001</v>
      </c>
      <c r="P119" s="177">
        <v>2459.7328362960002</v>
      </c>
      <c r="Q119" s="177">
        <v>3191.3531995479998</v>
      </c>
      <c r="R119" s="177">
        <v>4055.5224591820001</v>
      </c>
      <c r="S119" s="177">
        <v>4515.8167889480001</v>
      </c>
      <c r="T119" s="177">
        <v>3713.0280040799998</v>
      </c>
      <c r="U119" s="177">
        <v>2742.9927041320002</v>
      </c>
      <c r="V119" s="177">
        <v>2156.5677169599999</v>
      </c>
      <c r="W119" s="177">
        <v>2179.4227844279999</v>
      </c>
      <c r="X119" s="177">
        <v>2203.5825142980002</v>
      </c>
      <c r="Y119" s="177">
        <v>1879.8039341619999</v>
      </c>
      <c r="Z119" s="177">
        <v>1392.20737074</v>
      </c>
    </row>
    <row r="120" spans="1:26">
      <c r="A120" s="311" t="s">
        <v>81</v>
      </c>
      <c r="B120" s="177">
        <v>104.26472390000001</v>
      </c>
      <c r="C120" s="177">
        <v>116.03074081</v>
      </c>
      <c r="D120" s="177">
        <v>172.10635217000001</v>
      </c>
      <c r="E120" s="177">
        <v>321.94269827400001</v>
      </c>
      <c r="F120" s="177">
        <v>233.77888705199999</v>
      </c>
      <c r="G120" s="177">
        <v>229.83714941400001</v>
      </c>
      <c r="H120" s="177">
        <v>303.52379088800001</v>
      </c>
      <c r="I120" s="177">
        <v>314.35098405000002</v>
      </c>
      <c r="J120" s="177">
        <v>243.63992918599999</v>
      </c>
      <c r="K120" s="177">
        <v>152.39581989600001</v>
      </c>
      <c r="L120" s="177">
        <v>167.16093403400001</v>
      </c>
      <c r="M120" s="177">
        <v>158.85512120000001</v>
      </c>
      <c r="N120" s="177">
        <v>187.668031348</v>
      </c>
      <c r="O120" s="177">
        <v>229.96202238999999</v>
      </c>
      <c r="P120" s="177">
        <v>205.997806862</v>
      </c>
      <c r="Q120" s="177">
        <v>320.93024189800002</v>
      </c>
      <c r="R120" s="177">
        <v>320.51078940799999</v>
      </c>
      <c r="S120" s="177">
        <v>401.29321896599998</v>
      </c>
      <c r="T120" s="177">
        <v>330.80630354200002</v>
      </c>
      <c r="U120" s="177">
        <v>153.67971897199999</v>
      </c>
      <c r="V120" s="177">
        <v>238.70894406400001</v>
      </c>
      <c r="W120" s="177">
        <v>105.70565758799999</v>
      </c>
      <c r="X120" s="177">
        <v>115.790175512</v>
      </c>
      <c r="Y120" s="177">
        <v>159.086738274</v>
      </c>
      <c r="Z120" s="177">
        <v>118.23987045600001</v>
      </c>
    </row>
    <row r="121" spans="1:26">
      <c r="A121" s="311" t="s">
        <v>3</v>
      </c>
      <c r="B121" s="177">
        <v>4995.5062809999999</v>
      </c>
      <c r="C121" s="177">
        <v>4530.6687620000002</v>
      </c>
      <c r="D121" s="177">
        <v>3427.5262950000001</v>
      </c>
      <c r="E121" s="177">
        <v>4349.8902129999997</v>
      </c>
      <c r="F121" s="177">
        <v>5289.1460239999997</v>
      </c>
      <c r="G121" s="177">
        <v>4885.6830239999999</v>
      </c>
      <c r="H121" s="177">
        <v>5174.9451150000004</v>
      </c>
      <c r="I121" s="177">
        <v>4085.604789</v>
      </c>
      <c r="J121" s="177">
        <v>3078.9577610000001</v>
      </c>
      <c r="K121" s="177">
        <v>3621.3812859999998</v>
      </c>
      <c r="L121" s="177">
        <v>5159.0193049999998</v>
      </c>
      <c r="M121" s="177">
        <v>5151.9174220000004</v>
      </c>
      <c r="N121" s="177">
        <v>4871.2094020000004</v>
      </c>
      <c r="O121" s="177">
        <v>4528.3442359999999</v>
      </c>
      <c r="P121" s="177">
        <v>4639.755709</v>
      </c>
      <c r="Q121" s="177">
        <v>5270.8108380000003</v>
      </c>
      <c r="R121" s="177">
        <v>5199.7405159999998</v>
      </c>
      <c r="S121" s="177">
        <v>4358.5151070000002</v>
      </c>
      <c r="T121" s="177">
        <v>4833.1364599999997</v>
      </c>
      <c r="U121" s="177">
        <v>4197.3329299999996</v>
      </c>
      <c r="V121" s="177">
        <v>4373.2508939999998</v>
      </c>
      <c r="W121" s="177">
        <v>3684.3838430000001</v>
      </c>
      <c r="X121" s="177">
        <v>5119.3959809999997</v>
      </c>
      <c r="Y121" s="177">
        <v>5150.2640140000003</v>
      </c>
      <c r="Z121" s="177">
        <v>4890.5065249999998</v>
      </c>
    </row>
    <row r="122" spans="1:26">
      <c r="A122" s="311" t="s">
        <v>4</v>
      </c>
      <c r="B122" s="177">
        <v>443.178541</v>
      </c>
      <c r="C122" s="177">
        <v>675.29856600000005</v>
      </c>
      <c r="D122" s="177">
        <v>548.13411599999995</v>
      </c>
      <c r="E122" s="177">
        <v>374.11610899999999</v>
      </c>
      <c r="F122" s="177">
        <v>869.06435199999999</v>
      </c>
      <c r="G122" s="177">
        <v>822.65919599999995</v>
      </c>
      <c r="H122" s="177">
        <v>476.48416300000002</v>
      </c>
      <c r="I122" s="177">
        <v>306.82421299999999</v>
      </c>
      <c r="J122" s="177">
        <v>244.56557599999999</v>
      </c>
      <c r="K122" s="177">
        <v>362.74284999999998</v>
      </c>
      <c r="L122" s="177">
        <v>303.34445399999998</v>
      </c>
      <c r="M122" s="177">
        <v>338.34884299999999</v>
      </c>
      <c r="N122" s="177">
        <v>282.55493999999999</v>
      </c>
      <c r="O122" s="177">
        <v>235.11278300000001</v>
      </c>
      <c r="P122" s="177">
        <v>336.18096000000003</v>
      </c>
      <c r="Q122" s="177">
        <v>222.17338899999999</v>
      </c>
      <c r="R122" s="177">
        <v>558.54747499999996</v>
      </c>
      <c r="S122" s="177">
        <v>177.073452</v>
      </c>
      <c r="T122" s="177">
        <v>242.90618799999999</v>
      </c>
      <c r="U122" s="177">
        <v>270.940157</v>
      </c>
      <c r="V122" s="177">
        <v>333.46570800000001</v>
      </c>
      <c r="W122" s="177">
        <v>431.99096700000001</v>
      </c>
      <c r="X122" s="177">
        <v>302.41718100000003</v>
      </c>
      <c r="Y122" s="177">
        <v>320.34443199999998</v>
      </c>
      <c r="Z122" s="177">
        <v>477.93225000000001</v>
      </c>
    </row>
    <row r="123" spans="1:26">
      <c r="A123" s="311" t="s">
        <v>95</v>
      </c>
      <c r="B123" s="177">
        <v>9.9999999999999995E-7</v>
      </c>
      <c r="C123" s="177">
        <v>-9.9999999999999995E-7</v>
      </c>
      <c r="D123" s="177">
        <v>0</v>
      </c>
      <c r="E123" s="177">
        <v>0</v>
      </c>
      <c r="F123" s="177">
        <v>0</v>
      </c>
      <c r="G123" s="177">
        <v>0</v>
      </c>
      <c r="H123" s="177">
        <v>9.9999999999999995E-7</v>
      </c>
      <c r="I123" s="177">
        <v>0</v>
      </c>
      <c r="J123" s="177">
        <v>-9.9999999999999995E-7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-9.9999999999999995E-7</v>
      </c>
      <c r="Y123" s="177">
        <v>0</v>
      </c>
      <c r="Z123" s="177">
        <v>0</v>
      </c>
    </row>
    <row r="124" spans="1:26">
      <c r="A124" s="311" t="s">
        <v>11</v>
      </c>
      <c r="B124" s="177">
        <v>5427.2638960000004</v>
      </c>
      <c r="C124" s="177">
        <v>5624.8074539999998</v>
      </c>
      <c r="D124" s="177">
        <v>3860.487071</v>
      </c>
      <c r="E124" s="177">
        <v>2755.5232569999998</v>
      </c>
      <c r="F124" s="177">
        <v>3272.2781909999999</v>
      </c>
      <c r="G124" s="177">
        <v>2388.361879</v>
      </c>
      <c r="H124" s="177">
        <v>1386.2401620000001</v>
      </c>
      <c r="I124" s="177">
        <v>1730.7334739999999</v>
      </c>
      <c r="J124" s="177">
        <v>2017.855785</v>
      </c>
      <c r="K124" s="177">
        <v>3556.3490299999999</v>
      </c>
      <c r="L124" s="177">
        <v>5829.9045759999999</v>
      </c>
      <c r="M124" s="177">
        <v>5051.1759519999996</v>
      </c>
      <c r="N124" s="177">
        <v>4546.4757390000004</v>
      </c>
      <c r="O124" s="177">
        <v>2791.0383710000001</v>
      </c>
      <c r="P124" s="177">
        <v>3221.3084140000001</v>
      </c>
      <c r="Q124" s="177">
        <v>2564.8316060000002</v>
      </c>
      <c r="R124" s="177">
        <v>2188.3044850000001</v>
      </c>
      <c r="S124" s="177">
        <v>1086.83896</v>
      </c>
      <c r="T124" s="177">
        <v>1649.419373</v>
      </c>
      <c r="U124" s="177">
        <v>2865.8610100000001</v>
      </c>
      <c r="V124" s="177">
        <v>2004.7769000000001</v>
      </c>
      <c r="W124" s="177">
        <v>3136.247484</v>
      </c>
      <c r="X124" s="177">
        <v>3024.8909399999998</v>
      </c>
      <c r="Y124" s="177">
        <v>3325.1988150000002</v>
      </c>
      <c r="Z124" s="177">
        <v>4296.3758950000001</v>
      </c>
    </row>
    <row r="125" spans="1:26">
      <c r="A125" s="311" t="s">
        <v>5</v>
      </c>
      <c r="B125" s="177">
        <v>3794.4408159999998</v>
      </c>
      <c r="C125" s="177">
        <v>3719.9329819999998</v>
      </c>
      <c r="D125" s="177">
        <v>7333.0039489999999</v>
      </c>
      <c r="E125" s="177">
        <v>5408.226525</v>
      </c>
      <c r="F125" s="177">
        <v>4566.3040510000001</v>
      </c>
      <c r="G125" s="177">
        <v>4177.8132310000001</v>
      </c>
      <c r="H125" s="177">
        <v>5503.5027019999998</v>
      </c>
      <c r="I125" s="177">
        <v>3639.796961</v>
      </c>
      <c r="J125" s="177">
        <v>3894.5800979999999</v>
      </c>
      <c r="K125" s="177">
        <v>3240.1634920000001</v>
      </c>
      <c r="L125" s="177">
        <v>4099.9316170000002</v>
      </c>
      <c r="M125" s="177">
        <v>3508.4515270000002</v>
      </c>
      <c r="N125" s="177">
        <v>3962.2430210000002</v>
      </c>
      <c r="O125" s="177">
        <v>5669.7146759999996</v>
      </c>
      <c r="P125" s="177">
        <v>4154.0834599999998</v>
      </c>
      <c r="Q125" s="177">
        <v>7378.7336489999998</v>
      </c>
      <c r="R125" s="177">
        <v>7019.2746690000004</v>
      </c>
      <c r="S125" s="177">
        <v>6235.5684270000002</v>
      </c>
      <c r="T125" s="177">
        <v>5521.443166</v>
      </c>
      <c r="U125" s="177">
        <v>4041.7178789999998</v>
      </c>
      <c r="V125" s="177">
        <v>4620.819896</v>
      </c>
      <c r="W125" s="177">
        <v>3533.4356429999998</v>
      </c>
      <c r="X125" s="177">
        <v>4120.4592439999997</v>
      </c>
      <c r="Y125" s="177">
        <v>3597.1086890000001</v>
      </c>
      <c r="Z125" s="177">
        <v>3123.1962789999998</v>
      </c>
    </row>
    <row r="126" spans="1:26">
      <c r="A126" s="311" t="s">
        <v>6</v>
      </c>
      <c r="B126" s="177">
        <v>827.93207900000004</v>
      </c>
      <c r="C126" s="177">
        <v>764.70668699999999</v>
      </c>
      <c r="D126" s="177">
        <v>501.06963000000002</v>
      </c>
      <c r="E126" s="177">
        <v>494.84732300000002</v>
      </c>
      <c r="F126" s="177">
        <v>600.905395</v>
      </c>
      <c r="G126" s="177">
        <v>944.41641100000004</v>
      </c>
      <c r="H126" s="177">
        <v>1036.7663419999999</v>
      </c>
      <c r="I126" s="177">
        <v>1115.1015640000001</v>
      </c>
      <c r="J126" s="177">
        <v>1597.8024949999999</v>
      </c>
      <c r="K126" s="177">
        <v>1757.982127</v>
      </c>
      <c r="L126" s="177">
        <v>1862.75749</v>
      </c>
      <c r="M126" s="177">
        <v>1778.4640589999999</v>
      </c>
      <c r="N126" s="177">
        <v>1426.722043</v>
      </c>
      <c r="O126" s="177">
        <v>1283.3937249999999</v>
      </c>
      <c r="P126" s="177">
        <v>788.93134899999995</v>
      </c>
      <c r="Q126" s="177">
        <v>719.15622399999995</v>
      </c>
      <c r="R126" s="177">
        <v>821.66945299999998</v>
      </c>
      <c r="S126" s="177">
        <v>945.54870300000005</v>
      </c>
      <c r="T126" s="177">
        <v>1648.188848</v>
      </c>
      <c r="U126" s="177">
        <v>1625.0275710000001</v>
      </c>
      <c r="V126" s="177">
        <v>2335.6640040000002</v>
      </c>
      <c r="W126" s="177">
        <v>2276.176676</v>
      </c>
      <c r="X126" s="177">
        <v>2465.699314</v>
      </c>
      <c r="Y126" s="177">
        <v>2330.2383329999998</v>
      </c>
      <c r="Z126" s="177">
        <v>1866.7778960000001</v>
      </c>
    </row>
    <row r="127" spans="1:26">
      <c r="A127" s="311" t="s">
        <v>7</v>
      </c>
      <c r="B127" s="177">
        <v>454.73186500000003</v>
      </c>
      <c r="C127" s="177">
        <v>303.08525700000001</v>
      </c>
      <c r="D127" s="177">
        <v>69.970612000000003</v>
      </c>
      <c r="E127" s="177">
        <v>68.978174999999993</v>
      </c>
      <c r="F127" s="177">
        <v>85.967850999999996</v>
      </c>
      <c r="G127" s="177">
        <v>227.955996</v>
      </c>
      <c r="H127" s="177">
        <v>235.96742</v>
      </c>
      <c r="I127" s="177">
        <v>206.86543699999999</v>
      </c>
      <c r="J127" s="177">
        <v>552.48475099999996</v>
      </c>
      <c r="K127" s="177">
        <v>711.64684799999998</v>
      </c>
      <c r="L127" s="177">
        <v>796.17204200000003</v>
      </c>
      <c r="M127" s="177">
        <v>744.54166099999998</v>
      </c>
      <c r="N127" s="177">
        <v>452.15923299999997</v>
      </c>
      <c r="O127" s="177">
        <v>340.27470899999997</v>
      </c>
      <c r="P127" s="177">
        <v>108.048269</v>
      </c>
      <c r="Q127" s="177">
        <v>76.225913000000006</v>
      </c>
      <c r="R127" s="177">
        <v>102.634029</v>
      </c>
      <c r="S127" s="177">
        <v>138.18132700000001</v>
      </c>
      <c r="T127" s="177">
        <v>355.01542699999999</v>
      </c>
      <c r="U127" s="177">
        <v>266.78751899999997</v>
      </c>
      <c r="V127" s="177">
        <v>645.65319899999997</v>
      </c>
      <c r="W127" s="177">
        <v>655.36365000000001</v>
      </c>
      <c r="X127" s="177">
        <v>828.47839999999997</v>
      </c>
      <c r="Y127" s="177">
        <v>661.321641</v>
      </c>
      <c r="Z127" s="177">
        <v>447.44465700000001</v>
      </c>
    </row>
    <row r="128" spans="1:26">
      <c r="A128" s="311" t="s">
        <v>8</v>
      </c>
      <c r="B128" s="177">
        <v>301.518664</v>
      </c>
      <c r="C128" s="177">
        <v>310.9246</v>
      </c>
      <c r="D128" s="177">
        <v>308.17036200000001</v>
      </c>
      <c r="E128" s="177">
        <v>299.96974799999998</v>
      </c>
      <c r="F128" s="177">
        <v>334.23399499999999</v>
      </c>
      <c r="G128" s="177">
        <v>346.68957799999998</v>
      </c>
      <c r="H128" s="177">
        <v>345.447835</v>
      </c>
      <c r="I128" s="177">
        <v>336.902581</v>
      </c>
      <c r="J128" s="177">
        <v>386.581592</v>
      </c>
      <c r="K128" s="177">
        <v>379.163185</v>
      </c>
      <c r="L128" s="177">
        <v>348.81331</v>
      </c>
      <c r="M128" s="177">
        <v>367.860117</v>
      </c>
      <c r="N128" s="177">
        <v>394.86022600000001</v>
      </c>
      <c r="O128" s="177">
        <v>414.07609600000001</v>
      </c>
      <c r="P128" s="177">
        <v>393.05924800000003</v>
      </c>
      <c r="Q128" s="177">
        <v>422.601923</v>
      </c>
      <c r="R128" s="177">
        <v>389.92807800000003</v>
      </c>
      <c r="S128" s="177">
        <v>364.35283099999998</v>
      </c>
      <c r="T128" s="177">
        <v>358.00908700000002</v>
      </c>
      <c r="U128" s="177">
        <v>391.39413100000002</v>
      </c>
      <c r="V128" s="177">
        <v>390.09032500000001</v>
      </c>
      <c r="W128" s="177">
        <v>357.15935500000001</v>
      </c>
      <c r="X128" s="177">
        <v>351.58971200000002</v>
      </c>
      <c r="Y128" s="177">
        <v>409.60947299999998</v>
      </c>
      <c r="Z128" s="177">
        <v>395.18680599999999</v>
      </c>
    </row>
    <row r="129" spans="1:26">
      <c r="A129" s="311" t="s">
        <v>9</v>
      </c>
      <c r="B129" s="177">
        <v>2354.323535</v>
      </c>
      <c r="C129" s="177">
        <v>2493.6785410000002</v>
      </c>
      <c r="D129" s="177">
        <v>2467.9510030000001</v>
      </c>
      <c r="E129" s="177">
        <v>2342.3448360000002</v>
      </c>
      <c r="F129" s="177">
        <v>2436.4933970000002</v>
      </c>
      <c r="G129" s="177">
        <v>2231.5593079999999</v>
      </c>
      <c r="H129" s="177">
        <v>2233.481276</v>
      </c>
      <c r="I129" s="177">
        <v>1926.0522579999999</v>
      </c>
      <c r="J129" s="177">
        <v>2084.4744719999999</v>
      </c>
      <c r="K129" s="177">
        <v>2186.730004</v>
      </c>
      <c r="L129" s="177">
        <v>2301.546304</v>
      </c>
      <c r="M129" s="177">
        <v>2191.606194</v>
      </c>
      <c r="N129" s="177">
        <v>2304.531516</v>
      </c>
      <c r="O129" s="177">
        <v>2351.3923199999999</v>
      </c>
      <c r="P129" s="177">
        <v>2386.903992</v>
      </c>
      <c r="Q129" s="177">
        <v>2339.665661</v>
      </c>
      <c r="R129" s="177">
        <v>2400.83545</v>
      </c>
      <c r="S129" s="177">
        <v>1836.423233</v>
      </c>
      <c r="T129" s="177">
        <v>2247.9164740000001</v>
      </c>
      <c r="U129" s="177">
        <v>2187.7371330000001</v>
      </c>
      <c r="V129" s="177">
        <v>2200.0301570000001</v>
      </c>
      <c r="W129" s="177">
        <v>2182.4178189999998</v>
      </c>
      <c r="X129" s="177">
        <v>2239.4408100000001</v>
      </c>
      <c r="Y129" s="177">
        <v>2097.6266230000001</v>
      </c>
      <c r="Z129" s="177">
        <v>2154.5010320000001</v>
      </c>
    </row>
    <row r="130" spans="1:26">
      <c r="A130" s="311" t="s">
        <v>69</v>
      </c>
      <c r="B130" s="177">
        <v>63.723962499999999</v>
      </c>
      <c r="C130" s="177">
        <v>61.976173000000003</v>
      </c>
      <c r="D130" s="177">
        <v>60.149876499999998</v>
      </c>
      <c r="E130" s="177">
        <v>65.337529000000004</v>
      </c>
      <c r="F130" s="177">
        <v>55.184336000000002</v>
      </c>
      <c r="G130" s="177">
        <v>55.978365500000002</v>
      </c>
      <c r="H130" s="177">
        <v>51.389567499999998</v>
      </c>
      <c r="I130" s="177">
        <v>29.749654499999998</v>
      </c>
      <c r="J130" s="177">
        <v>30.791229000000001</v>
      </c>
      <c r="K130" s="177">
        <v>27.458276000000001</v>
      </c>
      <c r="L130" s="177">
        <v>31.820180000000001</v>
      </c>
      <c r="M130" s="177">
        <v>66.037119500000003</v>
      </c>
      <c r="N130" s="177">
        <v>58.507686499999998</v>
      </c>
      <c r="O130" s="177">
        <v>64.967821499999999</v>
      </c>
      <c r="P130" s="177">
        <v>67.556750500000007</v>
      </c>
      <c r="Q130" s="177">
        <v>66.683813999999998</v>
      </c>
      <c r="R130" s="177">
        <v>52.060037999999999</v>
      </c>
      <c r="S130" s="177">
        <v>57.768275000000003</v>
      </c>
      <c r="T130" s="177">
        <v>61.963368000000003</v>
      </c>
      <c r="U130" s="177">
        <v>66.322567500000005</v>
      </c>
      <c r="V130" s="177">
        <v>53.009402999999999</v>
      </c>
      <c r="W130" s="177">
        <v>65.533088500000005</v>
      </c>
      <c r="X130" s="177">
        <v>70.069165499999997</v>
      </c>
      <c r="Y130" s="177">
        <v>67.949684000000005</v>
      </c>
      <c r="Z130" s="177">
        <v>55.639892500000002</v>
      </c>
    </row>
    <row r="131" spans="1:26">
      <c r="A131" s="311" t="s">
        <v>70</v>
      </c>
      <c r="B131" s="177">
        <v>188.01692750000001</v>
      </c>
      <c r="C131" s="177">
        <v>169.348387</v>
      </c>
      <c r="D131" s="177">
        <v>144.5833825</v>
      </c>
      <c r="E131" s="177">
        <v>160.99247</v>
      </c>
      <c r="F131" s="177">
        <v>157.97660099999999</v>
      </c>
      <c r="G131" s="177">
        <v>163.5454105</v>
      </c>
      <c r="H131" s="177">
        <v>166.0983985</v>
      </c>
      <c r="I131" s="177">
        <v>134.23411250000001</v>
      </c>
      <c r="J131" s="177">
        <v>139.503086</v>
      </c>
      <c r="K131" s="177">
        <v>134.24086700000001</v>
      </c>
      <c r="L131" s="177">
        <v>129.766637</v>
      </c>
      <c r="M131" s="177">
        <v>178.96316150000001</v>
      </c>
      <c r="N131" s="177">
        <v>173.89508950000001</v>
      </c>
      <c r="O131" s="177">
        <v>156.50662750000001</v>
      </c>
      <c r="P131" s="177">
        <v>180.74303649999999</v>
      </c>
      <c r="Q131" s="177">
        <v>180.31613300000001</v>
      </c>
      <c r="R131" s="177">
        <v>175.14184499999999</v>
      </c>
      <c r="S131" s="177">
        <v>161.44275200000001</v>
      </c>
      <c r="T131" s="177">
        <v>171.48853299999999</v>
      </c>
      <c r="U131" s="177">
        <v>167.72491149999999</v>
      </c>
      <c r="V131" s="177">
        <v>170.74740800000001</v>
      </c>
      <c r="W131" s="177">
        <v>182.66502349999999</v>
      </c>
      <c r="X131" s="177">
        <v>193.13370449999999</v>
      </c>
      <c r="Y131" s="177">
        <v>198.40012300000001</v>
      </c>
      <c r="Z131" s="177">
        <v>167.38102850000001</v>
      </c>
    </row>
    <row r="132" spans="1:26">
      <c r="A132" s="314" t="s">
        <v>10</v>
      </c>
      <c r="B132" s="178">
        <v>20179.883224567999</v>
      </c>
      <c r="C132" s="178">
        <v>19892.48809527</v>
      </c>
      <c r="D132" s="178">
        <v>21556.189304470001</v>
      </c>
      <c r="E132" s="178">
        <v>21281.078610050001</v>
      </c>
      <c r="F132" s="178">
        <v>21630.372603981999</v>
      </c>
      <c r="G132" s="178">
        <v>19312.837261852001</v>
      </c>
      <c r="H132" s="178">
        <v>20027.608796334</v>
      </c>
      <c r="I132" s="178">
        <v>16688.302253575999</v>
      </c>
      <c r="J132" s="178">
        <v>17131.208338812001</v>
      </c>
      <c r="K132" s="178">
        <v>18392.550599046001</v>
      </c>
      <c r="L132" s="178">
        <v>22867.113622241999</v>
      </c>
      <c r="M132" s="178">
        <v>21422.225104644</v>
      </c>
      <c r="N132" s="178">
        <v>20339.15432872</v>
      </c>
      <c r="O132" s="178">
        <v>19957.768054331998</v>
      </c>
      <c r="P132" s="178">
        <v>18942.301831158002</v>
      </c>
      <c r="Q132" s="178">
        <v>22753.482591446002</v>
      </c>
      <c r="R132" s="178">
        <v>23284.16928659</v>
      </c>
      <c r="S132" s="178">
        <v>20278.823074913998</v>
      </c>
      <c r="T132" s="178">
        <v>21133.321231622002</v>
      </c>
      <c r="U132" s="178">
        <v>18977.518232104001</v>
      </c>
      <c r="V132" s="178">
        <v>19522.784555024002</v>
      </c>
      <c r="W132" s="178">
        <v>18790.501991016001</v>
      </c>
      <c r="X132" s="178">
        <v>21034.94714081</v>
      </c>
      <c r="Y132" s="178">
        <v>20196.952499436</v>
      </c>
      <c r="Z132" s="178">
        <v>19385.389502196002</v>
      </c>
    </row>
    <row r="133" spans="1:26">
      <c r="A133" s="311" t="s">
        <v>122</v>
      </c>
      <c r="B133" s="177">
        <v>-188.46613504800001</v>
      </c>
      <c r="C133" s="177">
        <v>-180.30089699999999</v>
      </c>
      <c r="D133" s="177">
        <v>-350.171471</v>
      </c>
      <c r="E133" s="177">
        <v>-703.10755800000004</v>
      </c>
      <c r="F133" s="177">
        <v>-399.378153</v>
      </c>
      <c r="G133" s="177">
        <v>-392.60482500000001</v>
      </c>
      <c r="H133" s="177">
        <v>-600.24192497599995</v>
      </c>
      <c r="I133" s="177">
        <v>-679.70917919199997</v>
      </c>
      <c r="J133" s="177">
        <v>-366.54343990900003</v>
      </c>
      <c r="K133" s="177">
        <v>-213.878454</v>
      </c>
      <c r="L133" s="177">
        <v>-303.17795204800001</v>
      </c>
      <c r="M133" s="177">
        <v>-259.28085923999998</v>
      </c>
      <c r="N133" s="177">
        <v>-221.76098604800001</v>
      </c>
      <c r="O133" s="177">
        <v>-360.25418200000001</v>
      </c>
      <c r="P133" s="177">
        <v>-296.43321600000002</v>
      </c>
      <c r="Q133" s="177">
        <v>-528.06515300000001</v>
      </c>
      <c r="R133" s="177">
        <v>-610.91121899999996</v>
      </c>
      <c r="S133" s="177">
        <v>-789.64869999999996</v>
      </c>
      <c r="T133" s="177">
        <v>-463.99076698200003</v>
      </c>
      <c r="U133" s="177">
        <v>-216.71217380799999</v>
      </c>
      <c r="V133" s="177">
        <v>-393.88363104799998</v>
      </c>
      <c r="W133" s="177">
        <v>-149.061462288</v>
      </c>
      <c r="X133" s="177">
        <v>-232.93415899999999</v>
      </c>
      <c r="Y133" s="177">
        <v>-216.75099700000001</v>
      </c>
      <c r="Z133" s="177">
        <v>-182.66000700000001</v>
      </c>
    </row>
    <row r="134" spans="1:26">
      <c r="A134" s="311" t="s">
        <v>97</v>
      </c>
      <c r="B134" s="177">
        <v>-153.19726600000001</v>
      </c>
      <c r="C134" s="177">
        <v>-137.66557</v>
      </c>
      <c r="D134" s="177">
        <v>-91.396833999999998</v>
      </c>
      <c r="E134" s="177">
        <v>-119.614278</v>
      </c>
      <c r="F134" s="177">
        <v>-136.155901</v>
      </c>
      <c r="G134" s="177">
        <v>-115.92849699999999</v>
      </c>
      <c r="H134" s="177">
        <v>-112.780382</v>
      </c>
      <c r="I134" s="177">
        <v>-80.581305999999998</v>
      </c>
      <c r="J134" s="177">
        <v>-79.946523999999997</v>
      </c>
      <c r="K134" s="177">
        <v>-93.289579000000003</v>
      </c>
      <c r="L134" s="177">
        <v>-168.331695</v>
      </c>
      <c r="M134" s="177">
        <v>-182.71595500000001</v>
      </c>
      <c r="N134" s="177">
        <v>-116.274961</v>
      </c>
      <c r="O134" s="177">
        <v>-105.943506</v>
      </c>
      <c r="P134" s="177">
        <v>-96.327618999999999</v>
      </c>
      <c r="Q134" s="177">
        <v>-138.26159999999999</v>
      </c>
      <c r="R134" s="177">
        <v>-138.25041200000001</v>
      </c>
      <c r="S134" s="177">
        <v>-113.412009</v>
      </c>
      <c r="T134" s="177">
        <v>-127.985573</v>
      </c>
      <c r="U134" s="177">
        <v>-111.02179700000001</v>
      </c>
      <c r="V134" s="177">
        <v>-111.601713</v>
      </c>
      <c r="W134" s="177">
        <v>-65.429468</v>
      </c>
      <c r="X134" s="177">
        <v>-45.879221000000001</v>
      </c>
      <c r="Y134" s="177">
        <v>-40.107311000000003</v>
      </c>
      <c r="Z134" s="177">
        <v>-37.549396999999999</v>
      </c>
    </row>
    <row r="135" spans="1:26">
      <c r="A135" s="311" t="s">
        <v>123</v>
      </c>
      <c r="B135" s="177">
        <v>97.964608999999996</v>
      </c>
      <c r="C135" s="177">
        <v>580.94192099999998</v>
      </c>
      <c r="D135" s="177">
        <v>-297.39445499999999</v>
      </c>
      <c r="E135" s="177">
        <v>448.80726199999998</v>
      </c>
      <c r="F135" s="177">
        <v>1482.378827</v>
      </c>
      <c r="G135" s="177">
        <v>1035.7817219999999</v>
      </c>
      <c r="H135" s="177">
        <v>493.77581300000003</v>
      </c>
      <c r="I135" s="177">
        <v>232.43756099999999</v>
      </c>
      <c r="J135" s="177">
        <v>683.67150800000002</v>
      </c>
      <c r="K135" s="177">
        <v>268.89827500000001</v>
      </c>
      <c r="L135" s="177">
        <v>-450.84462000000002</v>
      </c>
      <c r="M135" s="177">
        <v>-239.66814099999999</v>
      </c>
      <c r="N135" s="177">
        <v>-625.62728200000004</v>
      </c>
      <c r="O135" s="177">
        <v>108.16498300000001</v>
      </c>
      <c r="P135" s="177">
        <v>1090.931722</v>
      </c>
      <c r="Q135" s="177">
        <v>-800.31548099999998</v>
      </c>
      <c r="R135" s="177">
        <v>214.90690699999999</v>
      </c>
      <c r="S135" s="177">
        <v>-162.58580799999999</v>
      </c>
      <c r="T135" s="177">
        <v>189.854399</v>
      </c>
      <c r="U135" s="177">
        <v>256.56955599999998</v>
      </c>
      <c r="V135" s="177">
        <v>274.30057599999998</v>
      </c>
      <c r="W135" s="177">
        <v>1012.957181</v>
      </c>
      <c r="X135" s="177">
        <v>627.15375300000005</v>
      </c>
      <c r="Y135" s="177">
        <v>661.43739400000004</v>
      </c>
      <c r="Z135" s="177">
        <v>479.90048000000002</v>
      </c>
    </row>
    <row r="136" spans="1:26">
      <c r="A136" s="314" t="s">
        <v>124</v>
      </c>
      <c r="B136" s="178">
        <v>19936.18443252</v>
      </c>
      <c r="C136" s="178">
        <v>20155.46354927</v>
      </c>
      <c r="D136" s="178">
        <v>20817.226544469999</v>
      </c>
      <c r="E136" s="178">
        <v>20907.164036049999</v>
      </c>
      <c r="F136" s="178">
        <v>22577.217376982</v>
      </c>
      <c r="G136" s="178">
        <v>19840.085661852001</v>
      </c>
      <c r="H136" s="178">
        <v>19808.362302358</v>
      </c>
      <c r="I136" s="178">
        <v>16160.449329384001</v>
      </c>
      <c r="J136" s="178">
        <v>17368.389882903</v>
      </c>
      <c r="K136" s="178">
        <v>18354.280841045998</v>
      </c>
      <c r="L136" s="178">
        <v>21944.759355194001</v>
      </c>
      <c r="M136" s="178">
        <v>20740.560149403998</v>
      </c>
      <c r="N136" s="178">
        <v>19375.491099671999</v>
      </c>
      <c r="O136" s="178">
        <v>19599.735349332001</v>
      </c>
      <c r="P136" s="178">
        <v>19640.472718157998</v>
      </c>
      <c r="Q136" s="178">
        <v>21286.840357445999</v>
      </c>
      <c r="R136" s="178">
        <v>22749.914562589998</v>
      </c>
      <c r="S136" s="178">
        <v>19213.176557914001</v>
      </c>
      <c r="T136" s="178">
        <v>20731.199290640001</v>
      </c>
      <c r="U136" s="178">
        <v>18906.353817296</v>
      </c>
      <c r="V136" s="178">
        <v>19291.599786975999</v>
      </c>
      <c r="W136" s="178">
        <v>19588.968241727998</v>
      </c>
      <c r="X136" s="178">
        <v>21383.287513809999</v>
      </c>
      <c r="Y136" s="178">
        <v>20601.531585436001</v>
      </c>
      <c r="Z136" s="178">
        <v>19645.080578196001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S</v>
      </c>
      <c r="C140" s="191" t="str">
        <f t="shared" si="7"/>
        <v>O</v>
      </c>
      <c r="D140" s="191" t="str">
        <f t="shared" si="7"/>
        <v>N</v>
      </c>
      <c r="E140" s="191" t="str">
        <f t="shared" si="7"/>
        <v>D</v>
      </c>
      <c r="F140" s="191" t="str">
        <f t="shared" si="7"/>
        <v>E</v>
      </c>
      <c r="G140" s="191" t="str">
        <f t="shared" si="7"/>
        <v>F</v>
      </c>
      <c r="H140" s="191" t="str">
        <f t="shared" si="7"/>
        <v>M</v>
      </c>
      <c r="I140" s="191" t="str">
        <f t="shared" si="7"/>
        <v>A</v>
      </c>
      <c r="J140" s="191" t="str">
        <f t="shared" si="7"/>
        <v>M</v>
      </c>
      <c r="K140" s="191" t="str">
        <f t="shared" si="7"/>
        <v>J</v>
      </c>
      <c r="L140" s="191" t="str">
        <f t="shared" si="7"/>
        <v>J</v>
      </c>
      <c r="M140" s="191" t="str">
        <f t="shared" si="7"/>
        <v>A</v>
      </c>
      <c r="N140" s="191" t="str">
        <f t="shared" si="7"/>
        <v>S</v>
      </c>
    </row>
    <row r="141" spans="1:26" s="185" customFormat="1" ht="12">
      <c r="A141" s="191" t="s">
        <v>112</v>
      </c>
      <c r="B141" s="191" t="str">
        <f>TEXT(EDATE(C141,-1),"mmmm aaaa")</f>
        <v>septiembre 2020</v>
      </c>
      <c r="C141" s="191" t="str">
        <f t="shared" ref="C141:M141" si="8">TEXT(EDATE(D141,-1),"mmmm aaaa")</f>
        <v>octubre 2020</v>
      </c>
      <c r="D141" s="191" t="str">
        <f t="shared" si="8"/>
        <v>noviembre 2020</v>
      </c>
      <c r="E141" s="191" t="str">
        <f t="shared" si="8"/>
        <v>diciembre 2020</v>
      </c>
      <c r="F141" s="191" t="str">
        <f t="shared" si="8"/>
        <v>enero 2021</v>
      </c>
      <c r="G141" s="191" t="str">
        <f t="shared" si="8"/>
        <v>febrero 2021</v>
      </c>
      <c r="H141" s="191" t="str">
        <f t="shared" si="8"/>
        <v>marzo 2021</v>
      </c>
      <c r="I141" s="191" t="str">
        <f t="shared" si="8"/>
        <v>abril 2021</v>
      </c>
      <c r="J141" s="191" t="str">
        <f t="shared" si="8"/>
        <v>mayo 2021</v>
      </c>
      <c r="K141" s="191" t="str">
        <f t="shared" si="8"/>
        <v>junio 2021</v>
      </c>
      <c r="L141" s="191" t="str">
        <f t="shared" si="8"/>
        <v>julio 2021</v>
      </c>
      <c r="M141" s="191" t="str">
        <f t="shared" si="8"/>
        <v>agosto 2021</v>
      </c>
      <c r="N141" s="191" t="str">
        <f>A2</f>
        <v>Septiembre 2021</v>
      </c>
    </row>
    <row r="142" spans="1:26" s="188" customFormat="1" ht="12">
      <c r="A142" s="186" t="s">
        <v>2</v>
      </c>
      <c r="B142" s="187">
        <f t="shared" ref="B142:N142" si="9">HLOOKUP(B$141,$117:$133,3,FALSE)</f>
        <v>1678.3274013719999</v>
      </c>
      <c r="C142" s="187">
        <f t="shared" si="9"/>
        <v>1892.9846669420001</v>
      </c>
      <c r="D142" s="187">
        <f t="shared" si="9"/>
        <v>2459.7328362960002</v>
      </c>
      <c r="E142" s="187">
        <f t="shared" si="9"/>
        <v>3191.3531995479998</v>
      </c>
      <c r="F142" s="187">
        <f t="shared" si="9"/>
        <v>4055.5224591820001</v>
      </c>
      <c r="G142" s="187">
        <f t="shared" si="9"/>
        <v>4515.8167889480001</v>
      </c>
      <c r="H142" s="187">
        <f t="shared" si="9"/>
        <v>3713.0280040799998</v>
      </c>
      <c r="I142" s="187">
        <f t="shared" si="9"/>
        <v>2742.9927041320002</v>
      </c>
      <c r="J142" s="187">
        <f t="shared" si="9"/>
        <v>2156.5677169599999</v>
      </c>
      <c r="K142" s="187">
        <f t="shared" si="9"/>
        <v>2179.4227844279999</v>
      </c>
      <c r="L142" s="187">
        <f t="shared" si="9"/>
        <v>2203.5825142980002</v>
      </c>
      <c r="M142" s="187">
        <f t="shared" si="9"/>
        <v>1879.8039341619999</v>
      </c>
      <c r="N142" s="187">
        <f t="shared" si="9"/>
        <v>1392.20737074</v>
      </c>
    </row>
    <row r="143" spans="1:26" s="188" customFormat="1" ht="12">
      <c r="A143" s="186" t="s">
        <v>81</v>
      </c>
      <c r="B143" s="187">
        <f t="shared" ref="B143:N143" si="10">HLOOKUP(B$141,$117:$133,4,FALSE)</f>
        <v>187.668031348</v>
      </c>
      <c r="C143" s="187">
        <f t="shared" si="10"/>
        <v>229.96202238999999</v>
      </c>
      <c r="D143" s="187">
        <f t="shared" si="10"/>
        <v>205.997806862</v>
      </c>
      <c r="E143" s="187">
        <f t="shared" si="10"/>
        <v>320.93024189800002</v>
      </c>
      <c r="F143" s="187">
        <f t="shared" si="10"/>
        <v>320.51078940799999</v>
      </c>
      <c r="G143" s="187">
        <f t="shared" si="10"/>
        <v>401.29321896599998</v>
      </c>
      <c r="H143" s="187">
        <f t="shared" si="10"/>
        <v>330.80630354200002</v>
      </c>
      <c r="I143" s="187">
        <f t="shared" si="10"/>
        <v>153.67971897199999</v>
      </c>
      <c r="J143" s="187">
        <f t="shared" si="10"/>
        <v>238.70894406400001</v>
      </c>
      <c r="K143" s="187">
        <f t="shared" si="10"/>
        <v>105.70565758799999</v>
      </c>
      <c r="L143" s="187">
        <f t="shared" si="10"/>
        <v>115.790175512</v>
      </c>
      <c r="M143" s="187">
        <f t="shared" si="10"/>
        <v>159.086738274</v>
      </c>
      <c r="N143" s="187">
        <f t="shared" si="10"/>
        <v>118.23987045600001</v>
      </c>
    </row>
    <row r="144" spans="1:26" s="188" customFormat="1" ht="12">
      <c r="A144" s="186" t="s">
        <v>3</v>
      </c>
      <c r="B144" s="187">
        <f t="shared" ref="B144:N144" si="11">HLOOKUP(B$141,$117:$133,5,FALSE)</f>
        <v>4871.2094020000004</v>
      </c>
      <c r="C144" s="187">
        <f t="shared" si="11"/>
        <v>4528.3442359999999</v>
      </c>
      <c r="D144" s="187">
        <f t="shared" si="11"/>
        <v>4639.755709</v>
      </c>
      <c r="E144" s="187">
        <f t="shared" si="11"/>
        <v>5270.8108380000003</v>
      </c>
      <c r="F144" s="187">
        <f t="shared" si="11"/>
        <v>5199.7405159999998</v>
      </c>
      <c r="G144" s="187">
        <f t="shared" si="11"/>
        <v>4358.5151070000002</v>
      </c>
      <c r="H144" s="187">
        <f t="shared" si="11"/>
        <v>4833.1364599999997</v>
      </c>
      <c r="I144" s="187">
        <f t="shared" si="11"/>
        <v>4197.3329299999996</v>
      </c>
      <c r="J144" s="187">
        <f t="shared" si="11"/>
        <v>4373.2508939999998</v>
      </c>
      <c r="K144" s="187">
        <f t="shared" si="11"/>
        <v>3684.3838430000001</v>
      </c>
      <c r="L144" s="187">
        <f t="shared" si="11"/>
        <v>5119.3959809999997</v>
      </c>
      <c r="M144" s="187">
        <f t="shared" si="11"/>
        <v>5150.2640140000003</v>
      </c>
      <c r="N144" s="187">
        <f t="shared" si="11"/>
        <v>4890.5065249999998</v>
      </c>
    </row>
    <row r="145" spans="1:15" s="188" customFormat="1" ht="12">
      <c r="A145" s="186" t="s">
        <v>4</v>
      </c>
      <c r="B145" s="187">
        <f t="shared" ref="B145:N145" si="12">HLOOKUP(B$141,$117:$133,6,FALSE)</f>
        <v>282.55493999999999</v>
      </c>
      <c r="C145" s="187">
        <f t="shared" si="12"/>
        <v>235.11278300000001</v>
      </c>
      <c r="D145" s="187">
        <f t="shared" si="12"/>
        <v>336.18096000000003</v>
      </c>
      <c r="E145" s="187">
        <f t="shared" si="12"/>
        <v>222.17338899999999</v>
      </c>
      <c r="F145" s="187">
        <f t="shared" si="12"/>
        <v>558.54747499999996</v>
      </c>
      <c r="G145" s="187">
        <f t="shared" si="12"/>
        <v>177.073452</v>
      </c>
      <c r="H145" s="187">
        <f t="shared" si="12"/>
        <v>242.90618799999999</v>
      </c>
      <c r="I145" s="187">
        <f t="shared" si="12"/>
        <v>270.940157</v>
      </c>
      <c r="J145" s="187">
        <f t="shared" si="12"/>
        <v>333.46570800000001</v>
      </c>
      <c r="K145" s="187">
        <f t="shared" si="12"/>
        <v>431.99096700000001</v>
      </c>
      <c r="L145" s="187">
        <f t="shared" si="12"/>
        <v>302.41718100000003</v>
      </c>
      <c r="M145" s="187">
        <f t="shared" si="12"/>
        <v>320.34443199999998</v>
      </c>
      <c r="N145" s="187">
        <f t="shared" si="12"/>
        <v>477.93225000000001</v>
      </c>
    </row>
    <row r="146" spans="1:15" s="188" customFormat="1" ht="12">
      <c r="A146" s="186" t="s">
        <v>11</v>
      </c>
      <c r="B146" s="187">
        <f t="shared" ref="B146:N146" si="13">HLOOKUP(B$141,$117:$133,8,FALSE)</f>
        <v>4546.4757390000004</v>
      </c>
      <c r="C146" s="187">
        <f t="shared" si="13"/>
        <v>2791.0383710000001</v>
      </c>
      <c r="D146" s="187">
        <f t="shared" si="13"/>
        <v>3221.3084140000001</v>
      </c>
      <c r="E146" s="187">
        <f t="shared" si="13"/>
        <v>2564.8316060000002</v>
      </c>
      <c r="F146" s="187">
        <f t="shared" si="13"/>
        <v>2188.3044850000001</v>
      </c>
      <c r="G146" s="187">
        <f t="shared" si="13"/>
        <v>1086.83896</v>
      </c>
      <c r="H146" s="187">
        <f t="shared" si="13"/>
        <v>1649.419373</v>
      </c>
      <c r="I146" s="187">
        <f t="shared" si="13"/>
        <v>2865.8610100000001</v>
      </c>
      <c r="J146" s="187">
        <f t="shared" si="13"/>
        <v>2004.7769000000001</v>
      </c>
      <c r="K146" s="187">
        <f t="shared" si="13"/>
        <v>3136.247484</v>
      </c>
      <c r="L146" s="187">
        <f t="shared" si="13"/>
        <v>3024.8909399999998</v>
      </c>
      <c r="M146" s="187">
        <f t="shared" si="13"/>
        <v>3325.1988150000002</v>
      </c>
      <c r="N146" s="187">
        <f t="shared" si="13"/>
        <v>4296.3758950000001</v>
      </c>
    </row>
    <row r="147" spans="1:15" s="188" customFormat="1" ht="12">
      <c r="A147" s="186" t="s">
        <v>5</v>
      </c>
      <c r="B147" s="187">
        <f t="shared" ref="B147:N147" si="14">HLOOKUP(B$141,$117:$133,9,FALSE)</f>
        <v>3962.2430210000002</v>
      </c>
      <c r="C147" s="187">
        <f t="shared" si="14"/>
        <v>5669.7146759999996</v>
      </c>
      <c r="D147" s="187">
        <f t="shared" si="14"/>
        <v>4154.0834599999998</v>
      </c>
      <c r="E147" s="187">
        <f t="shared" si="14"/>
        <v>7378.7336489999998</v>
      </c>
      <c r="F147" s="187">
        <f t="shared" si="14"/>
        <v>7019.2746690000004</v>
      </c>
      <c r="G147" s="187">
        <f t="shared" si="14"/>
        <v>6235.5684270000002</v>
      </c>
      <c r="H147" s="187">
        <f t="shared" si="14"/>
        <v>5521.443166</v>
      </c>
      <c r="I147" s="187">
        <f t="shared" si="14"/>
        <v>4041.7178789999998</v>
      </c>
      <c r="J147" s="187">
        <f t="shared" si="14"/>
        <v>4620.819896</v>
      </c>
      <c r="K147" s="187">
        <f t="shared" si="14"/>
        <v>3533.4356429999998</v>
      </c>
      <c r="L147" s="187">
        <f t="shared" si="14"/>
        <v>4120.4592439999997</v>
      </c>
      <c r="M147" s="187">
        <f t="shared" si="14"/>
        <v>3597.1086890000001</v>
      </c>
      <c r="N147" s="187">
        <f t="shared" si="14"/>
        <v>3123.1962789999998</v>
      </c>
    </row>
    <row r="148" spans="1:15" s="188" customFormat="1" ht="12">
      <c r="A148" s="186" t="s">
        <v>6</v>
      </c>
      <c r="B148" s="187">
        <f t="shared" ref="B148:N148" si="15">HLOOKUP(B$141,$117:$133,10,FALSE)</f>
        <v>1426.722043</v>
      </c>
      <c r="C148" s="187">
        <f t="shared" si="15"/>
        <v>1283.3937249999999</v>
      </c>
      <c r="D148" s="187">
        <f t="shared" si="15"/>
        <v>788.93134899999995</v>
      </c>
      <c r="E148" s="187">
        <f t="shared" si="15"/>
        <v>719.15622399999995</v>
      </c>
      <c r="F148" s="187">
        <f t="shared" si="15"/>
        <v>821.66945299999998</v>
      </c>
      <c r="G148" s="187">
        <f t="shared" si="15"/>
        <v>945.54870300000005</v>
      </c>
      <c r="H148" s="187">
        <f t="shared" si="15"/>
        <v>1648.188848</v>
      </c>
      <c r="I148" s="187">
        <f t="shared" si="15"/>
        <v>1625.0275710000001</v>
      </c>
      <c r="J148" s="187">
        <f t="shared" si="15"/>
        <v>2335.6640040000002</v>
      </c>
      <c r="K148" s="187">
        <f t="shared" si="15"/>
        <v>2276.176676</v>
      </c>
      <c r="L148" s="187">
        <f t="shared" si="15"/>
        <v>2465.699314</v>
      </c>
      <c r="M148" s="187">
        <f t="shared" si="15"/>
        <v>2330.2383329999998</v>
      </c>
      <c r="N148" s="187">
        <f t="shared" si="15"/>
        <v>1866.7778960000001</v>
      </c>
    </row>
    <row r="149" spans="1:15" s="188" customFormat="1" ht="12">
      <c r="A149" s="186" t="s">
        <v>7</v>
      </c>
      <c r="B149" s="187">
        <f t="shared" ref="B149:N149" si="16">HLOOKUP(B$141,$117:$133,11,FALSE)</f>
        <v>452.15923299999997</v>
      </c>
      <c r="C149" s="187">
        <f t="shared" si="16"/>
        <v>340.27470899999997</v>
      </c>
      <c r="D149" s="187">
        <f t="shared" si="16"/>
        <v>108.048269</v>
      </c>
      <c r="E149" s="187">
        <f t="shared" si="16"/>
        <v>76.225913000000006</v>
      </c>
      <c r="F149" s="187">
        <f t="shared" si="16"/>
        <v>102.634029</v>
      </c>
      <c r="G149" s="187">
        <f t="shared" si="16"/>
        <v>138.18132700000001</v>
      </c>
      <c r="H149" s="187">
        <f t="shared" si="16"/>
        <v>355.01542699999999</v>
      </c>
      <c r="I149" s="187">
        <f t="shared" si="16"/>
        <v>266.78751899999997</v>
      </c>
      <c r="J149" s="187">
        <f t="shared" si="16"/>
        <v>645.65319899999997</v>
      </c>
      <c r="K149" s="187">
        <f t="shared" si="16"/>
        <v>655.36365000000001</v>
      </c>
      <c r="L149" s="187">
        <f t="shared" si="16"/>
        <v>828.47839999999997</v>
      </c>
      <c r="M149" s="187">
        <f t="shared" si="16"/>
        <v>661.321641</v>
      </c>
      <c r="N149" s="187">
        <f t="shared" si="16"/>
        <v>447.44465700000001</v>
      </c>
    </row>
    <row r="150" spans="1:15" s="188" customFormat="1" ht="12">
      <c r="A150" s="186" t="s">
        <v>8</v>
      </c>
      <c r="B150" s="187">
        <f t="shared" ref="B150:N150" si="17">HLOOKUP(B$141,$117:$133,12,FALSE)</f>
        <v>394.86022600000001</v>
      </c>
      <c r="C150" s="187">
        <f t="shared" si="17"/>
        <v>414.07609600000001</v>
      </c>
      <c r="D150" s="187">
        <f t="shared" si="17"/>
        <v>393.05924800000003</v>
      </c>
      <c r="E150" s="187">
        <f t="shared" si="17"/>
        <v>422.601923</v>
      </c>
      <c r="F150" s="187">
        <f t="shared" si="17"/>
        <v>389.92807800000003</v>
      </c>
      <c r="G150" s="187">
        <f t="shared" si="17"/>
        <v>364.35283099999998</v>
      </c>
      <c r="H150" s="187">
        <f t="shared" si="17"/>
        <v>358.00908700000002</v>
      </c>
      <c r="I150" s="187">
        <f t="shared" si="17"/>
        <v>391.39413100000002</v>
      </c>
      <c r="J150" s="187">
        <f t="shared" si="17"/>
        <v>390.09032500000001</v>
      </c>
      <c r="K150" s="187">
        <f t="shared" si="17"/>
        <v>357.15935500000001</v>
      </c>
      <c r="L150" s="187">
        <f t="shared" si="17"/>
        <v>351.58971200000002</v>
      </c>
      <c r="M150" s="187">
        <f t="shared" si="17"/>
        <v>409.60947299999998</v>
      </c>
      <c r="N150" s="187">
        <f t="shared" si="17"/>
        <v>395.18680599999999</v>
      </c>
    </row>
    <row r="151" spans="1:15" s="188" customFormat="1" ht="12">
      <c r="A151" s="186" t="s">
        <v>9</v>
      </c>
      <c r="B151" s="187">
        <f t="shared" ref="B151:N151" si="18">HLOOKUP(B$141,$117:$133,13,FALSE)</f>
        <v>2304.531516</v>
      </c>
      <c r="C151" s="187">
        <f t="shared" si="18"/>
        <v>2351.3923199999999</v>
      </c>
      <c r="D151" s="187">
        <f t="shared" si="18"/>
        <v>2386.903992</v>
      </c>
      <c r="E151" s="187">
        <f t="shared" si="18"/>
        <v>2339.665661</v>
      </c>
      <c r="F151" s="187">
        <f t="shared" si="18"/>
        <v>2400.83545</v>
      </c>
      <c r="G151" s="187">
        <f t="shared" si="18"/>
        <v>1836.423233</v>
      </c>
      <c r="H151" s="187">
        <f t="shared" si="18"/>
        <v>2247.9164740000001</v>
      </c>
      <c r="I151" s="187">
        <f t="shared" si="18"/>
        <v>2187.7371330000001</v>
      </c>
      <c r="J151" s="187">
        <f t="shared" si="18"/>
        <v>2200.0301570000001</v>
      </c>
      <c r="K151" s="187">
        <f t="shared" si="18"/>
        <v>2182.4178189999998</v>
      </c>
      <c r="L151" s="187">
        <f t="shared" si="18"/>
        <v>2239.4408100000001</v>
      </c>
      <c r="M151" s="187">
        <f t="shared" si="18"/>
        <v>2097.6266230000001</v>
      </c>
      <c r="N151" s="187">
        <f t="shared" si="18"/>
        <v>2154.5010320000001</v>
      </c>
    </row>
    <row r="152" spans="1:15" s="188" customFormat="1" ht="12">
      <c r="A152" s="186" t="s">
        <v>70</v>
      </c>
      <c r="B152" s="187">
        <f t="shared" ref="B152:N152" si="19">HLOOKUP(B$141,$117:$133,15,FALSE)</f>
        <v>173.89508950000001</v>
      </c>
      <c r="C152" s="187">
        <f t="shared" si="19"/>
        <v>156.50662750000001</v>
      </c>
      <c r="D152" s="187">
        <f t="shared" si="19"/>
        <v>180.74303649999999</v>
      </c>
      <c r="E152" s="187">
        <f t="shared" si="19"/>
        <v>180.31613300000001</v>
      </c>
      <c r="F152" s="187">
        <f t="shared" si="19"/>
        <v>175.14184499999999</v>
      </c>
      <c r="G152" s="187">
        <f t="shared" si="19"/>
        <v>161.44275200000001</v>
      </c>
      <c r="H152" s="187">
        <f t="shared" si="19"/>
        <v>171.48853299999999</v>
      </c>
      <c r="I152" s="187">
        <f t="shared" si="19"/>
        <v>167.72491149999999</v>
      </c>
      <c r="J152" s="187">
        <f t="shared" si="19"/>
        <v>170.74740800000001</v>
      </c>
      <c r="K152" s="187">
        <f t="shared" si="19"/>
        <v>182.66502349999999</v>
      </c>
      <c r="L152" s="187">
        <f t="shared" si="19"/>
        <v>193.13370449999999</v>
      </c>
      <c r="M152" s="187">
        <f t="shared" si="19"/>
        <v>198.40012300000001</v>
      </c>
      <c r="N152" s="187">
        <f t="shared" si="19"/>
        <v>167.38102850000001</v>
      </c>
    </row>
    <row r="153" spans="1:15" s="188" customFormat="1" ht="12">
      <c r="A153" s="186" t="s">
        <v>69</v>
      </c>
      <c r="B153" s="187">
        <f t="shared" ref="B153:N153" si="20">HLOOKUP(B$141,$117:$133,14,FALSE)</f>
        <v>58.507686499999998</v>
      </c>
      <c r="C153" s="187">
        <f t="shared" si="20"/>
        <v>64.967821499999999</v>
      </c>
      <c r="D153" s="187">
        <f t="shared" si="20"/>
        <v>67.556750500000007</v>
      </c>
      <c r="E153" s="187">
        <f t="shared" si="20"/>
        <v>66.683813999999998</v>
      </c>
      <c r="F153" s="187">
        <f t="shared" si="20"/>
        <v>52.060037999999999</v>
      </c>
      <c r="G153" s="187">
        <f t="shared" si="20"/>
        <v>57.768275000000003</v>
      </c>
      <c r="H153" s="187">
        <f t="shared" si="20"/>
        <v>61.963368000000003</v>
      </c>
      <c r="I153" s="187">
        <f t="shared" si="20"/>
        <v>66.322567500000005</v>
      </c>
      <c r="J153" s="187">
        <f t="shared" si="20"/>
        <v>53.009402999999999</v>
      </c>
      <c r="K153" s="187">
        <f t="shared" si="20"/>
        <v>65.533088500000005</v>
      </c>
      <c r="L153" s="187">
        <f t="shared" si="20"/>
        <v>70.069165499999997</v>
      </c>
      <c r="M153" s="187">
        <f t="shared" si="20"/>
        <v>67.949684000000005</v>
      </c>
      <c r="N153" s="187">
        <f t="shared" si="20"/>
        <v>55.639892500000002</v>
      </c>
    </row>
    <row r="154" spans="1:15" s="188" customFormat="1" ht="12">
      <c r="A154" s="189" t="s">
        <v>96</v>
      </c>
      <c r="B154" s="190">
        <f>SUM(B142:B153)</f>
        <v>20339.15432872</v>
      </c>
      <c r="C154" s="190">
        <f t="shared" ref="C154:N154" si="21">SUM(C142:C153)</f>
        <v>19957.768054331998</v>
      </c>
      <c r="D154" s="190">
        <f t="shared" si="21"/>
        <v>18942.301831158002</v>
      </c>
      <c r="E154" s="190">
        <f t="shared" si="21"/>
        <v>22753.482591445994</v>
      </c>
      <c r="F154" s="190">
        <f t="shared" si="21"/>
        <v>23284.169286589997</v>
      </c>
      <c r="G154" s="190">
        <f t="shared" si="21"/>
        <v>20278.823074914002</v>
      </c>
      <c r="H154" s="190">
        <f t="shared" si="21"/>
        <v>21133.321231622002</v>
      </c>
      <c r="I154" s="190">
        <f t="shared" si="21"/>
        <v>18977.518232103997</v>
      </c>
      <c r="J154" s="190">
        <f t="shared" si="21"/>
        <v>19522.784555024002</v>
      </c>
      <c r="K154" s="190">
        <f t="shared" si="21"/>
        <v>18790.501991015997</v>
      </c>
      <c r="L154" s="190">
        <f t="shared" si="21"/>
        <v>21034.94714181</v>
      </c>
      <c r="M154" s="190">
        <f t="shared" si="21"/>
        <v>20196.952499436</v>
      </c>
      <c r="N154" s="190">
        <f t="shared" si="21"/>
        <v>19385.389502196002</v>
      </c>
    </row>
    <row r="156" spans="1:15" s="188" customFormat="1" ht="12">
      <c r="A156" s="192" t="s">
        <v>115</v>
      </c>
      <c r="B156" s="202">
        <f>B142+B147+B148+B149+B150+B153</f>
        <v>7972.8196108720003</v>
      </c>
      <c r="C156" s="202">
        <f t="shared" ref="C156:M156" si="22">C142+C147+C148+C149+C150+C153</f>
        <v>9665.4116944420002</v>
      </c>
      <c r="D156" s="202">
        <f t="shared" si="22"/>
        <v>7971.4119127960003</v>
      </c>
      <c r="E156" s="202">
        <f t="shared" si="22"/>
        <v>11854.754722547999</v>
      </c>
      <c r="F156" s="202">
        <f t="shared" si="22"/>
        <v>12441.088726182003</v>
      </c>
      <c r="G156" s="202">
        <f t="shared" si="22"/>
        <v>12257.236351948002</v>
      </c>
      <c r="H156" s="202">
        <f t="shared" si="22"/>
        <v>11657.647900080001</v>
      </c>
      <c r="I156" s="202">
        <f t="shared" si="22"/>
        <v>9134.2423716320009</v>
      </c>
      <c r="J156" s="202">
        <f t="shared" si="22"/>
        <v>10201.804543959999</v>
      </c>
      <c r="K156" s="202">
        <f t="shared" si="22"/>
        <v>9067.0911969280005</v>
      </c>
      <c r="L156" s="202">
        <f t="shared" si="22"/>
        <v>10039.878349798</v>
      </c>
      <c r="M156" s="202">
        <f t="shared" si="22"/>
        <v>8946.0317541620007</v>
      </c>
      <c r="N156" s="202">
        <f>N142+N147+N148+N149+N150+N153</f>
        <v>7280.4529012399989</v>
      </c>
    </row>
    <row r="157" spans="1:15" s="188" customFormat="1" ht="12">
      <c r="A157" s="192" t="s">
        <v>116</v>
      </c>
      <c r="B157" s="202">
        <f>B143+B144+B145+B146+B151+B152</f>
        <v>12366.334717848002</v>
      </c>
      <c r="C157" s="202">
        <f t="shared" ref="C157:N157" si="23">C143+C144+C145+C146+C151+C152</f>
        <v>10292.356359890002</v>
      </c>
      <c r="D157" s="202">
        <f t="shared" si="23"/>
        <v>10970.889918362</v>
      </c>
      <c r="E157" s="202">
        <f t="shared" si="23"/>
        <v>10898.727868898</v>
      </c>
      <c r="F157" s="202">
        <f t="shared" si="23"/>
        <v>10843.080560408001</v>
      </c>
      <c r="G157" s="202">
        <f t="shared" si="23"/>
        <v>8021.5867229659989</v>
      </c>
      <c r="H157" s="202">
        <f t="shared" si="23"/>
        <v>9475.6733315419988</v>
      </c>
      <c r="I157" s="202">
        <f t="shared" si="23"/>
        <v>9843.2758604720002</v>
      </c>
      <c r="J157" s="202">
        <f t="shared" si="23"/>
        <v>9320.980011063999</v>
      </c>
      <c r="K157" s="202">
        <f t="shared" si="23"/>
        <v>9723.4107940880003</v>
      </c>
      <c r="L157" s="202">
        <f t="shared" si="23"/>
        <v>10995.068792012</v>
      </c>
      <c r="M157" s="202">
        <f t="shared" si="23"/>
        <v>11250.920745273999</v>
      </c>
      <c r="N157" s="202">
        <f t="shared" si="23"/>
        <v>12104.936600956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39.199366315904015</v>
      </c>
      <c r="C158" s="193">
        <f t="shared" ref="C158:N158" si="24">C142/C$154*100+C147/C$154*100+C148/C$154*100+C149/C$154*100+C150/C$154*100+C153/C$154*100</f>
        <v>48.429321696340907</v>
      </c>
      <c r="D158" s="193">
        <f t="shared" si="24"/>
        <v>42.082593677627422</v>
      </c>
      <c r="E158" s="193">
        <f t="shared" si="24"/>
        <v>52.100836322105295</v>
      </c>
      <c r="F158" s="193">
        <f t="shared" si="24"/>
        <v>53.431533558498792</v>
      </c>
      <c r="G158" s="193">
        <f t="shared" si="24"/>
        <v>60.44352922586944</v>
      </c>
      <c r="H158" s="193">
        <f t="shared" si="24"/>
        <v>55.162403354928152</v>
      </c>
      <c r="I158" s="193">
        <f t="shared" si="24"/>
        <v>48.13191198088132</v>
      </c>
      <c r="J158" s="193">
        <f t="shared" si="24"/>
        <v>52.255888575764992</v>
      </c>
      <c r="K158" s="193">
        <f t="shared" si="24"/>
        <v>48.253586845434484</v>
      </c>
      <c r="L158" s="193">
        <f t="shared" si="24"/>
        <v>47.72951546829556</v>
      </c>
      <c r="M158" s="193">
        <f t="shared" si="24"/>
        <v>44.29396838167451</v>
      </c>
      <c r="N158" s="193">
        <f t="shared" si="24"/>
        <v>37.556392149950156</v>
      </c>
      <c r="O158" s="255">
        <f>N158-B158</f>
        <v>-1.6429741659538593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60.800633684095999</v>
      </c>
      <c r="C159" s="193">
        <f>C143/C$154*100+C144/C$154*100+C145/C$154*100+C151/C$154*100+C152/C$154*100+C146/C$154*100</f>
        <v>51.570678303659108</v>
      </c>
      <c r="D159" s="193">
        <f>D143/D$154*100+D144/D$154*100+D145/D$154*100+D151/D$154*100+D152/D$154*100+D146/D$154*100</f>
        <v>57.917406322372578</v>
      </c>
      <c r="E159" s="193">
        <f>E143/E$154*100+E144/E$154*100+E145/E$154*100+E151/E$154*100+E152/E$154*100+E146/E$154*100</f>
        <v>47.899163677894734</v>
      </c>
      <c r="F159" s="193">
        <f t="shared" ref="F159:M159" si="25">100-F158</f>
        <v>46.568466441501208</v>
      </c>
      <c r="G159" s="193">
        <f t="shared" si="25"/>
        <v>39.55647077413056</v>
      </c>
      <c r="H159" s="193">
        <f t="shared" si="25"/>
        <v>44.837596645071848</v>
      </c>
      <c r="I159" s="193">
        <f t="shared" si="25"/>
        <v>51.86808801911868</v>
      </c>
      <c r="J159" s="193">
        <f t="shared" si="25"/>
        <v>47.744111424235008</v>
      </c>
      <c r="K159" s="193">
        <f t="shared" si="25"/>
        <v>51.746413154565516</v>
      </c>
      <c r="L159" s="193">
        <f t="shared" si="25"/>
        <v>52.27048453170444</v>
      </c>
      <c r="M159" s="193">
        <f t="shared" si="25"/>
        <v>55.70603161832549</v>
      </c>
      <c r="N159" s="193">
        <f t="shared" ref="N159" si="26">100-N158</f>
        <v>62.443607850049844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13031.69704422</v>
      </c>
      <c r="C164" s="187">
        <f t="shared" ref="C164:M164" si="27">C142+C143+C144+C147+C148+C149+C150+C153</f>
        <v>14423.717952831999</v>
      </c>
      <c r="D164" s="187">
        <f t="shared" si="27"/>
        <v>12817.165428658</v>
      </c>
      <c r="E164" s="187">
        <f t="shared" si="27"/>
        <v>17446.495802445996</v>
      </c>
      <c r="F164" s="187">
        <f t="shared" si="27"/>
        <v>17961.34003159</v>
      </c>
      <c r="G164" s="187">
        <f t="shared" si="27"/>
        <v>17017.044677913997</v>
      </c>
      <c r="H164" s="187">
        <f t="shared" si="27"/>
        <v>16821.590663621999</v>
      </c>
      <c r="I164" s="187">
        <f t="shared" si="27"/>
        <v>13485.255020604</v>
      </c>
      <c r="J164" s="187">
        <f t="shared" si="27"/>
        <v>14813.764382024001</v>
      </c>
      <c r="K164" s="187">
        <f t="shared" si="27"/>
        <v>12857.180697516</v>
      </c>
      <c r="L164" s="187">
        <f t="shared" si="27"/>
        <v>15275.064506309998</v>
      </c>
      <c r="M164" s="187">
        <f t="shared" si="27"/>
        <v>14255.382506436001</v>
      </c>
      <c r="N164" s="187">
        <f>N142+N143+N144+N147+N148+N149+N150+N153</f>
        <v>12289.199296695999</v>
      </c>
    </row>
    <row r="165" spans="1:19" s="188" customFormat="1" ht="12">
      <c r="A165" s="192" t="s">
        <v>20</v>
      </c>
      <c r="B165" s="187">
        <f t="shared" ref="B165:M165" si="28">B145+B146+B151+B152</f>
        <v>7307.4572845000002</v>
      </c>
      <c r="C165" s="187">
        <f t="shared" si="28"/>
        <v>5534.0501015</v>
      </c>
      <c r="D165" s="187">
        <f t="shared" si="28"/>
        <v>6125.1364025000003</v>
      </c>
      <c r="E165" s="187">
        <f t="shared" si="28"/>
        <v>5306.9867890000005</v>
      </c>
      <c r="F165" s="187">
        <f t="shared" si="28"/>
        <v>5322.8292550000006</v>
      </c>
      <c r="G165" s="187">
        <f t="shared" si="28"/>
        <v>3261.778397</v>
      </c>
      <c r="H165" s="187">
        <f t="shared" si="28"/>
        <v>4311.7305679999999</v>
      </c>
      <c r="I165" s="187">
        <f t="shared" si="28"/>
        <v>5492.2632115000006</v>
      </c>
      <c r="J165" s="187">
        <f t="shared" si="28"/>
        <v>4709.0201729999999</v>
      </c>
      <c r="K165" s="187">
        <f t="shared" si="28"/>
        <v>5933.3212934999992</v>
      </c>
      <c r="L165" s="187">
        <f t="shared" si="28"/>
        <v>5759.8826355000001</v>
      </c>
      <c r="M165" s="187">
        <f t="shared" si="28"/>
        <v>5941.5699930000001</v>
      </c>
      <c r="N165" s="187">
        <f>N145+N146+N151+N152</f>
        <v>7096.1902055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64.071970906964054</v>
      </c>
      <c r="C166" s="193">
        <f>C142/C$154*100+C143/C$154*100+C147/C$154*100+C148/C$154*100+C149/C$154*100+C150/C$154*100+C144/C$154*100+C153/C$154*100</f>
        <v>72.271197428317706</v>
      </c>
      <c r="D166" s="193">
        <f t="shared" ref="D166:N166" si="29">D142/D$154*100+D143/D$154*100+D147/D$154*100+D148/D$154*100+D149/D$154*100+D150/D$154*100+D144/D$154*100+D153/D$154*100</f>
        <v>67.664244519508046</v>
      </c>
      <c r="E166" s="193">
        <f t="shared" si="29"/>
        <v>76.676155978886854</v>
      </c>
      <c r="F166" s="193">
        <f t="shared" si="29"/>
        <v>77.139707285732712</v>
      </c>
      <c r="G166" s="193">
        <f t="shared" si="29"/>
        <v>83.91534664043202</v>
      </c>
      <c r="H166" s="193">
        <f t="shared" si="29"/>
        <v>79.59747774264504</v>
      </c>
      <c r="I166" s="193">
        <f t="shared" si="29"/>
        <v>71.059107179732194</v>
      </c>
      <c r="J166" s="193">
        <f t="shared" si="29"/>
        <v>75.879362087268532</v>
      </c>
      <c r="K166" s="193">
        <f t="shared" si="29"/>
        <v>68.423827653264397</v>
      </c>
      <c r="L166" s="193">
        <f t="shared" si="29"/>
        <v>72.617555933613914</v>
      </c>
      <c r="M166" s="193">
        <f t="shared" si="29"/>
        <v>70.581848953866114</v>
      </c>
      <c r="N166" s="193">
        <f t="shared" si="29"/>
        <v>63.394131416879006</v>
      </c>
      <c r="O166" s="290">
        <f>N166-B166</f>
        <v>-0.67783949008504862</v>
      </c>
    </row>
    <row r="167" spans="1:19" s="188" customFormat="1" ht="12">
      <c r="A167" s="192" t="s">
        <v>114</v>
      </c>
      <c r="B167" s="193">
        <f>B151/B$154*100+B152/B$154*100+B145/B$154*100+B146/B$154*100</f>
        <v>35.928029093035939</v>
      </c>
      <c r="C167" s="193">
        <f>C151/C$154*100+C152/C$154*100+C145/C$154*100+C146/C$154*100</f>
        <v>27.728802571682301</v>
      </c>
      <c r="D167" s="193">
        <f>D151/D$154*100+D152/D$154*100+D145/D$154*100+D146/D$154*100</f>
        <v>32.335755480491947</v>
      </c>
      <c r="E167" s="193">
        <f>E151/E$154*100+E152/E$154*100+E145/E$154*100+E146/E$154*100</f>
        <v>23.32384402111316</v>
      </c>
      <c r="F167" s="193">
        <f t="shared" ref="F167:N167" si="30">F151/F$154*100+F152/F$154*100+F145/F$154*100+F146/F$154*100</f>
        <v>22.860292714267313</v>
      </c>
      <c r="G167" s="193">
        <f t="shared" si="30"/>
        <v>16.084653359567973</v>
      </c>
      <c r="H167" s="193">
        <f t="shared" si="30"/>
        <v>20.40252225735496</v>
      </c>
      <c r="I167" s="193">
        <f t="shared" si="30"/>
        <v>28.940892820267809</v>
      </c>
      <c r="J167" s="193">
        <f t="shared" si="30"/>
        <v>24.120637912731453</v>
      </c>
      <c r="K167" s="193">
        <f t="shared" si="30"/>
        <v>31.576172346735621</v>
      </c>
      <c r="L167" s="193">
        <f t="shared" si="30"/>
        <v>27.382444066386078</v>
      </c>
      <c r="M167" s="193">
        <f t="shared" si="30"/>
        <v>29.418151046133911</v>
      </c>
      <c r="N167" s="193">
        <f t="shared" si="30"/>
        <v>36.605868583120987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49" t="s">
        <v>98</v>
      </c>
      <c r="C175" s="350"/>
      <c r="D175" s="350"/>
      <c r="E175" s="350"/>
      <c r="F175" s="350"/>
      <c r="G175" s="350"/>
      <c r="H175" s="350"/>
      <c r="I175" s="350"/>
      <c r="J175" s="350"/>
      <c r="K175" s="350"/>
      <c r="L175" s="350"/>
      <c r="M175" s="350"/>
      <c r="N175" s="350"/>
      <c r="O175" s="350"/>
      <c r="P175" s="350"/>
      <c r="Q175" s="350"/>
      <c r="R175" s="350"/>
      <c r="S175" s="350"/>
    </row>
    <row r="176" spans="1:19">
      <c r="A176" s="174" t="s">
        <v>106</v>
      </c>
      <c r="B176" s="343" t="s">
        <v>119</v>
      </c>
      <c r="C176" s="344"/>
      <c r="D176" s="344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</row>
    <row r="177" spans="1:23">
      <c r="A177" s="179" t="s">
        <v>30</v>
      </c>
      <c r="B177" s="341" t="s">
        <v>232</v>
      </c>
      <c r="C177" s="342"/>
      <c r="D177" s="342"/>
      <c r="E177" s="342"/>
      <c r="F177" s="342"/>
      <c r="G177" s="342"/>
      <c r="H177" s="342"/>
      <c r="I177" s="342"/>
      <c r="J177" s="342"/>
      <c r="K177" s="342"/>
      <c r="L177" s="342"/>
      <c r="M177" s="342"/>
      <c r="N177" s="342"/>
      <c r="O177" s="342"/>
      <c r="P177" s="342"/>
      <c r="Q177" s="342"/>
      <c r="R177" s="342"/>
      <c r="S177" s="342"/>
    </row>
    <row r="178" spans="1:23">
      <c r="A178" s="179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194" t="s">
        <v>10</v>
      </c>
      <c r="P178" s="317" t="s">
        <v>122</v>
      </c>
      <c r="Q178" s="317" t="s">
        <v>97</v>
      </c>
      <c r="R178" s="317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195"/>
      <c r="P179" s="318"/>
      <c r="Q179" s="318"/>
      <c r="R179" s="318"/>
      <c r="S179" s="195"/>
      <c r="V179" s="197"/>
      <c r="W179" s="197"/>
    </row>
    <row r="180" spans="1:23" ht="14.25">
      <c r="A180" s="319">
        <v>1</v>
      </c>
      <c r="B180" s="177">
        <v>63675.771103999999</v>
      </c>
      <c r="C180" s="177">
        <v>6060.4394400000001</v>
      </c>
      <c r="D180" s="177">
        <v>166300.886</v>
      </c>
      <c r="E180" s="177">
        <v>15344.156000000001</v>
      </c>
      <c r="F180" s="177">
        <v>0</v>
      </c>
      <c r="G180" s="177">
        <v>157223.524</v>
      </c>
      <c r="H180" s="177">
        <v>106179.66499999999</v>
      </c>
      <c r="I180" s="177">
        <v>43354.082000000002</v>
      </c>
      <c r="J180" s="177">
        <v>6987.3090000000002</v>
      </c>
      <c r="K180" s="177">
        <v>12255.152</v>
      </c>
      <c r="L180" s="177">
        <v>73823.493000000002</v>
      </c>
      <c r="M180" s="177">
        <v>2255.9050000000002</v>
      </c>
      <c r="N180" s="177">
        <v>6663.1319999999996</v>
      </c>
      <c r="O180" s="178">
        <v>660123.51454400003</v>
      </c>
      <c r="P180" s="177">
        <v>-1077.942</v>
      </c>
      <c r="Q180" s="177">
        <v>-1229.818</v>
      </c>
      <c r="R180" s="177">
        <v>42053.925000000003</v>
      </c>
      <c r="S180" s="178">
        <v>699869.67954399996</v>
      </c>
      <c r="V180" s="198">
        <f>IFERROR($H180/$O180*100,"")</f>
        <v>16.084817865236442</v>
      </c>
      <c r="W180" s="197">
        <f>IF($H180=0,"",$H180/1000)</f>
        <v>106.179665</v>
      </c>
    </row>
    <row r="181" spans="1:23" ht="14.25">
      <c r="A181" s="319">
        <v>2</v>
      </c>
      <c r="B181" s="177">
        <v>63372.222092000004</v>
      </c>
      <c r="C181" s="177">
        <v>4310.8845160000001</v>
      </c>
      <c r="D181" s="177">
        <v>166606.93700000001</v>
      </c>
      <c r="E181" s="177">
        <v>18978.797999999999</v>
      </c>
      <c r="F181" s="177">
        <v>0</v>
      </c>
      <c r="G181" s="177">
        <v>172178.19099999999</v>
      </c>
      <c r="H181" s="177">
        <v>31284.413</v>
      </c>
      <c r="I181" s="177">
        <v>65697.072</v>
      </c>
      <c r="J181" s="177">
        <v>19270.191999999999</v>
      </c>
      <c r="K181" s="177">
        <v>12857.629000000001</v>
      </c>
      <c r="L181" s="177">
        <v>74357.682000000001</v>
      </c>
      <c r="M181" s="177">
        <v>2326.9744999999998</v>
      </c>
      <c r="N181" s="177">
        <v>6617.9904999999999</v>
      </c>
      <c r="O181" s="178">
        <v>637858.98560799996</v>
      </c>
      <c r="P181" s="177">
        <v>-739.55100000000004</v>
      </c>
      <c r="Q181" s="177">
        <v>-1227.9169999999999</v>
      </c>
      <c r="R181" s="177">
        <v>50629.014000000003</v>
      </c>
      <c r="S181" s="178">
        <v>686520.53160800005</v>
      </c>
      <c r="V181" s="198">
        <f t="shared" ref="V181:V210" si="31">IFERROR($H181/$O181*100,"")</f>
        <v>4.9045970513655233</v>
      </c>
      <c r="W181" s="197">
        <f t="shared" ref="W181:W210" si="32">IF($H181=0,"",$H181/1000)</f>
        <v>31.284413000000001</v>
      </c>
    </row>
    <row r="182" spans="1:23" ht="14.25">
      <c r="A182" s="319">
        <v>3</v>
      </c>
      <c r="B182" s="177">
        <v>62269.080499999996</v>
      </c>
      <c r="C182" s="177">
        <v>267.58060399999999</v>
      </c>
      <c r="D182" s="177">
        <v>166217.717</v>
      </c>
      <c r="E182" s="177">
        <v>19385.341</v>
      </c>
      <c r="F182" s="177">
        <v>0</v>
      </c>
      <c r="G182" s="177">
        <v>183556.23</v>
      </c>
      <c r="H182" s="177">
        <v>18010.330999999998</v>
      </c>
      <c r="I182" s="177">
        <v>75018.539999999994</v>
      </c>
      <c r="J182" s="177">
        <v>23575.111000000001</v>
      </c>
      <c r="K182" s="177">
        <v>12936.858</v>
      </c>
      <c r="L182" s="177">
        <v>74982.547000000006</v>
      </c>
      <c r="M182" s="177">
        <v>2211.4955</v>
      </c>
      <c r="N182" s="177">
        <v>6195.4324999999999</v>
      </c>
      <c r="O182" s="178">
        <v>644626.26410399994</v>
      </c>
      <c r="P182" s="177">
        <v>-353.37299999999999</v>
      </c>
      <c r="Q182" s="177">
        <v>-1228.3050000000001</v>
      </c>
      <c r="R182" s="177">
        <v>40886.913</v>
      </c>
      <c r="S182" s="178">
        <v>683931.49910400005</v>
      </c>
      <c r="V182" s="198">
        <f t="shared" si="31"/>
        <v>2.7939182752712548</v>
      </c>
      <c r="W182" s="197">
        <f t="shared" si="32"/>
        <v>18.010330999999997</v>
      </c>
    </row>
    <row r="183" spans="1:23" ht="14.25">
      <c r="A183" s="319">
        <v>4</v>
      </c>
      <c r="B183" s="177">
        <v>56233.375868000003</v>
      </c>
      <c r="C183" s="177">
        <v>1260.942636</v>
      </c>
      <c r="D183" s="177">
        <v>164679.65900000001</v>
      </c>
      <c r="E183" s="177">
        <v>18701.695</v>
      </c>
      <c r="F183" s="177">
        <v>0</v>
      </c>
      <c r="G183" s="177">
        <v>139391.89000000001</v>
      </c>
      <c r="H183" s="177">
        <v>30801.796999999999</v>
      </c>
      <c r="I183" s="177">
        <v>79077.364000000001</v>
      </c>
      <c r="J183" s="177">
        <v>26165.862000000001</v>
      </c>
      <c r="K183" s="177">
        <v>12868.048000000001</v>
      </c>
      <c r="L183" s="177">
        <v>70929.051000000007</v>
      </c>
      <c r="M183" s="177">
        <v>2179.7485000000001</v>
      </c>
      <c r="N183" s="177">
        <v>6163.8654999999999</v>
      </c>
      <c r="O183" s="178">
        <v>608453.29850399995</v>
      </c>
      <c r="P183" s="177">
        <v>-3077.3510000000001</v>
      </c>
      <c r="Q183" s="177">
        <v>-1227.4849999999999</v>
      </c>
      <c r="R183" s="177">
        <v>11977.088</v>
      </c>
      <c r="S183" s="178">
        <v>616125.55050400004</v>
      </c>
      <c r="V183" s="198">
        <f t="shared" si="31"/>
        <v>5.0623107929124833</v>
      </c>
      <c r="W183" s="197">
        <f t="shared" si="32"/>
        <v>30.801796999999997</v>
      </c>
    </row>
    <row r="184" spans="1:23" ht="14.25">
      <c r="A184" s="319">
        <v>5</v>
      </c>
      <c r="B184" s="177">
        <v>49693.464844000002</v>
      </c>
      <c r="C184" s="177">
        <v>3149.2432600000002</v>
      </c>
      <c r="D184" s="177">
        <v>166101.62</v>
      </c>
      <c r="E184" s="177">
        <v>11647.567999999999</v>
      </c>
      <c r="F184" s="177">
        <v>0</v>
      </c>
      <c r="G184" s="177">
        <v>102253.844</v>
      </c>
      <c r="H184" s="177">
        <v>76818.566000000006</v>
      </c>
      <c r="I184" s="177">
        <v>77057.179999999993</v>
      </c>
      <c r="J184" s="177">
        <v>25136.707999999999</v>
      </c>
      <c r="K184" s="177">
        <v>12303.808000000001</v>
      </c>
      <c r="L184" s="177">
        <v>69341.058000000005</v>
      </c>
      <c r="M184" s="177">
        <v>2275.518</v>
      </c>
      <c r="N184" s="177">
        <v>6192.3109999999997</v>
      </c>
      <c r="O184" s="178">
        <v>601970.88910399994</v>
      </c>
      <c r="P184" s="177">
        <v>-13432.133</v>
      </c>
      <c r="Q184" s="177">
        <v>-1226.924</v>
      </c>
      <c r="R184" s="177">
        <v>-4078.6590000000001</v>
      </c>
      <c r="S184" s="178">
        <v>583233.17310400004</v>
      </c>
      <c r="V184" s="198">
        <f t="shared" si="31"/>
        <v>12.761176228029921</v>
      </c>
      <c r="W184" s="197">
        <f t="shared" si="32"/>
        <v>76.818566000000004</v>
      </c>
    </row>
    <row r="185" spans="1:23" ht="14.25">
      <c r="A185" s="319">
        <v>6</v>
      </c>
      <c r="B185" s="177">
        <v>55288.94296</v>
      </c>
      <c r="C185" s="177">
        <v>4845.4450479999996</v>
      </c>
      <c r="D185" s="177">
        <v>166013.63800000001</v>
      </c>
      <c r="E185" s="177">
        <v>11649.861000000001</v>
      </c>
      <c r="F185" s="177">
        <v>0</v>
      </c>
      <c r="G185" s="177">
        <v>157509.95800000001</v>
      </c>
      <c r="H185" s="177">
        <v>139003.59599999999</v>
      </c>
      <c r="I185" s="177">
        <v>44164.637000000002</v>
      </c>
      <c r="J185" s="177">
        <v>4359.6530000000002</v>
      </c>
      <c r="K185" s="177">
        <v>12206.71</v>
      </c>
      <c r="L185" s="177">
        <v>71337.209000000003</v>
      </c>
      <c r="M185" s="177">
        <v>2001.1415</v>
      </c>
      <c r="N185" s="177">
        <v>6007.7275</v>
      </c>
      <c r="O185" s="178">
        <v>674388.51900800003</v>
      </c>
      <c r="P185" s="177">
        <v>-3753.627</v>
      </c>
      <c r="Q185" s="177">
        <v>-1227.96</v>
      </c>
      <c r="R185" s="177">
        <v>34198.025999999998</v>
      </c>
      <c r="S185" s="178">
        <v>703604.95800800005</v>
      </c>
      <c r="V185" s="198">
        <f t="shared" si="31"/>
        <v>20.611797514653574</v>
      </c>
      <c r="W185" s="197">
        <f t="shared" si="32"/>
        <v>139.00359599999999</v>
      </c>
    </row>
    <row r="186" spans="1:23" ht="14.25">
      <c r="A186" s="319">
        <v>7</v>
      </c>
      <c r="B186" s="177">
        <v>45765.746376000003</v>
      </c>
      <c r="C186" s="177">
        <v>1800.2527359999999</v>
      </c>
      <c r="D186" s="177">
        <v>166059.32800000001</v>
      </c>
      <c r="E186" s="177">
        <v>11661.546</v>
      </c>
      <c r="F186" s="177">
        <v>0</v>
      </c>
      <c r="G186" s="177">
        <v>113424.202</v>
      </c>
      <c r="H186" s="177">
        <v>224050.21799999999</v>
      </c>
      <c r="I186" s="177">
        <v>63786.402999999998</v>
      </c>
      <c r="J186" s="177">
        <v>13448.431</v>
      </c>
      <c r="K186" s="177">
        <v>12165.361999999999</v>
      </c>
      <c r="L186" s="177">
        <v>70336.956000000006</v>
      </c>
      <c r="M186" s="177">
        <v>1859.3705</v>
      </c>
      <c r="N186" s="177">
        <v>6012.4105</v>
      </c>
      <c r="O186" s="178">
        <v>730370.22611199995</v>
      </c>
      <c r="P186" s="177">
        <v>-6970.9549999999999</v>
      </c>
      <c r="Q186" s="177">
        <v>-1220.269</v>
      </c>
      <c r="R186" s="177">
        <v>6557.1729999999998</v>
      </c>
      <c r="S186" s="178">
        <v>728736.17511199997</v>
      </c>
      <c r="V186" s="198">
        <f t="shared" si="31"/>
        <v>30.676252945399035</v>
      </c>
      <c r="W186" s="197">
        <f t="shared" si="32"/>
        <v>224.050218</v>
      </c>
    </row>
    <row r="187" spans="1:23" ht="14.25">
      <c r="A187" s="319">
        <v>8</v>
      </c>
      <c r="B187" s="177">
        <v>52688.718408000001</v>
      </c>
      <c r="C187" s="177">
        <v>3117.7383359999999</v>
      </c>
      <c r="D187" s="177">
        <v>166273.141</v>
      </c>
      <c r="E187" s="177">
        <v>18623.04</v>
      </c>
      <c r="F187" s="177">
        <v>0</v>
      </c>
      <c r="G187" s="177">
        <v>150695.85500000001</v>
      </c>
      <c r="H187" s="177">
        <v>131337.579</v>
      </c>
      <c r="I187" s="177">
        <v>68091.001999999993</v>
      </c>
      <c r="J187" s="177">
        <v>14053.893</v>
      </c>
      <c r="K187" s="177">
        <v>13293.246999999999</v>
      </c>
      <c r="L187" s="177">
        <v>70652.137000000002</v>
      </c>
      <c r="M187" s="177">
        <v>1872.0284999999999</v>
      </c>
      <c r="N187" s="177">
        <v>5865.7394999999997</v>
      </c>
      <c r="O187" s="178">
        <v>696564.11874399998</v>
      </c>
      <c r="P187" s="177">
        <v>-1098.3610000000001</v>
      </c>
      <c r="Q187" s="177">
        <v>-1229.6890000000001</v>
      </c>
      <c r="R187" s="177">
        <v>16697.287</v>
      </c>
      <c r="S187" s="178">
        <v>710933.35574399994</v>
      </c>
      <c r="V187" s="198">
        <f t="shared" si="31"/>
        <v>18.855059493563857</v>
      </c>
      <c r="W187" s="197">
        <f t="shared" si="32"/>
        <v>131.33757900000001</v>
      </c>
    </row>
    <row r="188" spans="1:23" ht="14.25">
      <c r="A188" s="319">
        <v>9</v>
      </c>
      <c r="B188" s="177">
        <v>53512.503764000001</v>
      </c>
      <c r="C188" s="177">
        <v>1806.180644</v>
      </c>
      <c r="D188" s="177">
        <v>151743.644</v>
      </c>
      <c r="E188" s="177">
        <v>19085.308000000001</v>
      </c>
      <c r="F188" s="177">
        <v>0</v>
      </c>
      <c r="G188" s="177">
        <v>186812.31400000001</v>
      </c>
      <c r="H188" s="177">
        <v>116048.224</v>
      </c>
      <c r="I188" s="177">
        <v>59877.364000000001</v>
      </c>
      <c r="J188" s="177">
        <v>10799.031999999999</v>
      </c>
      <c r="K188" s="177">
        <v>12844.602999999999</v>
      </c>
      <c r="L188" s="177">
        <v>71487.627999999997</v>
      </c>
      <c r="M188" s="177">
        <v>1798.6279999999999</v>
      </c>
      <c r="N188" s="177">
        <v>5535.6080000000002</v>
      </c>
      <c r="O188" s="178">
        <v>691351.03740799997</v>
      </c>
      <c r="P188" s="177">
        <v>-440.346</v>
      </c>
      <c r="Q188" s="177">
        <v>-1228.5219999999999</v>
      </c>
      <c r="R188" s="177">
        <v>21932.817999999999</v>
      </c>
      <c r="S188" s="178">
        <v>711614.98740800004</v>
      </c>
      <c r="V188" s="198">
        <f t="shared" si="31"/>
        <v>16.785716332340481</v>
      </c>
      <c r="W188" s="197">
        <f t="shared" si="32"/>
        <v>116.048224</v>
      </c>
    </row>
    <row r="189" spans="1:23" ht="14.25">
      <c r="A189" s="319">
        <v>10</v>
      </c>
      <c r="B189" s="177">
        <v>52796.241163999999</v>
      </c>
      <c r="C189" s="177">
        <v>2223.8046840000002</v>
      </c>
      <c r="D189" s="177">
        <v>141067.524</v>
      </c>
      <c r="E189" s="177">
        <v>19151.723000000002</v>
      </c>
      <c r="F189" s="177">
        <v>0</v>
      </c>
      <c r="G189" s="177">
        <v>198273.497</v>
      </c>
      <c r="H189" s="177">
        <v>65758.053</v>
      </c>
      <c r="I189" s="177">
        <v>75358.486999999994</v>
      </c>
      <c r="J189" s="177">
        <v>19712.178</v>
      </c>
      <c r="K189" s="177">
        <v>13610.784</v>
      </c>
      <c r="L189" s="177">
        <v>72695.45</v>
      </c>
      <c r="M189" s="177">
        <v>1945.318</v>
      </c>
      <c r="N189" s="177">
        <v>5963.94</v>
      </c>
      <c r="O189" s="178">
        <v>668556.99984800001</v>
      </c>
      <c r="P189" s="177">
        <v>-5274.6270000000004</v>
      </c>
      <c r="Q189" s="177">
        <v>-1228.1320000000001</v>
      </c>
      <c r="R189" s="177">
        <v>32811.178</v>
      </c>
      <c r="S189" s="178">
        <v>694865.418848</v>
      </c>
      <c r="V189" s="198">
        <f t="shared" si="31"/>
        <v>9.8358184889172424</v>
      </c>
      <c r="W189" s="197">
        <f t="shared" si="32"/>
        <v>65.758053000000004</v>
      </c>
    </row>
    <row r="190" spans="1:23" ht="14.25">
      <c r="A190" s="319">
        <v>11</v>
      </c>
      <c r="B190" s="177">
        <v>47705.216908000002</v>
      </c>
      <c r="C190" s="177">
        <v>1872.1195560000001</v>
      </c>
      <c r="D190" s="177">
        <v>140942.49799999999</v>
      </c>
      <c r="E190" s="177">
        <v>18971.608</v>
      </c>
      <c r="F190" s="177">
        <v>0</v>
      </c>
      <c r="G190" s="177">
        <v>177650.546</v>
      </c>
      <c r="H190" s="177">
        <v>33643.822</v>
      </c>
      <c r="I190" s="177">
        <v>66053.955000000002</v>
      </c>
      <c r="J190" s="177">
        <v>16598.383000000002</v>
      </c>
      <c r="K190" s="177">
        <v>13833.57</v>
      </c>
      <c r="L190" s="177">
        <v>70790.667000000001</v>
      </c>
      <c r="M190" s="177">
        <v>2368.6849999999999</v>
      </c>
      <c r="N190" s="177">
        <v>6387.683</v>
      </c>
      <c r="O190" s="178">
        <v>596818.75346399995</v>
      </c>
      <c r="P190" s="177">
        <v>-5323.0529999999999</v>
      </c>
      <c r="Q190" s="177">
        <v>-1230.1199999999999</v>
      </c>
      <c r="R190" s="177">
        <v>28259.861000000001</v>
      </c>
      <c r="S190" s="178">
        <v>618525.44146400003</v>
      </c>
      <c r="V190" s="198">
        <f t="shared" si="31"/>
        <v>5.637192498514441</v>
      </c>
      <c r="W190" s="197">
        <f t="shared" si="32"/>
        <v>33.643822</v>
      </c>
    </row>
    <row r="191" spans="1:23" ht="14.25">
      <c r="A191" s="319">
        <v>12</v>
      </c>
      <c r="B191" s="177">
        <v>52632.023443999999</v>
      </c>
      <c r="C191" s="177">
        <v>3917.8350519999999</v>
      </c>
      <c r="D191" s="177">
        <v>147918.44099999999</v>
      </c>
      <c r="E191" s="177">
        <v>11917.986999999999</v>
      </c>
      <c r="F191" s="177">
        <v>1E-3</v>
      </c>
      <c r="G191" s="177">
        <v>128778.2</v>
      </c>
      <c r="H191" s="177">
        <v>46565.08</v>
      </c>
      <c r="I191" s="177">
        <v>73798.303</v>
      </c>
      <c r="J191" s="177">
        <v>17773.514999999999</v>
      </c>
      <c r="K191" s="177">
        <v>13430.769</v>
      </c>
      <c r="L191" s="177">
        <v>68225.724000000002</v>
      </c>
      <c r="M191" s="177">
        <v>2377.4425000000001</v>
      </c>
      <c r="N191" s="177">
        <v>6387.6554999999998</v>
      </c>
      <c r="O191" s="178">
        <v>573722.97649599996</v>
      </c>
      <c r="P191" s="177">
        <v>-6761.2190000000001</v>
      </c>
      <c r="Q191" s="177">
        <v>-1228.6949999999999</v>
      </c>
      <c r="R191" s="177">
        <v>15644.281999999999</v>
      </c>
      <c r="S191" s="178">
        <v>581377.34449599998</v>
      </c>
      <c r="V191" s="198">
        <f t="shared" si="31"/>
        <v>8.1163003588238993</v>
      </c>
      <c r="W191" s="197">
        <f t="shared" si="32"/>
        <v>46.565080000000002</v>
      </c>
    </row>
    <row r="192" spans="1:23" ht="14.25">
      <c r="A192" s="319">
        <v>13</v>
      </c>
      <c r="B192" s="177">
        <v>45392.250712000001</v>
      </c>
      <c r="C192" s="177">
        <v>737.58288800000003</v>
      </c>
      <c r="D192" s="177">
        <v>160803.39799999999</v>
      </c>
      <c r="E192" s="177">
        <v>11944.362999999999</v>
      </c>
      <c r="F192" s="177">
        <v>0</v>
      </c>
      <c r="G192" s="177">
        <v>176410.56099999999</v>
      </c>
      <c r="H192" s="177">
        <v>152687.56200000001</v>
      </c>
      <c r="I192" s="177">
        <v>24097.204000000002</v>
      </c>
      <c r="J192" s="177">
        <v>300.279</v>
      </c>
      <c r="K192" s="177">
        <v>13195.805</v>
      </c>
      <c r="L192" s="177">
        <v>70914.763000000006</v>
      </c>
      <c r="M192" s="177">
        <v>2310.3045000000002</v>
      </c>
      <c r="N192" s="177">
        <v>6293.7614999999996</v>
      </c>
      <c r="O192" s="178">
        <v>665087.83459999994</v>
      </c>
      <c r="P192" s="177">
        <v>-2580.085</v>
      </c>
      <c r="Q192" s="177">
        <v>-1277.6389999999999</v>
      </c>
      <c r="R192" s="177">
        <v>22880.15</v>
      </c>
      <c r="S192" s="178">
        <v>684110.26060000004</v>
      </c>
      <c r="V192" s="198">
        <f t="shared" si="31"/>
        <v>22.95750336372188</v>
      </c>
      <c r="W192" s="197">
        <f t="shared" si="32"/>
        <v>152.68756200000001</v>
      </c>
    </row>
    <row r="193" spans="1:23" ht="14.25">
      <c r="A193" s="319">
        <v>14</v>
      </c>
      <c r="B193" s="177">
        <v>58543.731247999996</v>
      </c>
      <c r="C193" s="177">
        <v>4932.6567519999999</v>
      </c>
      <c r="D193" s="177">
        <v>165171.5</v>
      </c>
      <c r="E193" s="177">
        <v>17451.214</v>
      </c>
      <c r="F193" s="177">
        <v>0</v>
      </c>
      <c r="G193" s="177">
        <v>222246.239</v>
      </c>
      <c r="H193" s="177">
        <v>117796.391</v>
      </c>
      <c r="I193" s="177">
        <v>21592.861000000001</v>
      </c>
      <c r="J193" s="177">
        <v>275.50799999999998</v>
      </c>
      <c r="K193" s="177">
        <v>13549.682000000001</v>
      </c>
      <c r="L193" s="177">
        <v>70809.160999999993</v>
      </c>
      <c r="M193" s="177">
        <v>1868.7950000000001</v>
      </c>
      <c r="N193" s="177">
        <v>5856.6080000000002</v>
      </c>
      <c r="O193" s="178">
        <v>700094.34699999995</v>
      </c>
      <c r="P193" s="177">
        <v>-3225.39</v>
      </c>
      <c r="Q193" s="177">
        <v>-1411.8630000000001</v>
      </c>
      <c r="R193" s="177">
        <v>2447.558</v>
      </c>
      <c r="S193" s="178">
        <v>697904.652</v>
      </c>
      <c r="V193" s="198">
        <f t="shared" si="31"/>
        <v>16.825788053392181</v>
      </c>
      <c r="W193" s="197">
        <f t="shared" si="32"/>
        <v>117.796391</v>
      </c>
    </row>
    <row r="194" spans="1:23" ht="14.25">
      <c r="A194" s="319">
        <v>15</v>
      </c>
      <c r="B194" s="177">
        <v>60246.802927999997</v>
      </c>
      <c r="C194" s="177">
        <v>1529.972272</v>
      </c>
      <c r="D194" s="177">
        <v>164806.323</v>
      </c>
      <c r="E194" s="177">
        <v>19152.643</v>
      </c>
      <c r="F194" s="177">
        <v>0</v>
      </c>
      <c r="G194" s="177">
        <v>269536.26199999999</v>
      </c>
      <c r="H194" s="177">
        <v>45131.961000000003</v>
      </c>
      <c r="I194" s="177">
        <v>53494.457999999999</v>
      </c>
      <c r="J194" s="177">
        <v>5074.607</v>
      </c>
      <c r="K194" s="177">
        <v>13574.812</v>
      </c>
      <c r="L194" s="177">
        <v>72200.67</v>
      </c>
      <c r="M194" s="177">
        <v>1847.2184999999999</v>
      </c>
      <c r="N194" s="177">
        <v>5704.3275000000003</v>
      </c>
      <c r="O194" s="178">
        <v>712300.05720000004</v>
      </c>
      <c r="P194" s="177">
        <v>-3532.1729999999998</v>
      </c>
      <c r="Q194" s="177">
        <v>-1325.549</v>
      </c>
      <c r="R194" s="177">
        <v>-13785.56</v>
      </c>
      <c r="S194" s="178">
        <v>693656.77520000003</v>
      </c>
      <c r="V194" s="198">
        <f t="shared" si="31"/>
        <v>6.3360883582419563</v>
      </c>
      <c r="W194" s="197">
        <f t="shared" si="32"/>
        <v>45.131961000000004</v>
      </c>
    </row>
    <row r="195" spans="1:23" ht="14.25">
      <c r="A195" s="319">
        <v>16</v>
      </c>
      <c r="B195" s="177">
        <v>43414.386976000002</v>
      </c>
      <c r="C195" s="177">
        <v>1259.913024</v>
      </c>
      <c r="D195" s="177">
        <v>164798.08499999999</v>
      </c>
      <c r="E195" s="177">
        <v>19149.464</v>
      </c>
      <c r="F195" s="177">
        <v>0</v>
      </c>
      <c r="G195" s="177">
        <v>182787.50399999999</v>
      </c>
      <c r="H195" s="177">
        <v>82345.394</v>
      </c>
      <c r="I195" s="177">
        <v>67148.982999999993</v>
      </c>
      <c r="J195" s="177">
        <v>15051.721</v>
      </c>
      <c r="K195" s="177">
        <v>13906.608</v>
      </c>
      <c r="L195" s="177">
        <v>74413.084000000003</v>
      </c>
      <c r="M195" s="177">
        <v>1870.704</v>
      </c>
      <c r="N195" s="177">
        <v>5167.924</v>
      </c>
      <c r="O195" s="178">
        <v>671313.77099999995</v>
      </c>
      <c r="P195" s="177">
        <v>-1190.8689999999999</v>
      </c>
      <c r="Q195" s="177">
        <v>-1471.0029999999999</v>
      </c>
      <c r="R195" s="177">
        <v>15726.998</v>
      </c>
      <c r="S195" s="178">
        <v>684378.897</v>
      </c>
      <c r="V195" s="198">
        <f t="shared" si="31"/>
        <v>12.266304902003867</v>
      </c>
      <c r="W195" s="197">
        <f t="shared" si="32"/>
        <v>82.345393999999999</v>
      </c>
    </row>
    <row r="196" spans="1:23" ht="14.25">
      <c r="A196" s="319">
        <v>17</v>
      </c>
      <c r="B196" s="177">
        <v>38319.495561999996</v>
      </c>
      <c r="C196" s="177">
        <v>2168.2142480000002</v>
      </c>
      <c r="D196" s="177">
        <v>165154.08900000001</v>
      </c>
      <c r="E196" s="177">
        <v>19169.103999999999</v>
      </c>
      <c r="F196" s="177">
        <v>0</v>
      </c>
      <c r="G196" s="177">
        <v>201049.524</v>
      </c>
      <c r="H196" s="177">
        <v>51152.387999999999</v>
      </c>
      <c r="I196" s="177">
        <v>74263.921000000002</v>
      </c>
      <c r="J196" s="177">
        <v>20050.78</v>
      </c>
      <c r="K196" s="177">
        <v>13176.66</v>
      </c>
      <c r="L196" s="177">
        <v>74007.319000000003</v>
      </c>
      <c r="M196" s="177">
        <v>1878.367</v>
      </c>
      <c r="N196" s="177">
        <v>5095.0590000000002</v>
      </c>
      <c r="O196" s="178">
        <v>665484.92081000004</v>
      </c>
      <c r="P196" s="177">
        <v>-4738.125</v>
      </c>
      <c r="Q196" s="177">
        <v>-1286.5820000000001</v>
      </c>
      <c r="R196" s="177">
        <v>11155.44</v>
      </c>
      <c r="S196" s="178">
        <v>670615.65381000005</v>
      </c>
      <c r="V196" s="198">
        <f t="shared" si="31"/>
        <v>7.6864834048740702</v>
      </c>
      <c r="W196" s="197">
        <f t="shared" si="32"/>
        <v>51.152388000000002</v>
      </c>
    </row>
    <row r="197" spans="1:23" ht="14.25">
      <c r="A197" s="319">
        <v>18</v>
      </c>
      <c r="B197" s="177">
        <v>33739.980545999999</v>
      </c>
      <c r="C197" s="177">
        <v>2625.8788239999999</v>
      </c>
      <c r="D197" s="177">
        <v>165342.087</v>
      </c>
      <c r="E197" s="177">
        <v>12169.509</v>
      </c>
      <c r="F197" s="177">
        <v>-1E-3</v>
      </c>
      <c r="G197" s="177">
        <v>97913.895999999993</v>
      </c>
      <c r="H197" s="177">
        <v>108261.092</v>
      </c>
      <c r="I197" s="177">
        <v>72988.686000000002</v>
      </c>
      <c r="J197" s="177">
        <v>20513.171999999999</v>
      </c>
      <c r="K197" s="177">
        <v>13446.599</v>
      </c>
      <c r="L197" s="177">
        <v>71323.157999999996</v>
      </c>
      <c r="M197" s="177">
        <v>1913.2845</v>
      </c>
      <c r="N197" s="177">
        <v>4988.9125000000004</v>
      </c>
      <c r="O197" s="178">
        <v>605226.25436999998</v>
      </c>
      <c r="P197" s="177">
        <v>-13302.659</v>
      </c>
      <c r="Q197" s="177">
        <v>-1228.2629999999999</v>
      </c>
      <c r="R197" s="177">
        <v>8923.2810000000009</v>
      </c>
      <c r="S197" s="178">
        <v>599618.61337000004</v>
      </c>
      <c r="V197" s="198">
        <f t="shared" si="31"/>
        <v>17.887705832043348</v>
      </c>
      <c r="W197" s="197">
        <f t="shared" si="32"/>
        <v>108.261092</v>
      </c>
    </row>
    <row r="198" spans="1:23" ht="14.25">
      <c r="A198" s="319">
        <v>19</v>
      </c>
      <c r="B198" s="177">
        <v>32960.260649999997</v>
      </c>
      <c r="C198" s="177">
        <v>4975.0361759999996</v>
      </c>
      <c r="D198" s="177">
        <v>165903.022</v>
      </c>
      <c r="E198" s="177">
        <v>11673.645</v>
      </c>
      <c r="F198" s="177">
        <v>0</v>
      </c>
      <c r="G198" s="177">
        <v>80945.244999999995</v>
      </c>
      <c r="H198" s="177">
        <v>91992.326000000001</v>
      </c>
      <c r="I198" s="177">
        <v>77490.553</v>
      </c>
      <c r="J198" s="177">
        <v>23444.185000000001</v>
      </c>
      <c r="K198" s="177">
        <v>13570.231</v>
      </c>
      <c r="L198" s="177">
        <v>70379.137000000002</v>
      </c>
      <c r="M198" s="177">
        <v>1931.489</v>
      </c>
      <c r="N198" s="177">
        <v>5081.3580000000002</v>
      </c>
      <c r="O198" s="178">
        <v>580346.48782599997</v>
      </c>
      <c r="P198" s="177">
        <v>-24965.848999999998</v>
      </c>
      <c r="Q198" s="177">
        <v>-1227.527</v>
      </c>
      <c r="R198" s="177">
        <v>-2122.7640000000001</v>
      </c>
      <c r="S198" s="178">
        <v>552030.34782599995</v>
      </c>
      <c r="V198" s="198">
        <f t="shared" si="31"/>
        <v>15.851276423608034</v>
      </c>
      <c r="W198" s="197">
        <f t="shared" si="32"/>
        <v>91.992326000000006</v>
      </c>
    </row>
    <row r="199" spans="1:23" ht="14.25">
      <c r="A199" s="319">
        <v>20</v>
      </c>
      <c r="B199" s="177">
        <v>34336.474748000001</v>
      </c>
      <c r="C199" s="177">
        <v>1437.0935959999999</v>
      </c>
      <c r="D199" s="177">
        <v>167262.27499999999</v>
      </c>
      <c r="E199" s="177">
        <v>11801.995999999999</v>
      </c>
      <c r="F199" s="177">
        <v>0</v>
      </c>
      <c r="G199" s="177">
        <v>82713.254000000001</v>
      </c>
      <c r="H199" s="177">
        <v>192812.91200000001</v>
      </c>
      <c r="I199" s="177">
        <v>71538.675000000003</v>
      </c>
      <c r="J199" s="177">
        <v>23476.097000000002</v>
      </c>
      <c r="K199" s="177">
        <v>13396.337</v>
      </c>
      <c r="L199" s="177">
        <v>73061.673999999999</v>
      </c>
      <c r="M199" s="177">
        <v>1848.1855</v>
      </c>
      <c r="N199" s="177">
        <v>4866.1225000000004</v>
      </c>
      <c r="O199" s="178">
        <v>678551.09634399996</v>
      </c>
      <c r="P199" s="177">
        <v>-6429.4229999999998</v>
      </c>
      <c r="Q199" s="177">
        <v>-1235.867</v>
      </c>
      <c r="R199" s="177">
        <v>-18679.616999999998</v>
      </c>
      <c r="S199" s="178">
        <v>652206.18934399995</v>
      </c>
      <c r="V199" s="198">
        <f t="shared" si="31"/>
        <v>28.415385818233368</v>
      </c>
      <c r="W199" s="197">
        <f t="shared" si="32"/>
        <v>192.81291200000001</v>
      </c>
    </row>
    <row r="200" spans="1:23" ht="14.25">
      <c r="A200" s="319">
        <v>21</v>
      </c>
      <c r="B200" s="177">
        <v>33816.440541999997</v>
      </c>
      <c r="C200" s="177">
        <v>8202.2034860000003</v>
      </c>
      <c r="D200" s="177">
        <v>167498.19899999999</v>
      </c>
      <c r="E200" s="177">
        <v>11278.184999999999</v>
      </c>
      <c r="F200" s="177">
        <v>0</v>
      </c>
      <c r="G200" s="177">
        <v>49677.961000000003</v>
      </c>
      <c r="H200" s="177">
        <v>218818.51699999999</v>
      </c>
      <c r="I200" s="177">
        <v>69141.316000000006</v>
      </c>
      <c r="J200" s="177">
        <v>19227.873</v>
      </c>
      <c r="K200" s="177">
        <v>13326.867</v>
      </c>
      <c r="L200" s="177">
        <v>72484.258000000002</v>
      </c>
      <c r="M200" s="177">
        <v>1745.6814999999999</v>
      </c>
      <c r="N200" s="177">
        <v>5236.2174999999997</v>
      </c>
      <c r="O200" s="178">
        <v>670453.71902800002</v>
      </c>
      <c r="P200" s="177">
        <v>-17538.525000000001</v>
      </c>
      <c r="Q200" s="177">
        <v>-1227.096</v>
      </c>
      <c r="R200" s="177">
        <v>-335.65800000000002</v>
      </c>
      <c r="S200" s="178">
        <v>651352.44002800004</v>
      </c>
      <c r="V200" s="198">
        <f t="shared" si="31"/>
        <v>32.637378358827704</v>
      </c>
      <c r="W200" s="197">
        <f t="shared" si="32"/>
        <v>218.81851699999999</v>
      </c>
    </row>
    <row r="201" spans="1:23" ht="14.25">
      <c r="A201" s="319">
        <v>22</v>
      </c>
      <c r="B201" s="177">
        <v>41105.677064000003</v>
      </c>
      <c r="C201" s="177">
        <v>4553.833592</v>
      </c>
      <c r="D201" s="177">
        <v>167539.54199999999</v>
      </c>
      <c r="E201" s="177">
        <v>11887.878000000001</v>
      </c>
      <c r="F201" s="177">
        <v>0</v>
      </c>
      <c r="G201" s="177">
        <v>91349.184999999998</v>
      </c>
      <c r="H201" s="177">
        <v>154249.76500000001</v>
      </c>
      <c r="I201" s="177">
        <v>55766.481</v>
      </c>
      <c r="J201" s="177">
        <v>13487.963</v>
      </c>
      <c r="K201" s="177">
        <v>13102.966</v>
      </c>
      <c r="L201" s="177">
        <v>73544.803</v>
      </c>
      <c r="M201" s="177">
        <v>1793.6534999999999</v>
      </c>
      <c r="N201" s="177">
        <v>5360.8734999999997</v>
      </c>
      <c r="O201" s="178">
        <v>633742.62065599998</v>
      </c>
      <c r="P201" s="177">
        <v>-3587.5749999999998</v>
      </c>
      <c r="Q201" s="177">
        <v>-1265.0250000000001</v>
      </c>
      <c r="R201" s="177">
        <v>28676.724999999999</v>
      </c>
      <c r="S201" s="178">
        <v>657566.74565599998</v>
      </c>
      <c r="V201" s="198">
        <f t="shared" si="31"/>
        <v>24.339496819755144</v>
      </c>
      <c r="W201" s="197">
        <f t="shared" si="32"/>
        <v>154.24976500000002</v>
      </c>
    </row>
    <row r="202" spans="1:23" ht="14.25">
      <c r="A202" s="319">
        <v>23</v>
      </c>
      <c r="B202" s="177">
        <v>35323.362465999999</v>
      </c>
      <c r="C202" s="177">
        <v>5292.8501420000002</v>
      </c>
      <c r="D202" s="177">
        <v>167383.777</v>
      </c>
      <c r="E202" s="177">
        <v>11757.507</v>
      </c>
      <c r="F202" s="177">
        <v>0</v>
      </c>
      <c r="G202" s="177">
        <v>72224.554999999993</v>
      </c>
      <c r="H202" s="177">
        <v>208741.55799999999</v>
      </c>
      <c r="I202" s="177">
        <v>46433.383000000002</v>
      </c>
      <c r="J202" s="177">
        <v>6752.3119999999999</v>
      </c>
      <c r="K202" s="177">
        <v>13631.239</v>
      </c>
      <c r="L202" s="177">
        <v>74553.460000000006</v>
      </c>
      <c r="M202" s="177">
        <v>1553.2940000000001</v>
      </c>
      <c r="N202" s="177">
        <v>4761.5540000000001</v>
      </c>
      <c r="O202" s="178">
        <v>648408.851608</v>
      </c>
      <c r="P202" s="177">
        <v>-10990.574000000001</v>
      </c>
      <c r="Q202" s="177">
        <v>-1246.0609999999999</v>
      </c>
      <c r="R202" s="177">
        <v>22225.927</v>
      </c>
      <c r="S202" s="178">
        <v>658398.14360800001</v>
      </c>
      <c r="V202" s="198">
        <f t="shared" si="31"/>
        <v>32.192891488501168</v>
      </c>
      <c r="W202" s="197">
        <f t="shared" si="32"/>
        <v>208.741558</v>
      </c>
    </row>
    <row r="203" spans="1:23" ht="14.25">
      <c r="A203" s="319">
        <v>24</v>
      </c>
      <c r="B203" s="177">
        <v>45188.282343999999</v>
      </c>
      <c r="C203" s="177">
        <v>13466.280056</v>
      </c>
      <c r="D203" s="177">
        <v>166076.511</v>
      </c>
      <c r="E203" s="177">
        <v>11927.196</v>
      </c>
      <c r="F203" s="177">
        <v>0</v>
      </c>
      <c r="G203" s="177">
        <v>137326.93100000001</v>
      </c>
      <c r="H203" s="177">
        <v>120762.99400000001</v>
      </c>
      <c r="I203" s="177">
        <v>38787.262000000002</v>
      </c>
      <c r="J203" s="177">
        <v>3091.1379999999999</v>
      </c>
      <c r="K203" s="177">
        <v>13793.314</v>
      </c>
      <c r="L203" s="177">
        <v>74447.883000000002</v>
      </c>
      <c r="M203" s="177">
        <v>1411.979</v>
      </c>
      <c r="N203" s="177">
        <v>4593.5309999999999</v>
      </c>
      <c r="O203" s="178">
        <v>630873.3014</v>
      </c>
      <c r="P203" s="177">
        <v>-475.32799999999997</v>
      </c>
      <c r="Q203" s="177">
        <v>-1227.355</v>
      </c>
      <c r="R203" s="177">
        <v>23553.463</v>
      </c>
      <c r="S203" s="178">
        <v>652724.08140000002</v>
      </c>
      <c r="V203" s="198">
        <f t="shared" si="31"/>
        <v>19.142194436190167</v>
      </c>
      <c r="W203" s="197">
        <f t="shared" si="32"/>
        <v>120.76299400000001</v>
      </c>
    </row>
    <row r="204" spans="1:23" ht="14.25">
      <c r="A204" s="319">
        <v>25</v>
      </c>
      <c r="B204" s="177">
        <v>38311.796199999997</v>
      </c>
      <c r="C204" s="177">
        <v>7585.4307699999999</v>
      </c>
      <c r="D204" s="177">
        <v>165625.755</v>
      </c>
      <c r="E204" s="177">
        <v>16190.422</v>
      </c>
      <c r="F204" s="177">
        <v>0</v>
      </c>
      <c r="G204" s="177">
        <v>96389.020999999993</v>
      </c>
      <c r="H204" s="177">
        <v>118209.121</v>
      </c>
      <c r="I204" s="177">
        <v>51941.563999999998</v>
      </c>
      <c r="J204" s="177">
        <v>8558.5820000000003</v>
      </c>
      <c r="K204" s="177">
        <v>13890.284</v>
      </c>
      <c r="L204" s="177">
        <v>70779.218999999997</v>
      </c>
      <c r="M204" s="177">
        <v>1406.1215</v>
      </c>
      <c r="N204" s="177">
        <v>4589.1755000000003</v>
      </c>
      <c r="O204" s="178">
        <v>593476.49196999997</v>
      </c>
      <c r="P204" s="177">
        <v>-6495.8990000000003</v>
      </c>
      <c r="Q204" s="177">
        <v>-1227.356</v>
      </c>
      <c r="R204" s="177">
        <v>5149.9530000000004</v>
      </c>
      <c r="S204" s="178">
        <v>590903.18996999995</v>
      </c>
      <c r="V204" s="198">
        <f t="shared" si="31"/>
        <v>19.918079755377306</v>
      </c>
      <c r="W204" s="197">
        <f t="shared" si="32"/>
        <v>118.209121</v>
      </c>
    </row>
    <row r="205" spans="1:23" ht="14.25">
      <c r="A205" s="319">
        <v>26</v>
      </c>
      <c r="B205" s="177">
        <v>32040.255101999999</v>
      </c>
      <c r="C205" s="177">
        <v>5710.129938</v>
      </c>
      <c r="D205" s="177">
        <v>165044.67199999999</v>
      </c>
      <c r="E205" s="177">
        <v>18952.948</v>
      </c>
      <c r="F205" s="177">
        <v>0</v>
      </c>
      <c r="G205" s="177">
        <v>87245.561000000002</v>
      </c>
      <c r="H205" s="177">
        <v>100700.209</v>
      </c>
      <c r="I205" s="177">
        <v>71032.589000000007</v>
      </c>
      <c r="J205" s="177">
        <v>16914.63</v>
      </c>
      <c r="K205" s="177">
        <v>13514.764999999999</v>
      </c>
      <c r="L205" s="177">
        <v>69568.642999999996</v>
      </c>
      <c r="M205" s="177">
        <v>1420.048</v>
      </c>
      <c r="N205" s="177">
        <v>4702.1840000000002</v>
      </c>
      <c r="O205" s="178">
        <v>586846.63404000003</v>
      </c>
      <c r="P205" s="177">
        <v>-17012.400000000001</v>
      </c>
      <c r="Q205" s="177">
        <v>-1227.7439999999999</v>
      </c>
      <c r="R205" s="177">
        <v>-22361.186000000002</v>
      </c>
      <c r="S205" s="178">
        <v>546245.30403999996</v>
      </c>
      <c r="V205" s="198">
        <f t="shared" si="31"/>
        <v>17.159544446349535</v>
      </c>
      <c r="W205" s="197">
        <f t="shared" si="32"/>
        <v>100.700209</v>
      </c>
    </row>
    <row r="206" spans="1:23" ht="14.25">
      <c r="A206" s="319">
        <v>27</v>
      </c>
      <c r="B206" s="177">
        <v>38650.750952000002</v>
      </c>
      <c r="C206" s="177">
        <v>4212.5644480000001</v>
      </c>
      <c r="D206" s="177">
        <v>165440.16800000001</v>
      </c>
      <c r="E206" s="177">
        <v>19249.66</v>
      </c>
      <c r="F206" s="177">
        <v>0</v>
      </c>
      <c r="G206" s="177">
        <v>154287.046</v>
      </c>
      <c r="H206" s="177">
        <v>77713.066000000006</v>
      </c>
      <c r="I206" s="177">
        <v>73423.089000000007</v>
      </c>
      <c r="J206" s="177">
        <v>18859.396000000001</v>
      </c>
      <c r="K206" s="177">
        <v>12761.821</v>
      </c>
      <c r="L206" s="177">
        <v>70531.902000000002</v>
      </c>
      <c r="M206" s="177">
        <v>1402.5219999999999</v>
      </c>
      <c r="N206" s="177">
        <v>4665.6750000000002</v>
      </c>
      <c r="O206" s="178">
        <v>641197.66040000005</v>
      </c>
      <c r="P206" s="177">
        <v>-4285.5730000000003</v>
      </c>
      <c r="Q206" s="177">
        <v>-1247.6590000000001</v>
      </c>
      <c r="R206" s="177">
        <v>8803.76</v>
      </c>
      <c r="S206" s="178">
        <v>644468.18839999998</v>
      </c>
      <c r="V206" s="198">
        <f t="shared" si="31"/>
        <v>12.119985895070181</v>
      </c>
      <c r="W206" s="197">
        <f t="shared" si="32"/>
        <v>77.713066000000012</v>
      </c>
    </row>
    <row r="207" spans="1:23" ht="14.25">
      <c r="A207" s="319">
        <v>28</v>
      </c>
      <c r="B207" s="177">
        <v>47812.594788000002</v>
      </c>
      <c r="C207" s="177">
        <v>2859.9712119999999</v>
      </c>
      <c r="D207" s="177">
        <v>165410.91699999999</v>
      </c>
      <c r="E207" s="177">
        <v>19300.794000000002</v>
      </c>
      <c r="F207" s="177">
        <v>0</v>
      </c>
      <c r="G207" s="177">
        <v>163461.23000000001</v>
      </c>
      <c r="H207" s="177">
        <v>58143.307000000001</v>
      </c>
      <c r="I207" s="177">
        <v>67205.706000000006</v>
      </c>
      <c r="J207" s="177">
        <v>17224.984</v>
      </c>
      <c r="K207" s="177">
        <v>12939.174999999999</v>
      </c>
      <c r="L207" s="177">
        <v>70885.207999999999</v>
      </c>
      <c r="M207" s="177">
        <v>1369.5105000000001</v>
      </c>
      <c r="N207" s="177">
        <v>5454.2415000000001</v>
      </c>
      <c r="O207" s="178">
        <v>632067.63899999997</v>
      </c>
      <c r="P207" s="177">
        <v>-1214.3530000000001</v>
      </c>
      <c r="Q207" s="177">
        <v>-1227.182</v>
      </c>
      <c r="R207" s="177">
        <v>33302.296999999999</v>
      </c>
      <c r="S207" s="178">
        <v>662928.40099999995</v>
      </c>
      <c r="V207" s="198">
        <f t="shared" si="31"/>
        <v>9.1989058468471931</v>
      </c>
      <c r="W207" s="197">
        <f t="shared" si="32"/>
        <v>58.143307</v>
      </c>
    </row>
    <row r="208" spans="1:23" ht="14.25">
      <c r="A208" s="319">
        <v>29</v>
      </c>
      <c r="B208" s="177">
        <v>38896.947868000003</v>
      </c>
      <c r="C208" s="177">
        <v>5057.9971320000004</v>
      </c>
      <c r="D208" s="177">
        <v>165541.932</v>
      </c>
      <c r="E208" s="177">
        <v>19398.561000000002</v>
      </c>
      <c r="F208" s="177">
        <v>0</v>
      </c>
      <c r="G208" s="177">
        <v>105736.389</v>
      </c>
      <c r="H208" s="177">
        <v>121052.795</v>
      </c>
      <c r="I208" s="177">
        <v>73885.475000000006</v>
      </c>
      <c r="J208" s="177">
        <v>19930.449000000001</v>
      </c>
      <c r="K208" s="177">
        <v>12747.014999999999</v>
      </c>
      <c r="L208" s="177">
        <v>70669.414000000004</v>
      </c>
      <c r="M208" s="177">
        <v>1292.058</v>
      </c>
      <c r="N208" s="177">
        <v>5446.9049999999997</v>
      </c>
      <c r="O208" s="178">
        <v>639655.93799999997</v>
      </c>
      <c r="P208" s="177">
        <v>-4969.4430000000002</v>
      </c>
      <c r="Q208" s="177">
        <v>-1227.614</v>
      </c>
      <c r="R208" s="177">
        <v>32975.828999999998</v>
      </c>
      <c r="S208" s="178">
        <v>666434.71</v>
      </c>
      <c r="V208" s="198">
        <f t="shared" si="31"/>
        <v>18.924673063849522</v>
      </c>
      <c r="W208" s="197">
        <f t="shared" si="32"/>
        <v>121.052795</v>
      </c>
    </row>
    <row r="209" spans="1:23" ht="14.25">
      <c r="A209" s="319">
        <v>30</v>
      </c>
      <c r="B209" s="177">
        <v>38474.572612000004</v>
      </c>
      <c r="C209" s="177">
        <v>6999.7953879999995</v>
      </c>
      <c r="D209" s="177">
        <v>165779.24</v>
      </c>
      <c r="E209" s="177">
        <v>20358.53</v>
      </c>
      <c r="F209" s="177">
        <v>0</v>
      </c>
      <c r="G209" s="177">
        <v>157327.28</v>
      </c>
      <c r="H209" s="177">
        <v>83123.577000000005</v>
      </c>
      <c r="I209" s="177">
        <v>65211.300999999999</v>
      </c>
      <c r="J209" s="177">
        <v>17330.714</v>
      </c>
      <c r="K209" s="177">
        <v>13056.085999999999</v>
      </c>
      <c r="L209" s="177">
        <v>70967.673999999999</v>
      </c>
      <c r="M209" s="177">
        <v>1304.421</v>
      </c>
      <c r="N209" s="177">
        <v>5523.1030000000001</v>
      </c>
      <c r="O209" s="178">
        <v>645456.29399999999</v>
      </c>
      <c r="P209" s="177">
        <v>-7823.2259999999997</v>
      </c>
      <c r="Q209" s="177">
        <v>-1228.1759999999999</v>
      </c>
      <c r="R209" s="177">
        <v>23794.977999999999</v>
      </c>
      <c r="S209" s="178">
        <v>660199.87</v>
      </c>
      <c r="V209" s="198">
        <f t="shared" si="31"/>
        <v>12.878265774568465</v>
      </c>
      <c r="W209" s="197">
        <f t="shared" si="32"/>
        <v>83.123577000000012</v>
      </c>
    </row>
    <row r="210" spans="1:23" ht="14.25">
      <c r="V210" s="198" t="str">
        <f t="shared" si="31"/>
        <v/>
      </c>
      <c r="W210" s="197" t="str">
        <f t="shared" si="32"/>
        <v/>
      </c>
    </row>
    <row r="211" spans="1:23">
      <c r="H211">
        <f>MAX(H180:H210)</f>
        <v>224050.21799999999</v>
      </c>
      <c r="I211">
        <f>MAX(I180:I210)</f>
        <v>79077.364000000001</v>
      </c>
    </row>
    <row r="215" spans="1:23">
      <c r="A215" s="174" t="s">
        <v>31</v>
      </c>
      <c r="B215" s="349" t="s">
        <v>237</v>
      </c>
      <c r="C215" s="350"/>
      <c r="D215" s="350"/>
      <c r="E215" s="350"/>
      <c r="F215" s="350"/>
      <c r="G215" s="350"/>
      <c r="H215" s="350"/>
      <c r="I215" s="350"/>
      <c r="J215" s="350"/>
      <c r="K215" s="350"/>
      <c r="L215" s="350"/>
      <c r="M215" s="350"/>
      <c r="N215" s="350"/>
      <c r="O215" s="350"/>
      <c r="P215" s="350"/>
      <c r="Q215" s="350"/>
      <c r="R215" s="350"/>
      <c r="S215" s="350"/>
    </row>
    <row r="216" spans="1:23">
      <c r="A216" s="174" t="s">
        <v>105</v>
      </c>
      <c r="B216" s="341" t="s">
        <v>98</v>
      </c>
      <c r="C216" s="342"/>
      <c r="D216" s="342"/>
      <c r="E216" s="342"/>
      <c r="F216" s="342"/>
      <c r="G216" s="342"/>
      <c r="H216" s="342"/>
      <c r="I216" s="342"/>
      <c r="J216" s="342"/>
      <c r="K216" s="342"/>
      <c r="L216" s="342"/>
      <c r="M216" s="342"/>
      <c r="N216" s="342"/>
      <c r="O216" s="342"/>
      <c r="P216" s="342"/>
      <c r="Q216" s="342"/>
      <c r="R216" s="342"/>
      <c r="S216" s="342"/>
    </row>
    <row r="217" spans="1:23">
      <c r="A217" s="174" t="s">
        <v>106</v>
      </c>
      <c r="B217" s="343" t="s">
        <v>121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</row>
    <row r="218" spans="1:23">
      <c r="A218" s="179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194" t="s">
        <v>10</v>
      </c>
      <c r="P218" s="317" t="s">
        <v>122</v>
      </c>
      <c r="Q218" s="317" t="s">
        <v>97</v>
      </c>
      <c r="R218" s="317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195"/>
      <c r="P219" s="318"/>
      <c r="Q219" s="318"/>
      <c r="R219" s="318"/>
      <c r="S219" s="195"/>
      <c r="V219" s="197"/>
    </row>
    <row r="220" spans="1:23" ht="14.25">
      <c r="A220" s="319">
        <v>1</v>
      </c>
      <c r="B220" s="177">
        <v>2.1175590039999999</v>
      </c>
      <c r="C220" s="177">
        <v>3.4508395999999997E-2</v>
      </c>
      <c r="D220" s="177">
        <v>6.9143270000000001</v>
      </c>
      <c r="E220" s="177">
        <v>0.49178500000000003</v>
      </c>
      <c r="F220" s="177">
        <v>0</v>
      </c>
      <c r="G220" s="177">
        <v>3.710988</v>
      </c>
      <c r="H220" s="177">
        <v>9.0785959999999992</v>
      </c>
      <c r="I220" s="177">
        <v>2.3499999999999999E-4</v>
      </c>
      <c r="J220" s="177">
        <v>9.8879999999999992E-3</v>
      </c>
      <c r="K220" s="177">
        <v>0.49463800000000002</v>
      </c>
      <c r="L220" s="177">
        <v>2.9587750000000002</v>
      </c>
      <c r="M220" s="177">
        <v>7.8248999999999999E-2</v>
      </c>
      <c r="N220" s="177">
        <v>0.24810699999999999</v>
      </c>
      <c r="O220" s="178">
        <v>26.1376554</v>
      </c>
      <c r="P220" s="177">
        <v>-1.9620000000000002E-3</v>
      </c>
      <c r="Q220" s="177">
        <v>-5.1192000000000001E-2</v>
      </c>
      <c r="R220" s="177">
        <v>1.2415449999999999</v>
      </c>
      <c r="S220" s="178">
        <v>27.326046399999999</v>
      </c>
      <c r="V220" s="198">
        <f t="shared" ref="V220:V243" si="33">IFERROR(H220/O220*100,"")</f>
        <v>34.733781056735488</v>
      </c>
    </row>
    <row r="221" spans="1:23" ht="14.25">
      <c r="A221" s="319">
        <v>2</v>
      </c>
      <c r="B221" s="177">
        <v>1.498320804</v>
      </c>
      <c r="C221" s="177">
        <v>-4.7820399999999998E-4</v>
      </c>
      <c r="D221" s="177">
        <v>6.9180299999999999</v>
      </c>
      <c r="E221" s="177">
        <v>0.442714</v>
      </c>
      <c r="F221" s="177">
        <v>0</v>
      </c>
      <c r="G221" s="177">
        <v>2.5942560000000001</v>
      </c>
      <c r="H221" s="177">
        <v>9.7942699999999991</v>
      </c>
      <c r="I221" s="177">
        <v>2.6400000000000002E-4</v>
      </c>
      <c r="J221" s="177">
        <v>9.7420000000000007E-3</v>
      </c>
      <c r="K221" s="177">
        <v>0.48864299999999999</v>
      </c>
      <c r="L221" s="177">
        <v>2.868045</v>
      </c>
      <c r="M221" s="177">
        <v>7.7829499999999996E-2</v>
      </c>
      <c r="N221" s="177">
        <v>0.2457385</v>
      </c>
      <c r="O221" s="178">
        <v>24.937374599999998</v>
      </c>
      <c r="P221" s="177">
        <v>-4.9689999999999998E-2</v>
      </c>
      <c r="Q221" s="177">
        <v>-5.1192000000000001E-2</v>
      </c>
      <c r="R221" s="177">
        <v>1.1053390000000001</v>
      </c>
      <c r="S221" s="178">
        <v>25.9418316</v>
      </c>
      <c r="V221" s="198">
        <f t="shared" si="33"/>
        <v>39.275465669910574</v>
      </c>
    </row>
    <row r="222" spans="1:23" ht="14.25">
      <c r="A222" s="319">
        <v>3</v>
      </c>
      <c r="B222" s="177">
        <v>0.95283880399999998</v>
      </c>
      <c r="C222" s="177">
        <v>-1.2488040000000001E-3</v>
      </c>
      <c r="D222" s="177">
        <v>6.9174569999999997</v>
      </c>
      <c r="E222" s="177">
        <v>0.37815199999999999</v>
      </c>
      <c r="F222" s="177">
        <v>0</v>
      </c>
      <c r="G222" s="177">
        <v>2.6168550000000002</v>
      </c>
      <c r="H222" s="177">
        <v>9.7278160000000007</v>
      </c>
      <c r="I222" s="177">
        <v>2.7399999999999999E-4</v>
      </c>
      <c r="J222" s="177">
        <v>9.6849999999999992E-3</v>
      </c>
      <c r="K222" s="177">
        <v>0.48654700000000001</v>
      </c>
      <c r="L222" s="177">
        <v>2.8503050000000001</v>
      </c>
      <c r="M222" s="177">
        <v>7.7757499999999993E-2</v>
      </c>
      <c r="N222" s="177">
        <v>0.24705650000000001</v>
      </c>
      <c r="O222" s="178">
        <v>24.263494999999999</v>
      </c>
      <c r="P222" s="177">
        <v>-0.42181400000000002</v>
      </c>
      <c r="Q222" s="177">
        <v>-5.1191E-2</v>
      </c>
      <c r="R222" s="177">
        <v>1.080549</v>
      </c>
      <c r="S222" s="178">
        <v>24.871039</v>
      </c>
      <c r="V222" s="198">
        <f t="shared" si="33"/>
        <v>40.092393944071134</v>
      </c>
    </row>
    <row r="223" spans="1:23" ht="14.25">
      <c r="A223" s="319">
        <v>4</v>
      </c>
      <c r="B223" s="177">
        <v>1.0412164479999999</v>
      </c>
      <c r="C223" s="177">
        <v>-2.0494480000000002E-3</v>
      </c>
      <c r="D223" s="177">
        <v>6.9195209999999996</v>
      </c>
      <c r="E223" s="177">
        <v>0.384214</v>
      </c>
      <c r="F223" s="177">
        <v>0</v>
      </c>
      <c r="G223" s="177">
        <v>2.9340079999999999</v>
      </c>
      <c r="H223" s="177">
        <v>9.7321539999999995</v>
      </c>
      <c r="I223" s="177">
        <v>2.8800000000000001E-4</v>
      </c>
      <c r="J223" s="177">
        <v>9.6900000000000007E-3</v>
      </c>
      <c r="K223" s="177">
        <v>0.49829299999999999</v>
      </c>
      <c r="L223" s="177">
        <v>2.8418380000000001</v>
      </c>
      <c r="M223" s="177">
        <v>7.7995999999999996E-2</v>
      </c>
      <c r="N223" s="177">
        <v>0.24632299999999999</v>
      </c>
      <c r="O223" s="178">
        <v>24.683492000000001</v>
      </c>
      <c r="P223" s="177">
        <v>-0.81534600000000002</v>
      </c>
      <c r="Q223" s="177">
        <v>-5.0673999999999997E-2</v>
      </c>
      <c r="R223" s="177">
        <v>0.62170300000000001</v>
      </c>
      <c r="S223" s="178">
        <v>24.439174999999999</v>
      </c>
      <c r="V223" s="198">
        <f t="shared" si="33"/>
        <v>39.427784366976923</v>
      </c>
    </row>
    <row r="224" spans="1:23" ht="14.25">
      <c r="A224" s="319">
        <v>5</v>
      </c>
      <c r="B224" s="177">
        <v>0.93259691600000005</v>
      </c>
      <c r="C224" s="177">
        <v>-2.2973160000000002E-3</v>
      </c>
      <c r="D224" s="177">
        <v>6.920452</v>
      </c>
      <c r="E224" s="177">
        <v>0.38417699999999999</v>
      </c>
      <c r="F224" s="177">
        <v>0</v>
      </c>
      <c r="G224" s="177">
        <v>2.7911990000000002</v>
      </c>
      <c r="H224" s="177">
        <v>9.5922289999999997</v>
      </c>
      <c r="I224" s="177">
        <v>3.1599999999999998E-4</v>
      </c>
      <c r="J224" s="177">
        <v>9.5879999999999993E-3</v>
      </c>
      <c r="K224" s="177">
        <v>0.50071100000000002</v>
      </c>
      <c r="L224" s="177">
        <v>2.8422459999999998</v>
      </c>
      <c r="M224" s="177">
        <v>7.8678999999999999E-2</v>
      </c>
      <c r="N224" s="177">
        <v>0.24442</v>
      </c>
      <c r="O224" s="178">
        <v>24.294316599999998</v>
      </c>
      <c r="P224" s="177">
        <v>-0.94710000000000005</v>
      </c>
      <c r="Q224" s="177">
        <v>-4.4712000000000002E-2</v>
      </c>
      <c r="R224" s="177">
        <v>0.91966199999999998</v>
      </c>
      <c r="S224" s="178">
        <v>24.222166600000001</v>
      </c>
      <c r="V224" s="198">
        <f t="shared" si="33"/>
        <v>39.483427988256317</v>
      </c>
    </row>
    <row r="225" spans="1:22" ht="14.25">
      <c r="A225" s="319">
        <v>6</v>
      </c>
      <c r="B225" s="177">
        <v>0.92983336000000005</v>
      </c>
      <c r="C225" s="177">
        <v>1.6668399999999999E-3</v>
      </c>
      <c r="D225" s="177">
        <v>6.9212449999999999</v>
      </c>
      <c r="E225" s="177">
        <v>0.41878100000000001</v>
      </c>
      <c r="F225" s="177">
        <v>0</v>
      </c>
      <c r="G225" s="177">
        <v>2.7302840000000002</v>
      </c>
      <c r="H225" s="177">
        <v>9.6305130000000005</v>
      </c>
      <c r="I225" s="177">
        <v>3.3E-4</v>
      </c>
      <c r="J225" s="177">
        <v>9.6819999999999996E-3</v>
      </c>
      <c r="K225" s="177">
        <v>0.50287800000000005</v>
      </c>
      <c r="L225" s="177">
        <v>2.8738969999999999</v>
      </c>
      <c r="M225" s="177">
        <v>7.8264E-2</v>
      </c>
      <c r="N225" s="177">
        <v>0.24341099999999999</v>
      </c>
      <c r="O225" s="178">
        <v>24.340785199999999</v>
      </c>
      <c r="P225" s="177">
        <v>-0.61660400000000004</v>
      </c>
      <c r="Q225" s="177">
        <v>-5.0285000000000003E-2</v>
      </c>
      <c r="R225" s="177">
        <v>0.95408599999999999</v>
      </c>
      <c r="S225" s="178">
        <v>24.627982200000002</v>
      </c>
      <c r="V225" s="198">
        <f t="shared" si="33"/>
        <v>39.565334153641032</v>
      </c>
    </row>
    <row r="226" spans="1:22" ht="14.25">
      <c r="A226" s="319">
        <v>7</v>
      </c>
      <c r="B226" s="177">
        <v>1.5093583159999999</v>
      </c>
      <c r="C226" s="177">
        <v>8.6061884000000005E-2</v>
      </c>
      <c r="D226" s="177">
        <v>6.9211419999999997</v>
      </c>
      <c r="E226" s="177">
        <v>0.45990399999999998</v>
      </c>
      <c r="F226" s="177">
        <v>0</v>
      </c>
      <c r="G226" s="177">
        <v>3.949487</v>
      </c>
      <c r="H226" s="177">
        <v>9.3075939999999999</v>
      </c>
      <c r="I226" s="177">
        <v>4.6299999999999998E-4</v>
      </c>
      <c r="J226" s="177">
        <v>1.0030000000000001E-2</v>
      </c>
      <c r="K226" s="177">
        <v>0.507073</v>
      </c>
      <c r="L226" s="177">
        <v>2.9181629999999998</v>
      </c>
      <c r="M226" s="177">
        <v>7.7951500000000007E-2</v>
      </c>
      <c r="N226" s="177">
        <v>0.24456849999999999</v>
      </c>
      <c r="O226" s="178">
        <v>25.9917962</v>
      </c>
      <c r="P226" s="177">
        <v>-0.287468</v>
      </c>
      <c r="Q226" s="177">
        <v>-5.1149E-2</v>
      </c>
      <c r="R226" s="177">
        <v>0.90564299999999998</v>
      </c>
      <c r="S226" s="178">
        <v>26.558822200000002</v>
      </c>
      <c r="V226" s="198">
        <f t="shared" si="33"/>
        <v>35.809737535569013</v>
      </c>
    </row>
    <row r="227" spans="1:22" ht="14.25">
      <c r="A227" s="319">
        <v>8</v>
      </c>
      <c r="B227" s="177">
        <v>2.5990131120000002</v>
      </c>
      <c r="C227" s="177">
        <v>0.12651828800000001</v>
      </c>
      <c r="D227" s="177">
        <v>6.9262779999999999</v>
      </c>
      <c r="E227" s="177">
        <v>0.48984699999999998</v>
      </c>
      <c r="F227" s="177">
        <v>0</v>
      </c>
      <c r="G227" s="177">
        <v>5.1706200000000004</v>
      </c>
      <c r="H227" s="177">
        <v>8.8864839999999994</v>
      </c>
      <c r="I227" s="177">
        <v>1.0508E-2</v>
      </c>
      <c r="J227" s="177">
        <v>1.0052999999999999E-2</v>
      </c>
      <c r="K227" s="177">
        <v>0.49884200000000001</v>
      </c>
      <c r="L227" s="177">
        <v>2.957919</v>
      </c>
      <c r="M227" s="177">
        <v>7.7538499999999996E-2</v>
      </c>
      <c r="N227" s="177">
        <v>0.24469650000000001</v>
      </c>
      <c r="O227" s="178">
        <v>27.998317400000001</v>
      </c>
      <c r="P227" s="177">
        <v>-0.23555100000000001</v>
      </c>
      <c r="Q227" s="177">
        <v>-5.1192000000000001E-2</v>
      </c>
      <c r="R227" s="177">
        <v>1.3428450000000001</v>
      </c>
      <c r="S227" s="178">
        <v>29.0544194</v>
      </c>
      <c r="V227" s="198">
        <f t="shared" si="33"/>
        <v>31.739350165378148</v>
      </c>
    </row>
    <row r="228" spans="1:22" ht="14.25">
      <c r="A228" s="319">
        <v>9</v>
      </c>
      <c r="B228" s="177">
        <v>2.8167827999999999</v>
      </c>
      <c r="C228" s="177">
        <v>0.1205548</v>
      </c>
      <c r="D228" s="177">
        <v>6.9303980000000003</v>
      </c>
      <c r="E228" s="177">
        <v>0.49294399999999999</v>
      </c>
      <c r="F228" s="177">
        <v>0</v>
      </c>
      <c r="G228" s="177">
        <v>5.9245549999999998</v>
      </c>
      <c r="H228" s="177">
        <v>8.0832770000000007</v>
      </c>
      <c r="I228" s="177">
        <v>0.49305399999999999</v>
      </c>
      <c r="J228" s="177">
        <v>1.0177E-2</v>
      </c>
      <c r="K228" s="177">
        <v>0.495029</v>
      </c>
      <c r="L228" s="177">
        <v>2.990421</v>
      </c>
      <c r="M228" s="177">
        <v>7.7549000000000007E-2</v>
      </c>
      <c r="N228" s="177">
        <v>0.247557</v>
      </c>
      <c r="O228" s="178">
        <v>28.682298599999999</v>
      </c>
      <c r="P228" s="177">
        <v>-2.0089999999999999E-3</v>
      </c>
      <c r="Q228" s="177">
        <v>-5.1149E-2</v>
      </c>
      <c r="R228" s="177">
        <v>1.7254290000000001</v>
      </c>
      <c r="S228" s="178">
        <v>30.354569600000001</v>
      </c>
      <c r="V228" s="198">
        <f t="shared" si="33"/>
        <v>28.182110202283443</v>
      </c>
    </row>
    <row r="229" spans="1:22" ht="14.25">
      <c r="A229" s="319">
        <v>10</v>
      </c>
      <c r="B229" s="177">
        <v>2.7970379040000002</v>
      </c>
      <c r="C229" s="177">
        <v>-8.6039999999999999E-4</v>
      </c>
      <c r="D229" s="177">
        <v>6.9318730000000004</v>
      </c>
      <c r="E229" s="177">
        <v>0.49230800000000002</v>
      </c>
      <c r="F229" s="177">
        <v>0</v>
      </c>
      <c r="G229" s="177">
        <v>6.2988660000000003</v>
      </c>
      <c r="H229" s="177">
        <v>7.331709</v>
      </c>
      <c r="I229" s="177">
        <v>2.5654110000000001</v>
      </c>
      <c r="J229" s="177">
        <v>1.0562E-2</v>
      </c>
      <c r="K229" s="177">
        <v>0.49291099999999999</v>
      </c>
      <c r="L229" s="177">
        <v>2.9775040000000002</v>
      </c>
      <c r="M229" s="177">
        <v>7.7537499999999995E-2</v>
      </c>
      <c r="N229" s="177">
        <v>0.24997749999999999</v>
      </c>
      <c r="O229" s="178">
        <v>30.224836503999999</v>
      </c>
      <c r="P229" s="177">
        <v>-2.1199999999999999E-3</v>
      </c>
      <c r="Q229" s="177">
        <v>-5.1191E-2</v>
      </c>
      <c r="R229" s="177">
        <v>1.7139</v>
      </c>
      <c r="S229" s="178">
        <v>31.885425504000001</v>
      </c>
      <c r="V229" s="198">
        <f t="shared" si="33"/>
        <v>24.257232951548673</v>
      </c>
    </row>
    <row r="230" spans="1:22" ht="14.25">
      <c r="A230" s="319">
        <v>11</v>
      </c>
      <c r="B230" s="177">
        <v>2.3283925999999999</v>
      </c>
      <c r="C230" s="177">
        <v>-9.6460000000000003E-4</v>
      </c>
      <c r="D230" s="177">
        <v>6.9352929999999997</v>
      </c>
      <c r="E230" s="177">
        <v>0.49029899999999998</v>
      </c>
      <c r="F230" s="177">
        <v>0</v>
      </c>
      <c r="G230" s="177">
        <v>5.5837770000000004</v>
      </c>
      <c r="H230" s="177">
        <v>7.158811</v>
      </c>
      <c r="I230" s="177">
        <v>4.6744339999999998</v>
      </c>
      <c r="J230" s="177">
        <v>0.113636</v>
      </c>
      <c r="K230" s="177">
        <v>0.48819600000000002</v>
      </c>
      <c r="L230" s="177">
        <v>2.9504649999999999</v>
      </c>
      <c r="M230" s="177">
        <v>7.6600000000000001E-2</v>
      </c>
      <c r="N230" s="177">
        <v>0.25434899999999999</v>
      </c>
      <c r="O230" s="178">
        <v>31.053287999999998</v>
      </c>
      <c r="P230" s="177">
        <v>-1.8940000000000001E-3</v>
      </c>
      <c r="Q230" s="177">
        <v>-5.1235000000000003E-2</v>
      </c>
      <c r="R230" s="177">
        <v>1.717101</v>
      </c>
      <c r="S230" s="178">
        <v>32.717260000000003</v>
      </c>
      <c r="V230" s="198">
        <f t="shared" si="33"/>
        <v>23.0533108120467</v>
      </c>
    </row>
    <row r="231" spans="1:22" ht="14.25">
      <c r="A231" s="319">
        <v>12</v>
      </c>
      <c r="B231" s="177">
        <v>1.7295848039999999</v>
      </c>
      <c r="C231" s="177">
        <v>-4.18804E-4</v>
      </c>
      <c r="D231" s="177">
        <v>6.9267440000000002</v>
      </c>
      <c r="E231" s="177">
        <v>0.48940400000000001</v>
      </c>
      <c r="F231" s="177">
        <v>0</v>
      </c>
      <c r="G231" s="177">
        <v>5.7538049999999998</v>
      </c>
      <c r="H231" s="177">
        <v>7.7635370000000004</v>
      </c>
      <c r="I231" s="177">
        <v>6.1397820000000003</v>
      </c>
      <c r="J231" s="177">
        <v>0.54940699999999998</v>
      </c>
      <c r="K231" s="177">
        <v>0.48359999999999997</v>
      </c>
      <c r="L231" s="177">
        <v>2.8942809999999999</v>
      </c>
      <c r="M231" s="177">
        <v>7.7519500000000005E-2</v>
      </c>
      <c r="N231" s="177">
        <v>0.25399949999999999</v>
      </c>
      <c r="O231" s="178">
        <v>33.061245</v>
      </c>
      <c r="P231" s="177">
        <v>-1.5188E-2</v>
      </c>
      <c r="Q231" s="177">
        <v>-5.1149E-2</v>
      </c>
      <c r="R231" s="177">
        <v>0.34584799999999999</v>
      </c>
      <c r="S231" s="178">
        <v>33.340755999999999</v>
      </c>
      <c r="V231" s="198">
        <f t="shared" si="33"/>
        <v>23.482288703888798</v>
      </c>
    </row>
    <row r="232" spans="1:22" ht="14.25">
      <c r="A232" s="319">
        <v>13</v>
      </c>
      <c r="B232" s="177">
        <v>1.307208916</v>
      </c>
      <c r="C232" s="177">
        <v>3.58084E-4</v>
      </c>
      <c r="D232" s="177">
        <v>6.9266189999999996</v>
      </c>
      <c r="E232" s="177">
        <v>0.490319</v>
      </c>
      <c r="F232" s="177">
        <v>0</v>
      </c>
      <c r="G232" s="177">
        <v>4.3955409999999997</v>
      </c>
      <c r="H232" s="177">
        <v>8.9747479999999999</v>
      </c>
      <c r="I232" s="177">
        <v>7.3132130000000002</v>
      </c>
      <c r="J232" s="177">
        <v>0.96928400000000003</v>
      </c>
      <c r="K232" s="177">
        <v>0.48721999999999999</v>
      </c>
      <c r="L232" s="177">
        <v>2.8877169999999999</v>
      </c>
      <c r="M232" s="177">
        <v>7.6606999999999995E-2</v>
      </c>
      <c r="N232" s="177">
        <v>0.253216</v>
      </c>
      <c r="O232" s="178">
        <v>34.082051</v>
      </c>
      <c r="P232" s="177">
        <v>-0.23974100000000001</v>
      </c>
      <c r="Q232" s="177">
        <v>-5.1235000000000003E-2</v>
      </c>
      <c r="R232" s="177">
        <v>0.29413699999999998</v>
      </c>
      <c r="S232" s="178">
        <v>34.085211999999999</v>
      </c>
      <c r="V232" s="198">
        <f t="shared" si="33"/>
        <v>26.33276970332566</v>
      </c>
    </row>
    <row r="233" spans="1:22" ht="14.25">
      <c r="A233" s="319">
        <v>14</v>
      </c>
      <c r="B233" s="177">
        <v>1.326989516</v>
      </c>
      <c r="C233" s="177">
        <v>-2.39516E-4</v>
      </c>
      <c r="D233" s="177">
        <v>6.9123299999999999</v>
      </c>
      <c r="E233" s="177">
        <v>0.49143100000000001</v>
      </c>
      <c r="F233" s="177">
        <v>0</v>
      </c>
      <c r="G233" s="177">
        <v>4.1711020000000003</v>
      </c>
      <c r="H233" s="177">
        <v>9.9824319999999993</v>
      </c>
      <c r="I233" s="177">
        <v>7.733746</v>
      </c>
      <c r="J233" s="177">
        <v>1.1707639999999999</v>
      </c>
      <c r="K233" s="177">
        <v>0.496006</v>
      </c>
      <c r="L233" s="177">
        <v>2.8755389999999998</v>
      </c>
      <c r="M233" s="177">
        <v>7.7197000000000002E-2</v>
      </c>
      <c r="N233" s="177">
        <v>0.25343199999999999</v>
      </c>
      <c r="O233" s="178">
        <v>35.490729000000002</v>
      </c>
      <c r="P233" s="177">
        <v>-0.53779500000000002</v>
      </c>
      <c r="Q233" s="177">
        <v>-5.1235999999999997E-2</v>
      </c>
      <c r="R233" s="177">
        <v>-0.14242299999999999</v>
      </c>
      <c r="S233" s="178">
        <v>34.759275000000002</v>
      </c>
      <c r="V233" s="198">
        <f t="shared" si="33"/>
        <v>28.126872231900336</v>
      </c>
    </row>
    <row r="234" spans="1:22" ht="14.25">
      <c r="A234" s="319">
        <v>15</v>
      </c>
      <c r="B234" s="177">
        <v>1.1504579159999999</v>
      </c>
      <c r="C234" s="177">
        <v>-1.0579160000000001E-3</v>
      </c>
      <c r="D234" s="177">
        <v>6.9099449999999996</v>
      </c>
      <c r="E234" s="177">
        <v>0.487738</v>
      </c>
      <c r="F234" s="177">
        <v>0</v>
      </c>
      <c r="G234" s="177">
        <v>4.0621029999999996</v>
      </c>
      <c r="H234" s="177">
        <v>10.749912</v>
      </c>
      <c r="I234" s="177">
        <v>7.7560830000000003</v>
      </c>
      <c r="J234" s="177">
        <v>1.346679</v>
      </c>
      <c r="K234" s="177">
        <v>0.49954900000000002</v>
      </c>
      <c r="L234" s="177">
        <v>2.8666550000000002</v>
      </c>
      <c r="M234" s="177">
        <v>7.6366500000000004E-2</v>
      </c>
      <c r="N234" s="177">
        <v>0.25200450000000002</v>
      </c>
      <c r="O234" s="178">
        <v>36.156435000000002</v>
      </c>
      <c r="P234" s="177">
        <v>-0.50600900000000004</v>
      </c>
      <c r="Q234" s="177">
        <v>-5.1149E-2</v>
      </c>
      <c r="R234" s="177">
        <v>-0.88172399999999995</v>
      </c>
      <c r="S234" s="178">
        <v>34.717553000000002</v>
      </c>
      <c r="V234" s="198">
        <f t="shared" si="33"/>
        <v>29.731670171575264</v>
      </c>
    </row>
    <row r="235" spans="1:22" ht="14.25">
      <c r="A235" s="319">
        <v>16</v>
      </c>
      <c r="B235" s="177">
        <v>1.1162358480000001</v>
      </c>
      <c r="C235" s="177">
        <v>-1.0728479999999999E-3</v>
      </c>
      <c r="D235" s="177">
        <v>6.9065890000000003</v>
      </c>
      <c r="E235" s="177">
        <v>0.48702000000000001</v>
      </c>
      <c r="F235" s="177">
        <v>0</v>
      </c>
      <c r="G235" s="177">
        <v>3.5706880000000001</v>
      </c>
      <c r="H235" s="177">
        <v>11.566071000000001</v>
      </c>
      <c r="I235" s="177">
        <v>7.5174969999999997</v>
      </c>
      <c r="J235" s="177">
        <v>1.495106</v>
      </c>
      <c r="K235" s="177">
        <v>0.50150700000000004</v>
      </c>
      <c r="L235" s="177">
        <v>2.8643990000000001</v>
      </c>
      <c r="M235" s="177">
        <v>7.6740500000000003E-2</v>
      </c>
      <c r="N235" s="177">
        <v>0.24899950000000001</v>
      </c>
      <c r="O235" s="178">
        <v>36.349780000000003</v>
      </c>
      <c r="P235" s="177">
        <v>-0.59922600000000004</v>
      </c>
      <c r="Q235" s="177">
        <v>-5.1149E-2</v>
      </c>
      <c r="R235" s="177">
        <v>-1.7242189999999999</v>
      </c>
      <c r="S235" s="178">
        <v>33.975186000000001</v>
      </c>
      <c r="V235" s="198">
        <f t="shared" si="33"/>
        <v>31.818819811289089</v>
      </c>
    </row>
    <row r="236" spans="1:22" ht="14.25">
      <c r="A236" s="319">
        <v>17</v>
      </c>
      <c r="B236" s="177">
        <v>1.273858248</v>
      </c>
      <c r="C236" s="177">
        <v>4.7969751999999997E-2</v>
      </c>
      <c r="D236" s="177">
        <v>6.9058609999999998</v>
      </c>
      <c r="E236" s="177">
        <v>0.47244700000000001</v>
      </c>
      <c r="F236" s="177">
        <v>0</v>
      </c>
      <c r="G236" s="177">
        <v>3.809215</v>
      </c>
      <c r="H236" s="177">
        <v>11.948162</v>
      </c>
      <c r="I236" s="177">
        <v>7.0722880000000004</v>
      </c>
      <c r="J236" s="177">
        <v>1.555499</v>
      </c>
      <c r="K236" s="177">
        <v>0.49906099999999998</v>
      </c>
      <c r="L236" s="177">
        <v>2.8829889999999998</v>
      </c>
      <c r="M236" s="177">
        <v>7.6768500000000003E-2</v>
      </c>
      <c r="N236" s="177">
        <v>0.25027250000000001</v>
      </c>
      <c r="O236" s="178">
        <v>36.794390999999997</v>
      </c>
      <c r="P236" s="177">
        <v>-0.42877399999999999</v>
      </c>
      <c r="Q236" s="177">
        <v>-5.1062000000000003E-2</v>
      </c>
      <c r="R236" s="177">
        <v>-2.6267100000000001</v>
      </c>
      <c r="S236" s="178">
        <v>33.687845000000003</v>
      </c>
      <c r="V236" s="198">
        <f t="shared" si="33"/>
        <v>32.472780973600031</v>
      </c>
    </row>
    <row r="237" spans="1:22" ht="14.25">
      <c r="A237" s="319">
        <v>18</v>
      </c>
      <c r="B237" s="177">
        <v>1.2354012480000001</v>
      </c>
      <c r="C237" s="177">
        <v>4.8640752000000002E-2</v>
      </c>
      <c r="D237" s="177">
        <v>6.9049810000000003</v>
      </c>
      <c r="E237" s="177">
        <v>0.46826400000000001</v>
      </c>
      <c r="F237" s="177">
        <v>0</v>
      </c>
      <c r="G237" s="177">
        <v>4.2955019999999999</v>
      </c>
      <c r="H237" s="177">
        <v>11.957312999999999</v>
      </c>
      <c r="I237" s="177">
        <v>6.232456</v>
      </c>
      <c r="J237" s="177">
        <v>1.6676550000000001</v>
      </c>
      <c r="K237" s="177">
        <v>0.51316099999999998</v>
      </c>
      <c r="L237" s="177">
        <v>2.958666</v>
      </c>
      <c r="M237" s="177">
        <v>7.6397999999999994E-2</v>
      </c>
      <c r="N237" s="177">
        <v>0.25367499999999998</v>
      </c>
      <c r="O237" s="178">
        <v>36.612113000000001</v>
      </c>
      <c r="P237" s="177">
        <v>-0.52309799999999995</v>
      </c>
      <c r="Q237" s="177">
        <v>-5.1192000000000001E-2</v>
      </c>
      <c r="R237" s="177">
        <v>-2.4887220000000001</v>
      </c>
      <c r="S237" s="178">
        <v>33.549101</v>
      </c>
      <c r="V237" s="198">
        <f t="shared" si="33"/>
        <v>32.659445249718303</v>
      </c>
    </row>
    <row r="238" spans="1:22" ht="14.25">
      <c r="A238" s="319">
        <v>19</v>
      </c>
      <c r="B238" s="177">
        <v>1.6652138480000001</v>
      </c>
      <c r="C238" s="177">
        <v>6.0716951999999998E-2</v>
      </c>
      <c r="D238" s="177">
        <v>6.9073359999999999</v>
      </c>
      <c r="E238" s="177">
        <v>0.48983199999999999</v>
      </c>
      <c r="F238" s="177">
        <v>0</v>
      </c>
      <c r="G238" s="177">
        <v>5.1226479999999999</v>
      </c>
      <c r="H238" s="177">
        <v>11.568220999999999</v>
      </c>
      <c r="I238" s="177">
        <v>4.2950670000000004</v>
      </c>
      <c r="J238" s="177">
        <v>1.6687860000000001</v>
      </c>
      <c r="K238" s="177">
        <v>0.52452100000000002</v>
      </c>
      <c r="L238" s="177">
        <v>2.9794969999999998</v>
      </c>
      <c r="M238" s="177">
        <v>7.6885499999999996E-2</v>
      </c>
      <c r="N238" s="177">
        <v>0.25383650000000002</v>
      </c>
      <c r="O238" s="178">
        <v>35.612560799999997</v>
      </c>
      <c r="P238" s="177">
        <v>-0.58865299999999998</v>
      </c>
      <c r="Q238" s="177">
        <v>-5.1147999999999999E-2</v>
      </c>
      <c r="R238" s="177">
        <v>-2.3771589999999998</v>
      </c>
      <c r="S238" s="178">
        <v>32.5956008</v>
      </c>
      <c r="V238" s="198">
        <f t="shared" si="33"/>
        <v>32.483541593560439</v>
      </c>
    </row>
    <row r="239" spans="1:22" ht="14.25">
      <c r="A239" s="319">
        <v>20</v>
      </c>
      <c r="B239" s="177">
        <v>2.7943934600000002</v>
      </c>
      <c r="C239" s="177">
        <v>8.6629843999999998E-2</v>
      </c>
      <c r="D239" s="177">
        <v>6.9127770000000002</v>
      </c>
      <c r="E239" s="177">
        <v>0.489958</v>
      </c>
      <c r="F239" s="177">
        <v>0</v>
      </c>
      <c r="G239" s="177">
        <v>5.9295460000000002</v>
      </c>
      <c r="H239" s="177">
        <v>10.570330999999999</v>
      </c>
      <c r="I239" s="177">
        <v>1.8263320000000001</v>
      </c>
      <c r="J239" s="177">
        <v>1.299793</v>
      </c>
      <c r="K239" s="177">
        <v>0.52415299999999998</v>
      </c>
      <c r="L239" s="177">
        <v>2.9971109999999999</v>
      </c>
      <c r="M239" s="177">
        <v>7.5702500000000006E-2</v>
      </c>
      <c r="N239" s="177">
        <v>0.2557025</v>
      </c>
      <c r="O239" s="178">
        <v>33.762429304000001</v>
      </c>
      <c r="P239" s="177">
        <v>-0.145068</v>
      </c>
      <c r="Q239" s="177">
        <v>-5.1149E-2</v>
      </c>
      <c r="R239" s="177">
        <v>-1.669735</v>
      </c>
      <c r="S239" s="178">
        <v>31.896477304000001</v>
      </c>
      <c r="V239" s="198">
        <f t="shared" si="33"/>
        <v>31.307969295762973</v>
      </c>
    </row>
    <row r="240" spans="1:22" ht="14.25">
      <c r="A240" s="319">
        <v>21</v>
      </c>
      <c r="B240" s="177">
        <v>3.3666209999999999</v>
      </c>
      <c r="C240" s="177">
        <v>0.33430199999999999</v>
      </c>
      <c r="D240" s="177">
        <v>6.9199140000000003</v>
      </c>
      <c r="E240" s="177">
        <v>0.49316599999999999</v>
      </c>
      <c r="F240" s="177">
        <v>0</v>
      </c>
      <c r="G240" s="177">
        <v>6.5150090000000001</v>
      </c>
      <c r="H240" s="177">
        <v>9.0287659999999992</v>
      </c>
      <c r="I240" s="177">
        <v>0.15364</v>
      </c>
      <c r="J240" s="177">
        <v>0.66015400000000002</v>
      </c>
      <c r="K240" s="177">
        <v>0.528999</v>
      </c>
      <c r="L240" s="177">
        <v>3.0216150000000002</v>
      </c>
      <c r="M240" s="177">
        <v>7.7706999999999998E-2</v>
      </c>
      <c r="N240" s="177">
        <v>0.25823699999999999</v>
      </c>
      <c r="O240" s="178">
        <v>31.358129999999999</v>
      </c>
      <c r="P240" s="177">
        <v>-1.4220000000000001E-3</v>
      </c>
      <c r="Q240" s="177">
        <v>-5.1105999999999999E-2</v>
      </c>
      <c r="R240" s="177">
        <v>1.019552</v>
      </c>
      <c r="S240" s="178">
        <v>32.325153999999998</v>
      </c>
      <c r="V240" s="198">
        <f t="shared" si="33"/>
        <v>28.79242480339229</v>
      </c>
    </row>
    <row r="241" spans="1:22" ht="14.25">
      <c r="A241" s="319">
        <v>22</v>
      </c>
      <c r="B241" s="177">
        <v>3.6524160000000001</v>
      </c>
      <c r="C241" s="177">
        <v>0.58017300000000005</v>
      </c>
      <c r="D241" s="177">
        <v>6.9202409999999999</v>
      </c>
      <c r="E241" s="177">
        <v>0.56124300000000005</v>
      </c>
      <c r="F241" s="177">
        <v>0</v>
      </c>
      <c r="G241" s="177">
        <v>7.7184090000000003</v>
      </c>
      <c r="H241" s="177">
        <v>7.6143809999999998</v>
      </c>
      <c r="I241" s="177">
        <v>2.8699999999999998E-4</v>
      </c>
      <c r="J241" s="177">
        <v>0.35680800000000001</v>
      </c>
      <c r="K241" s="177">
        <v>0.54460500000000001</v>
      </c>
      <c r="L241" s="177">
        <v>3.0374680000000001</v>
      </c>
      <c r="M241" s="177">
        <v>7.8171500000000005E-2</v>
      </c>
      <c r="N241" s="177">
        <v>0.26058350000000002</v>
      </c>
      <c r="O241" s="178">
        <v>31.324786</v>
      </c>
      <c r="P241" s="177">
        <v>-1.428E-3</v>
      </c>
      <c r="Q241" s="177">
        <v>-5.1235999999999997E-2</v>
      </c>
      <c r="R241" s="177">
        <v>1.6674359999999999</v>
      </c>
      <c r="S241" s="178">
        <v>32.939557999999998</v>
      </c>
      <c r="V241" s="198">
        <f t="shared" si="33"/>
        <v>24.307846827748481</v>
      </c>
    </row>
    <row r="242" spans="1:22" ht="14.25">
      <c r="A242" s="319">
        <v>23</v>
      </c>
      <c r="B242" s="177">
        <v>3.0728925039999999</v>
      </c>
      <c r="C242" s="177">
        <v>0.187972</v>
      </c>
      <c r="D242" s="177">
        <v>6.9249489999999998</v>
      </c>
      <c r="E242" s="177">
        <v>0.64964599999999995</v>
      </c>
      <c r="F242" s="177">
        <v>0</v>
      </c>
      <c r="G242" s="177">
        <v>7.3923490000000003</v>
      </c>
      <c r="H242" s="177">
        <v>7.035901</v>
      </c>
      <c r="I242" s="177">
        <v>2.1800000000000001E-4</v>
      </c>
      <c r="J242" s="177">
        <v>0.26938400000000001</v>
      </c>
      <c r="K242" s="177">
        <v>0.54947000000000001</v>
      </c>
      <c r="L242" s="177">
        <v>3.046764</v>
      </c>
      <c r="M242" s="177">
        <v>7.8290999999999999E-2</v>
      </c>
      <c r="N242" s="177">
        <v>0.25550299999999998</v>
      </c>
      <c r="O242" s="178">
        <v>29.463339504</v>
      </c>
      <c r="P242" s="177">
        <v>-1.4989999999999999E-3</v>
      </c>
      <c r="Q242" s="177">
        <v>-5.1147999999999999E-2</v>
      </c>
      <c r="R242" s="177">
        <v>1.0948629999999999</v>
      </c>
      <c r="S242" s="178">
        <v>30.505555504</v>
      </c>
      <c r="V242" s="198">
        <f t="shared" si="33"/>
        <v>23.880188459440561</v>
      </c>
    </row>
    <row r="243" spans="1:22" ht="14.25">
      <c r="A243" s="319">
        <v>24</v>
      </c>
      <c r="B243" s="177">
        <v>2.551523</v>
      </c>
      <c r="C243" s="177">
        <v>9.4867999999999994E-2</v>
      </c>
      <c r="D243" s="177">
        <v>6.9250259999999999</v>
      </c>
      <c r="E243" s="177">
        <v>0.66595300000000002</v>
      </c>
      <c r="F243" s="177">
        <v>0</v>
      </c>
      <c r="G243" s="177">
        <v>6.3833900000000003</v>
      </c>
      <c r="H243" s="177">
        <v>6.96699</v>
      </c>
      <c r="I243" s="177">
        <v>2.1699999999999999E-4</v>
      </c>
      <c r="J243" s="177">
        <v>0.226379</v>
      </c>
      <c r="K243" s="177">
        <v>0.55974900000000005</v>
      </c>
      <c r="L243" s="177">
        <v>2.9946769999999998</v>
      </c>
      <c r="M243" s="177">
        <v>7.9064499999999996E-2</v>
      </c>
      <c r="N243" s="177">
        <v>0.24674450000000001</v>
      </c>
      <c r="O243" s="178">
        <v>27.694580999999999</v>
      </c>
      <c r="P243" s="177">
        <v>-1.4959999999999999E-3</v>
      </c>
      <c r="Q243" s="177">
        <v>-5.1147999999999999E-2</v>
      </c>
      <c r="R243" s="177">
        <v>0.71822699999999995</v>
      </c>
      <c r="S243" s="178">
        <v>28.360164000000001</v>
      </c>
      <c r="V243" s="198">
        <f t="shared" si="33"/>
        <v>25.156509860178062</v>
      </c>
    </row>
    <row r="244" spans="1:22" ht="14.25">
      <c r="V244" s="198" t="str">
        <f t="shared" ref="V244:V246" si="34">IFERROR(G244/N244*100,"")</f>
        <v/>
      </c>
    </row>
    <row r="245" spans="1:22" ht="14.25">
      <c r="V245" s="198" t="str">
        <f t="shared" si="34"/>
        <v/>
      </c>
    </row>
    <row r="246" spans="1:22" ht="14.25">
      <c r="V246" s="198" t="str">
        <f t="shared" si="34"/>
        <v/>
      </c>
    </row>
    <row r="248" spans="1:22">
      <c r="A248" s="262"/>
      <c r="B248" s="262" t="s">
        <v>30</v>
      </c>
      <c r="C248" s="263" t="s">
        <v>197</v>
      </c>
      <c r="D248" s="263" t="s">
        <v>198</v>
      </c>
      <c r="E248" s="263" t="s">
        <v>199</v>
      </c>
      <c r="F248" s="263" t="s">
        <v>200</v>
      </c>
      <c r="G248" s="263" t="s">
        <v>202</v>
      </c>
      <c r="H248" s="263" t="s">
        <v>204</v>
      </c>
      <c r="I248" s="263" t="s">
        <v>205</v>
      </c>
      <c r="J248" s="263" t="s">
        <v>207</v>
      </c>
      <c r="K248" s="263" t="s">
        <v>221</v>
      </c>
      <c r="L248" s="263" t="s">
        <v>223</v>
      </c>
      <c r="M248" s="263" t="s">
        <v>228</v>
      </c>
      <c r="N248" s="263" t="s">
        <v>229</v>
      </c>
      <c r="O248" s="263" t="s">
        <v>232</v>
      </c>
    </row>
    <row r="249" spans="1:22">
      <c r="A249" s="262"/>
      <c r="B249" s="262" t="s">
        <v>106</v>
      </c>
      <c r="C249" s="263" t="s">
        <v>189</v>
      </c>
      <c r="D249" s="263" t="s">
        <v>189</v>
      </c>
      <c r="E249" s="263" t="s">
        <v>189</v>
      </c>
      <c r="F249" s="263" t="s">
        <v>189</v>
      </c>
      <c r="G249" s="263" t="s">
        <v>189</v>
      </c>
      <c r="H249" s="263" t="s">
        <v>189</v>
      </c>
      <c r="I249" s="263" t="s">
        <v>189</v>
      </c>
      <c r="J249" s="263" t="s">
        <v>189</v>
      </c>
      <c r="K249" s="263" t="s">
        <v>189</v>
      </c>
      <c r="L249" s="263" t="s">
        <v>189</v>
      </c>
      <c r="M249" s="263" t="s">
        <v>189</v>
      </c>
      <c r="N249" s="263" t="s">
        <v>189</v>
      </c>
      <c r="O249" s="263" t="s">
        <v>189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5" t="s">
        <v>4</v>
      </c>
      <c r="B251" s="265" t="s">
        <v>160</v>
      </c>
      <c r="C251" s="270">
        <v>95353.110719999997</v>
      </c>
      <c r="D251" s="270">
        <v>68355.734400000001</v>
      </c>
      <c r="E251" s="270">
        <v>98168.512319999994</v>
      </c>
      <c r="F251" s="270">
        <v>24298.63968</v>
      </c>
      <c r="G251" s="270">
        <v>198926.75232</v>
      </c>
      <c r="H251" s="270"/>
      <c r="I251" s="270"/>
      <c r="J251" s="270"/>
      <c r="K251" s="270">
        <v>59989.476479999998</v>
      </c>
      <c r="L251" s="270">
        <v>102841.992</v>
      </c>
      <c r="M251" s="270">
        <v>15271.65984</v>
      </c>
      <c r="N251" s="270"/>
      <c r="O251" s="270"/>
    </row>
    <row r="252" spans="1:22">
      <c r="A252" s="346"/>
      <c r="B252" s="265" t="s">
        <v>161</v>
      </c>
      <c r="C252" s="270">
        <v>176849.01887999999</v>
      </c>
      <c r="D252" s="270">
        <v>160358.09760000001</v>
      </c>
      <c r="E252" s="270">
        <v>225755.59968000001</v>
      </c>
      <c r="F252" s="270">
        <v>195798.21312</v>
      </c>
      <c r="G252" s="270">
        <v>342121.41791999998</v>
      </c>
      <c r="H252" s="270">
        <v>177665.46720000001</v>
      </c>
      <c r="I252" s="270">
        <v>241179.43392000001</v>
      </c>
      <c r="J252" s="270">
        <v>267483.56928</v>
      </c>
      <c r="K252" s="270">
        <v>263990.79168000002</v>
      </c>
      <c r="L252" s="270">
        <v>312672.93792</v>
      </c>
      <c r="M252" s="270">
        <v>282114.43776</v>
      </c>
      <c r="N252" s="270">
        <v>315216.2352</v>
      </c>
      <c r="O252" s="270">
        <v>466130.6544</v>
      </c>
    </row>
    <row r="253" spans="1:22">
      <c r="A253" s="265" t="s">
        <v>95</v>
      </c>
      <c r="B253" s="265" t="s">
        <v>177</v>
      </c>
      <c r="C253" s="270">
        <v>7.6999999999999996E-4</v>
      </c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>
        <v>7.6999999999999996E-4</v>
      </c>
      <c r="O253" s="270">
        <v>7.6999999999999996E-4</v>
      </c>
    </row>
    <row r="254" spans="1:22">
      <c r="A254" s="265" t="s">
        <v>11</v>
      </c>
      <c r="B254" s="265" t="s">
        <v>162</v>
      </c>
      <c r="C254" s="270">
        <v>1682196.0234300001</v>
      </c>
      <c r="D254" s="270">
        <v>1032684.19727</v>
      </c>
      <c r="E254" s="270">
        <v>1191884.1131800001</v>
      </c>
      <c r="F254" s="270">
        <v>948987.69421999995</v>
      </c>
      <c r="G254" s="270">
        <v>809672.65945000004</v>
      </c>
      <c r="H254" s="270">
        <v>402130.41519999999</v>
      </c>
      <c r="I254" s="270">
        <v>610285.16801000002</v>
      </c>
      <c r="J254" s="270">
        <v>1060368.5737000001</v>
      </c>
      <c r="K254" s="270">
        <v>741767.45299999998</v>
      </c>
      <c r="L254" s="270">
        <v>1160411.56908</v>
      </c>
      <c r="M254" s="270">
        <v>1119209.6477999999</v>
      </c>
      <c r="N254" s="270">
        <v>1230323.56155</v>
      </c>
      <c r="O254" s="270">
        <v>1589659.08115</v>
      </c>
    </row>
    <row r="255" spans="1:22">
      <c r="A255" s="347" t="s">
        <v>9</v>
      </c>
      <c r="B255" s="265" t="s">
        <v>163</v>
      </c>
      <c r="C255" s="270">
        <v>105936.9945</v>
      </c>
      <c r="D255" s="270">
        <v>109715.55100000001</v>
      </c>
      <c r="E255" s="270">
        <v>110040.65549999999</v>
      </c>
      <c r="F255" s="270">
        <v>92507.442999999999</v>
      </c>
      <c r="G255" s="270">
        <v>90670.160999999993</v>
      </c>
      <c r="H255" s="270">
        <v>57008.315999999999</v>
      </c>
      <c r="I255" s="270">
        <v>60910.863499999999</v>
      </c>
      <c r="J255" s="270">
        <v>70781.572499999995</v>
      </c>
      <c r="K255" s="270">
        <v>77218.312000000005</v>
      </c>
      <c r="L255" s="270">
        <v>84865.786500000002</v>
      </c>
      <c r="M255" s="270">
        <v>92289.863500000007</v>
      </c>
      <c r="N255" s="270">
        <v>88774.316500000001</v>
      </c>
      <c r="O255" s="270">
        <v>99320.661999999997</v>
      </c>
    </row>
    <row r="256" spans="1:22">
      <c r="A256" s="348"/>
      <c r="B256" s="265" t="s">
        <v>164</v>
      </c>
      <c r="C256" s="270">
        <v>752542.68096000003</v>
      </c>
      <c r="D256" s="270">
        <v>766641.48228</v>
      </c>
      <c r="E256" s="270">
        <v>779185.96704000002</v>
      </c>
      <c r="F256" s="270">
        <v>774971.06400000001</v>
      </c>
      <c r="G256" s="270">
        <v>798328.18440000003</v>
      </c>
      <c r="H256" s="270">
        <v>619709.51015999995</v>
      </c>
      <c r="I256" s="270">
        <v>764504.20296000002</v>
      </c>
      <c r="J256" s="270">
        <v>736196.92452</v>
      </c>
      <c r="K256" s="270">
        <v>735775.09883999999</v>
      </c>
      <c r="L256" s="270">
        <v>724135.87691999995</v>
      </c>
      <c r="M256" s="270">
        <v>739028.74176</v>
      </c>
      <c r="N256" s="270">
        <v>689838.14664000005</v>
      </c>
      <c r="O256" s="270">
        <v>703188.91619999998</v>
      </c>
    </row>
    <row r="257" spans="1:17">
      <c r="A257" s="348"/>
      <c r="B257" s="265" t="s">
        <v>165</v>
      </c>
      <c r="C257" s="270">
        <v>859.25257999999997</v>
      </c>
      <c r="D257" s="270">
        <v>912.58709999999996</v>
      </c>
      <c r="E257" s="270">
        <v>918.54246000000001</v>
      </c>
      <c r="F257" s="270">
        <v>742.28250000000003</v>
      </c>
      <c r="G257" s="270">
        <v>728.39844000000005</v>
      </c>
      <c r="H257" s="270">
        <v>376.69209999999998</v>
      </c>
      <c r="I257" s="270">
        <v>939.34518000000003</v>
      </c>
      <c r="J257" s="270">
        <v>449.36178000000001</v>
      </c>
      <c r="K257" s="270">
        <v>674.04931999999997</v>
      </c>
      <c r="L257" s="270">
        <v>455.12562000000003</v>
      </c>
      <c r="M257" s="270">
        <v>761.31745999999998</v>
      </c>
      <c r="N257" s="270">
        <v>736.51941999999997</v>
      </c>
      <c r="O257" s="270">
        <v>971.72194000000002</v>
      </c>
    </row>
    <row r="258" spans="1:17">
      <c r="A258" s="346"/>
      <c r="B258" s="265" t="s">
        <v>231</v>
      </c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>
        <v>730.62865999999997</v>
      </c>
      <c r="O258" s="270"/>
    </row>
    <row r="259" spans="1:17">
      <c r="A259" s="347" t="s">
        <v>70</v>
      </c>
      <c r="B259" s="265" t="s">
        <v>166</v>
      </c>
      <c r="C259" s="270">
        <v>25630.812849999998</v>
      </c>
      <c r="D259" s="270">
        <v>19344.03585</v>
      </c>
      <c r="E259" s="270">
        <v>31364.934000000001</v>
      </c>
      <c r="F259" s="270">
        <v>32300.28025</v>
      </c>
      <c r="G259" s="270">
        <v>31509.960050000002</v>
      </c>
      <c r="H259" s="270">
        <v>27963.00965</v>
      </c>
      <c r="I259" s="270">
        <v>26848.965550000001</v>
      </c>
      <c r="J259" s="270">
        <v>14883.509400000001</v>
      </c>
      <c r="K259" s="270">
        <v>27951.797750000002</v>
      </c>
      <c r="L259" s="270">
        <v>27003.805100000001</v>
      </c>
      <c r="M259" s="270">
        <v>32066.770250000001</v>
      </c>
      <c r="N259" s="270">
        <v>31906.170849999999</v>
      </c>
      <c r="O259" s="270">
        <v>30814.013800000001</v>
      </c>
    </row>
    <row r="260" spans="1:17">
      <c r="A260" s="348"/>
      <c r="B260" s="265" t="s">
        <v>167</v>
      </c>
      <c r="C260" s="270">
        <v>14041.84476</v>
      </c>
      <c r="D260" s="270">
        <v>15592.27716</v>
      </c>
      <c r="E260" s="270">
        <v>16213.62012</v>
      </c>
      <c r="F260" s="270">
        <v>16004.11536</v>
      </c>
      <c r="G260" s="270">
        <v>12494.40912</v>
      </c>
      <c r="H260" s="270">
        <v>13864.386</v>
      </c>
      <c r="I260" s="270">
        <v>14871.20832</v>
      </c>
      <c r="J260" s="270">
        <v>15917.4162</v>
      </c>
      <c r="K260" s="270">
        <v>12722.256719999999</v>
      </c>
      <c r="L260" s="270">
        <v>15727.94124</v>
      </c>
      <c r="M260" s="270">
        <v>16816.599719999998</v>
      </c>
      <c r="N260" s="270">
        <v>16307.92416</v>
      </c>
      <c r="O260" s="270">
        <v>13353.574199999999</v>
      </c>
    </row>
    <row r="261" spans="1:17">
      <c r="A261" s="346"/>
      <c r="B261" s="265" t="s">
        <v>168</v>
      </c>
      <c r="C261" s="270">
        <v>21217.824000000001</v>
      </c>
      <c r="D261" s="270">
        <v>17082.399119999998</v>
      </c>
      <c r="E261" s="270">
        <v>19240.935839999998</v>
      </c>
      <c r="F261" s="270">
        <v>19111.68576</v>
      </c>
      <c r="G261" s="270">
        <v>21579.222720000002</v>
      </c>
      <c r="H261" s="270">
        <v>17817.535199999998</v>
      </c>
      <c r="I261" s="270">
        <v>19503.143039999999</v>
      </c>
      <c r="J261" s="270">
        <v>20576.518080000002</v>
      </c>
      <c r="K261" s="270">
        <v>21195.614399999999</v>
      </c>
      <c r="L261" s="270">
        <v>21289.65048</v>
      </c>
      <c r="M261" s="270">
        <v>21434.41056</v>
      </c>
      <c r="N261" s="270">
        <v>23247.599040000001</v>
      </c>
      <c r="O261" s="270">
        <v>19033.27968</v>
      </c>
    </row>
    <row r="262" spans="1:17">
      <c r="A262" s="266" t="s">
        <v>15</v>
      </c>
      <c r="B262" s="267"/>
      <c r="C262" s="271">
        <v>2874627.5634499998</v>
      </c>
      <c r="D262" s="271">
        <v>2190686.3617799999</v>
      </c>
      <c r="E262" s="271">
        <v>2472772.88014</v>
      </c>
      <c r="F262" s="271">
        <v>2104721.4178900002</v>
      </c>
      <c r="G262" s="271">
        <v>2306031.16542</v>
      </c>
      <c r="H262" s="271">
        <v>1316535.3315099999</v>
      </c>
      <c r="I262" s="271">
        <v>1739042.33048</v>
      </c>
      <c r="J262" s="271">
        <v>2186657.4454600001</v>
      </c>
      <c r="K262" s="271">
        <v>1941284.8501899999</v>
      </c>
      <c r="L262" s="271">
        <v>2449404.6848599999</v>
      </c>
      <c r="M262" s="271">
        <v>2318993.4486500002</v>
      </c>
      <c r="N262" s="271">
        <v>2397081.1027899999</v>
      </c>
      <c r="O262" s="271">
        <v>2922471.9041400002</v>
      </c>
      <c r="Q262" s="44">
        <f>(O262-C262)/C262*100</f>
        <v>1.6643665878086762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9:A261"/>
    <mergeCell ref="A255:A258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G320" sqref="G320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1" t="s">
        <v>126</v>
      </c>
      <c r="D2" s="352"/>
      <c r="E2" s="352"/>
    </row>
    <row r="3" spans="1:6">
      <c r="A3">
        <v>0</v>
      </c>
      <c r="B3" s="46">
        <v>44075</v>
      </c>
      <c r="C3" s="269">
        <v>9.9157058673782661</v>
      </c>
      <c r="D3" s="269">
        <v>20.95959048014743</v>
      </c>
      <c r="E3" s="177">
        <f>IF(C3&lt;D3,C3,D3)</f>
        <v>9.9157058673782661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44076</v>
      </c>
      <c r="C4" s="269">
        <v>20.153271213409287</v>
      </c>
      <c r="D4" s="269">
        <v>20.95959048014743</v>
      </c>
      <c r="E4" s="177">
        <f t="shared" ref="E4:E67" si="0">IF(C4&lt;D4,C4,D4)</f>
        <v>20.153271213409287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44077</v>
      </c>
      <c r="C5" s="269">
        <v>24.629811097405561</v>
      </c>
      <c r="D5" s="269">
        <v>20.95959048014743</v>
      </c>
      <c r="E5" s="177">
        <f t="shared" si="0"/>
        <v>20.95959048014743</v>
      </c>
      <c r="F5" s="199" t="str">
        <f t="shared" si="1"/>
        <v/>
      </c>
    </row>
    <row r="6" spans="1:6">
      <c r="A6">
        <v>3</v>
      </c>
      <c r="B6" s="46">
        <v>44078</v>
      </c>
      <c r="C6" s="269">
        <v>19.219243357407425</v>
      </c>
      <c r="D6" s="269">
        <v>20.95959048014743</v>
      </c>
      <c r="E6" s="177">
        <f t="shared" si="0"/>
        <v>19.219243357407425</v>
      </c>
      <c r="F6" s="199" t="str">
        <f t="shared" si="1"/>
        <v/>
      </c>
    </row>
    <row r="7" spans="1:6">
      <c r="A7">
        <v>4</v>
      </c>
      <c r="B7" s="46">
        <v>44079</v>
      </c>
      <c r="C7" s="269">
        <v>2.4857805174055612</v>
      </c>
      <c r="D7" s="269">
        <v>20.95959048014743</v>
      </c>
      <c r="E7" s="177">
        <f t="shared" si="0"/>
        <v>2.4857805174055612</v>
      </c>
      <c r="F7" s="199" t="str">
        <f t="shared" si="1"/>
        <v/>
      </c>
    </row>
    <row r="8" spans="1:6">
      <c r="A8">
        <v>5</v>
      </c>
      <c r="B8" s="46">
        <v>44080</v>
      </c>
      <c r="C8" s="269">
        <v>1.1927802294074208</v>
      </c>
      <c r="D8" s="269">
        <v>20.95959048014743</v>
      </c>
      <c r="E8" s="177">
        <f t="shared" si="0"/>
        <v>1.1927802294074208</v>
      </c>
      <c r="F8" s="199" t="str">
        <f t="shared" si="1"/>
        <v/>
      </c>
    </row>
    <row r="9" spans="1:6">
      <c r="A9">
        <v>6</v>
      </c>
      <c r="B9" s="46">
        <v>44081</v>
      </c>
      <c r="C9" s="269">
        <v>1.9528572214055602</v>
      </c>
      <c r="D9" s="269">
        <v>20.95959048014743</v>
      </c>
      <c r="E9" s="177">
        <f t="shared" si="0"/>
        <v>1.9528572214055602</v>
      </c>
      <c r="F9" s="199" t="str">
        <f t="shared" si="1"/>
        <v/>
      </c>
    </row>
    <row r="10" spans="1:6">
      <c r="A10">
        <v>7</v>
      </c>
      <c r="B10" s="46">
        <v>44082</v>
      </c>
      <c r="C10" s="269">
        <v>10.516595965407426</v>
      </c>
      <c r="D10" s="269">
        <v>20.95959048014743</v>
      </c>
      <c r="E10" s="177">
        <f t="shared" si="0"/>
        <v>10.516595965407426</v>
      </c>
      <c r="F10" s="199" t="str">
        <f t="shared" si="1"/>
        <v/>
      </c>
    </row>
    <row r="11" spans="1:6">
      <c r="A11">
        <v>8</v>
      </c>
      <c r="B11" s="46">
        <v>44083</v>
      </c>
      <c r="C11" s="269">
        <v>23.06971625332412</v>
      </c>
      <c r="D11" s="269">
        <v>20.95959048014743</v>
      </c>
      <c r="E11" s="177">
        <f t="shared" si="0"/>
        <v>20.95959048014743</v>
      </c>
      <c r="F11" s="199" t="str">
        <f t="shared" si="1"/>
        <v/>
      </c>
    </row>
    <row r="12" spans="1:6">
      <c r="A12">
        <v>9</v>
      </c>
      <c r="B12" s="46">
        <v>44084</v>
      </c>
      <c r="C12" s="269">
        <v>17.835714077325989</v>
      </c>
      <c r="D12" s="269">
        <v>20.95959048014743</v>
      </c>
      <c r="E12" s="177">
        <f t="shared" si="0"/>
        <v>17.835714077325989</v>
      </c>
      <c r="F12" s="199" t="str">
        <f t="shared" si="1"/>
        <v/>
      </c>
    </row>
    <row r="13" spans="1:6">
      <c r="A13">
        <v>10</v>
      </c>
      <c r="B13" s="46">
        <v>44085</v>
      </c>
      <c r="C13" s="269">
        <v>15.430868341322261</v>
      </c>
      <c r="D13" s="269">
        <v>20.95959048014743</v>
      </c>
      <c r="E13" s="177">
        <f t="shared" si="0"/>
        <v>15.430868341322261</v>
      </c>
      <c r="F13" s="199" t="str">
        <f t="shared" si="1"/>
        <v/>
      </c>
    </row>
    <row r="14" spans="1:6">
      <c r="A14">
        <v>11</v>
      </c>
      <c r="B14" s="46">
        <v>44086</v>
      </c>
      <c r="C14" s="269">
        <v>1.5664787813259899</v>
      </c>
      <c r="D14" s="269">
        <v>20.95959048014743</v>
      </c>
      <c r="E14" s="177">
        <f t="shared" si="0"/>
        <v>1.5664787813259899</v>
      </c>
      <c r="F14" s="199" t="str">
        <f t="shared" si="1"/>
        <v/>
      </c>
    </row>
    <row r="15" spans="1:6">
      <c r="A15">
        <v>12</v>
      </c>
      <c r="B15" s="46">
        <v>44087</v>
      </c>
      <c r="C15" s="269">
        <v>1.4851167173222639</v>
      </c>
      <c r="D15" s="269">
        <v>20.95959048014743</v>
      </c>
      <c r="E15" s="177">
        <f t="shared" si="0"/>
        <v>1.4851167173222639</v>
      </c>
      <c r="F15" s="199" t="str">
        <f t="shared" si="1"/>
        <v/>
      </c>
    </row>
    <row r="16" spans="1:6">
      <c r="A16">
        <v>13</v>
      </c>
      <c r="B16" s="46">
        <v>44088</v>
      </c>
      <c r="C16" s="269">
        <v>22.501489901325986</v>
      </c>
      <c r="D16" s="269">
        <v>20.95959048014743</v>
      </c>
      <c r="E16" s="177">
        <f t="shared" si="0"/>
        <v>20.95959048014743</v>
      </c>
      <c r="F16" s="199" t="str">
        <f t="shared" si="1"/>
        <v/>
      </c>
    </row>
    <row r="17" spans="1:7">
      <c r="A17">
        <v>14</v>
      </c>
      <c r="B17" s="46">
        <v>44089</v>
      </c>
      <c r="C17" s="269">
        <v>36.529274045324129</v>
      </c>
      <c r="D17" s="269">
        <v>20.95959048014743</v>
      </c>
      <c r="E17" s="177">
        <f t="shared" si="0"/>
        <v>20.95959048014743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S</v>
      </c>
      <c r="G17" s="200">
        <f>IF(DAY(B17)=15,D17,"")</f>
        <v>20.95959048014743</v>
      </c>
    </row>
    <row r="18" spans="1:7">
      <c r="A18">
        <v>15</v>
      </c>
      <c r="B18" s="46">
        <v>44090</v>
      </c>
      <c r="C18" s="269">
        <v>49.211002997035102</v>
      </c>
      <c r="D18" s="269">
        <v>20.95959048014743</v>
      </c>
      <c r="E18" s="177">
        <f t="shared" si="0"/>
        <v>20.95959048014743</v>
      </c>
      <c r="F18" s="199" t="str">
        <f t="shared" si="1"/>
        <v/>
      </c>
    </row>
    <row r="19" spans="1:7">
      <c r="A19">
        <v>16</v>
      </c>
      <c r="B19" s="46">
        <v>44091</v>
      </c>
      <c r="C19" s="269">
        <v>23.439750845033238</v>
      </c>
      <c r="D19" s="269">
        <v>20.95959048014743</v>
      </c>
      <c r="E19" s="177">
        <f t="shared" si="0"/>
        <v>20.95959048014743</v>
      </c>
      <c r="F19" s="199" t="str">
        <f t="shared" si="1"/>
        <v/>
      </c>
    </row>
    <row r="20" spans="1:7">
      <c r="A20">
        <v>17</v>
      </c>
      <c r="B20" s="46">
        <v>44092</v>
      </c>
      <c r="C20" s="269">
        <v>17.305753081036965</v>
      </c>
      <c r="D20" s="269">
        <v>20.95959048014743</v>
      </c>
      <c r="E20" s="177">
        <f t="shared" si="0"/>
        <v>17.305753081036965</v>
      </c>
      <c r="F20" s="199" t="str">
        <f t="shared" si="1"/>
        <v/>
      </c>
    </row>
    <row r="21" spans="1:7">
      <c r="A21">
        <v>18</v>
      </c>
      <c r="B21" s="46">
        <v>44093</v>
      </c>
      <c r="C21" s="269">
        <v>7.5177133050350964</v>
      </c>
      <c r="D21" s="269">
        <v>20.95959048014743</v>
      </c>
      <c r="E21" s="177">
        <f t="shared" si="0"/>
        <v>7.5177133050350964</v>
      </c>
      <c r="F21" s="199" t="str">
        <f t="shared" si="1"/>
        <v/>
      </c>
    </row>
    <row r="22" spans="1:7">
      <c r="A22">
        <v>19</v>
      </c>
      <c r="B22" s="46">
        <v>44094</v>
      </c>
      <c r="C22" s="269">
        <v>6.3890751850351011</v>
      </c>
      <c r="D22" s="269">
        <v>20.95959048014743</v>
      </c>
      <c r="E22" s="177">
        <f t="shared" si="0"/>
        <v>6.3890751850351011</v>
      </c>
      <c r="F22" s="199" t="str">
        <f t="shared" si="1"/>
        <v/>
      </c>
    </row>
    <row r="23" spans="1:7">
      <c r="A23">
        <v>20</v>
      </c>
      <c r="B23" s="46">
        <v>44095</v>
      </c>
      <c r="C23" s="269">
        <v>29.609922117035094</v>
      </c>
      <c r="D23" s="269">
        <v>20.95959048014743</v>
      </c>
      <c r="E23" s="177">
        <f t="shared" si="0"/>
        <v>20.95959048014743</v>
      </c>
      <c r="F23" s="199" t="str">
        <f t="shared" si="1"/>
        <v/>
      </c>
    </row>
    <row r="24" spans="1:7">
      <c r="A24">
        <v>21</v>
      </c>
      <c r="B24" s="46">
        <v>44096</v>
      </c>
      <c r="C24" s="269">
        <v>41.249954653035104</v>
      </c>
      <c r="D24" s="269">
        <v>20.95959048014743</v>
      </c>
      <c r="E24" s="177">
        <f t="shared" si="0"/>
        <v>20.95959048014743</v>
      </c>
      <c r="F24" s="199" t="str">
        <f t="shared" si="1"/>
        <v/>
      </c>
    </row>
    <row r="25" spans="1:7">
      <c r="A25">
        <v>22</v>
      </c>
      <c r="B25" s="46">
        <v>44097</v>
      </c>
      <c r="C25" s="269">
        <v>47.738555841733351</v>
      </c>
      <c r="D25" s="269">
        <v>20.95959048014743</v>
      </c>
      <c r="E25" s="177">
        <f t="shared" si="0"/>
        <v>20.95959048014743</v>
      </c>
      <c r="F25" s="199" t="str">
        <f t="shared" si="1"/>
        <v/>
      </c>
    </row>
    <row r="26" spans="1:7">
      <c r="A26">
        <v>23</v>
      </c>
      <c r="B26" s="46">
        <v>44098</v>
      </c>
      <c r="C26" s="269">
        <v>28.364571265733343</v>
      </c>
      <c r="D26" s="269">
        <v>20.95959048014743</v>
      </c>
      <c r="E26" s="177">
        <f t="shared" si="0"/>
        <v>20.95959048014743</v>
      </c>
      <c r="F26" s="199" t="str">
        <f t="shared" si="1"/>
        <v/>
      </c>
    </row>
    <row r="27" spans="1:7">
      <c r="A27">
        <v>24</v>
      </c>
      <c r="B27" s="46">
        <v>44099</v>
      </c>
      <c r="C27" s="269">
        <v>14.38581081373521</v>
      </c>
      <c r="D27" s="269">
        <v>20.95959048014743</v>
      </c>
      <c r="E27" s="177">
        <f t="shared" si="0"/>
        <v>14.38581081373521</v>
      </c>
      <c r="F27" s="199" t="str">
        <f t="shared" si="1"/>
        <v/>
      </c>
    </row>
    <row r="28" spans="1:7">
      <c r="A28">
        <v>25</v>
      </c>
      <c r="B28" s="46">
        <v>44100</v>
      </c>
      <c r="C28" s="269">
        <v>9.8621068577314794</v>
      </c>
      <c r="D28" s="269">
        <v>20.95959048014743</v>
      </c>
      <c r="E28" s="177">
        <f t="shared" si="0"/>
        <v>9.8621068577314794</v>
      </c>
      <c r="F28" s="199" t="str">
        <f t="shared" si="1"/>
        <v/>
      </c>
    </row>
    <row r="29" spans="1:7">
      <c r="A29">
        <v>26</v>
      </c>
      <c r="B29" s="46">
        <v>44101</v>
      </c>
      <c r="C29" s="269">
        <v>13.26400406973521</v>
      </c>
      <c r="D29" s="269">
        <v>20.95959048014743</v>
      </c>
      <c r="E29" s="177">
        <f t="shared" si="0"/>
        <v>13.26400406973521</v>
      </c>
      <c r="F29" s="199" t="str">
        <f t="shared" si="1"/>
        <v/>
      </c>
    </row>
    <row r="30" spans="1:7">
      <c r="A30">
        <v>27</v>
      </c>
      <c r="B30" s="46">
        <v>44102</v>
      </c>
      <c r="C30" s="269">
        <v>20.942873981735211</v>
      </c>
      <c r="D30" s="269">
        <v>20.95959048014743</v>
      </c>
      <c r="E30" s="177">
        <f t="shared" si="0"/>
        <v>20.942873981735211</v>
      </c>
      <c r="F30" s="199" t="str">
        <f t="shared" si="1"/>
        <v/>
      </c>
    </row>
    <row r="31" spans="1:7">
      <c r="A31">
        <v>28</v>
      </c>
      <c r="B31" s="46">
        <v>44103</v>
      </c>
      <c r="C31" s="269">
        <v>31.611556617735207</v>
      </c>
      <c r="D31" s="269">
        <v>20.95959048014743</v>
      </c>
      <c r="E31" s="177">
        <f t="shared" si="0"/>
        <v>20.95959048014743</v>
      </c>
      <c r="F31" s="199" t="str">
        <f t="shared" si="1"/>
        <v/>
      </c>
    </row>
    <row r="32" spans="1:7">
      <c r="A32">
        <v>29</v>
      </c>
      <c r="B32" s="46">
        <v>44104</v>
      </c>
      <c r="C32" s="269">
        <v>49.582627884398121</v>
      </c>
      <c r="D32" s="269">
        <v>20.95959048014743</v>
      </c>
      <c r="E32" s="177">
        <f t="shared" si="0"/>
        <v>20.95959048014743</v>
      </c>
      <c r="F32" s="199" t="str">
        <f t="shared" si="1"/>
        <v/>
      </c>
    </row>
    <row r="33" spans="1:7">
      <c r="A33">
        <v>30</v>
      </c>
      <c r="B33" s="46">
        <v>44105</v>
      </c>
      <c r="C33" s="269">
        <v>34.494749008399985</v>
      </c>
      <c r="D33" s="269">
        <v>41.360965957335978</v>
      </c>
      <c r="E33" s="177">
        <f t="shared" si="0"/>
        <v>34.494749008399985</v>
      </c>
      <c r="F33" s="199" t="str">
        <f t="shared" si="1"/>
        <v/>
      </c>
    </row>
    <row r="34" spans="1:7">
      <c r="A34">
        <v>31</v>
      </c>
      <c r="B34" s="46">
        <v>44106</v>
      </c>
      <c r="C34" s="269">
        <v>33.263345404401854</v>
      </c>
      <c r="D34" s="269">
        <v>41.360965957335978</v>
      </c>
      <c r="E34" s="177">
        <f t="shared" si="0"/>
        <v>33.263345404401854</v>
      </c>
      <c r="F34" s="199" t="str">
        <f t="shared" si="1"/>
        <v/>
      </c>
    </row>
    <row r="35" spans="1:7">
      <c r="A35">
        <v>32</v>
      </c>
      <c r="B35" s="46">
        <v>44107</v>
      </c>
      <c r="C35" s="269">
        <v>31.916821480398124</v>
      </c>
      <c r="D35" s="269">
        <v>41.360965957335978</v>
      </c>
      <c r="E35" s="177">
        <f t="shared" si="0"/>
        <v>31.916821480398124</v>
      </c>
      <c r="F35" s="199" t="str">
        <f t="shared" si="1"/>
        <v/>
      </c>
    </row>
    <row r="36" spans="1:7">
      <c r="A36">
        <v>33</v>
      </c>
      <c r="B36" s="46">
        <v>44108</v>
      </c>
      <c r="C36" s="269">
        <v>32.320732376400919</v>
      </c>
      <c r="D36" s="269">
        <v>41.360965957335978</v>
      </c>
      <c r="E36" s="177">
        <f t="shared" si="0"/>
        <v>32.320732376400919</v>
      </c>
      <c r="F36" s="199" t="str">
        <f t="shared" si="1"/>
        <v/>
      </c>
    </row>
    <row r="37" spans="1:7">
      <c r="A37">
        <v>34</v>
      </c>
      <c r="B37" s="46">
        <v>44109</v>
      </c>
      <c r="C37" s="269">
        <v>36.530324628400912</v>
      </c>
      <c r="D37" s="269">
        <v>41.360965957335978</v>
      </c>
      <c r="E37" s="177">
        <f t="shared" si="0"/>
        <v>36.530324628400912</v>
      </c>
      <c r="F37" s="199" t="str">
        <f t="shared" si="1"/>
        <v/>
      </c>
    </row>
    <row r="38" spans="1:7">
      <c r="A38">
        <v>35</v>
      </c>
      <c r="B38" s="46">
        <v>44110</v>
      </c>
      <c r="C38" s="269">
        <v>44.161732320401846</v>
      </c>
      <c r="D38" s="269">
        <v>41.360965957335978</v>
      </c>
      <c r="E38" s="177">
        <f t="shared" si="0"/>
        <v>41.360965957335978</v>
      </c>
      <c r="F38" s="199" t="str">
        <f t="shared" si="1"/>
        <v/>
      </c>
    </row>
    <row r="39" spans="1:7">
      <c r="A39">
        <v>36</v>
      </c>
      <c r="B39" s="46">
        <v>44111</v>
      </c>
      <c r="C39" s="269">
        <v>51.275678575480406</v>
      </c>
      <c r="D39" s="269">
        <v>41.360965957335978</v>
      </c>
      <c r="E39" s="177">
        <f t="shared" si="0"/>
        <v>41.360965957335978</v>
      </c>
      <c r="F39" s="199" t="str">
        <f t="shared" si="1"/>
        <v/>
      </c>
    </row>
    <row r="40" spans="1:7">
      <c r="A40">
        <v>37</v>
      </c>
      <c r="B40" s="46">
        <v>44112</v>
      </c>
      <c r="C40" s="269">
        <v>57.804757795484143</v>
      </c>
      <c r="D40" s="269">
        <v>41.360965957335978</v>
      </c>
      <c r="E40" s="177">
        <f t="shared" si="0"/>
        <v>41.360965957335978</v>
      </c>
      <c r="F40" s="199" t="str">
        <f t="shared" si="1"/>
        <v/>
      </c>
    </row>
    <row r="41" spans="1:7">
      <c r="A41">
        <v>38</v>
      </c>
      <c r="B41" s="46">
        <v>44113</v>
      </c>
      <c r="C41" s="269">
        <v>58.90136793548227</v>
      </c>
      <c r="D41" s="269">
        <v>41.360965957335978</v>
      </c>
      <c r="E41" s="177">
        <f t="shared" si="0"/>
        <v>41.360965957335978</v>
      </c>
      <c r="F41" s="199" t="str">
        <f t="shared" si="1"/>
        <v/>
      </c>
    </row>
    <row r="42" spans="1:7">
      <c r="A42">
        <v>39</v>
      </c>
      <c r="B42" s="46">
        <v>44114</v>
      </c>
      <c r="C42" s="269">
        <v>31.952608363482273</v>
      </c>
      <c r="D42" s="269">
        <v>41.360965957335978</v>
      </c>
      <c r="E42" s="177">
        <f t="shared" si="0"/>
        <v>31.952608363482273</v>
      </c>
      <c r="F42" s="199" t="str">
        <f t="shared" si="1"/>
        <v/>
      </c>
    </row>
    <row r="43" spans="1:7">
      <c r="A43">
        <v>40</v>
      </c>
      <c r="B43" s="46">
        <v>44115</v>
      </c>
      <c r="C43" s="269">
        <v>27.311554463484136</v>
      </c>
      <c r="D43" s="269">
        <v>41.360965957335978</v>
      </c>
      <c r="E43" s="177">
        <f t="shared" si="0"/>
        <v>27.311554463484136</v>
      </c>
      <c r="F43" s="199" t="str">
        <f t="shared" si="1"/>
        <v/>
      </c>
    </row>
    <row r="44" spans="1:7">
      <c r="A44">
        <v>41</v>
      </c>
      <c r="B44" s="46">
        <v>44116</v>
      </c>
      <c r="C44" s="269">
        <v>33.411277655482273</v>
      </c>
      <c r="D44" s="269">
        <v>41.360965957335978</v>
      </c>
      <c r="E44" s="177">
        <f t="shared" si="0"/>
        <v>33.411277655482273</v>
      </c>
      <c r="F44" s="199" t="str">
        <f t="shared" si="1"/>
        <v/>
      </c>
    </row>
    <row r="45" spans="1:7">
      <c r="A45">
        <v>42</v>
      </c>
      <c r="B45" s="46">
        <v>44117</v>
      </c>
      <c r="C45" s="269">
        <v>57.046941845482273</v>
      </c>
      <c r="D45" s="269">
        <v>41.360965957335978</v>
      </c>
      <c r="E45" s="177">
        <f t="shared" si="0"/>
        <v>41.360965957335978</v>
      </c>
      <c r="F45" s="199" t="str">
        <f t="shared" si="1"/>
        <v/>
      </c>
    </row>
    <row r="46" spans="1:7">
      <c r="A46">
        <v>43</v>
      </c>
      <c r="B46" s="46">
        <v>44118</v>
      </c>
      <c r="C46" s="269">
        <v>40.685804836433135</v>
      </c>
      <c r="D46" s="269">
        <v>41.360965957335978</v>
      </c>
      <c r="E46" s="177">
        <f t="shared" si="0"/>
        <v>40.685804836433135</v>
      </c>
      <c r="F46" s="199" t="str">
        <f t="shared" si="1"/>
        <v/>
      </c>
      <c r="G46" s="200" t="str">
        <f>IF(DAY(B46)=15,D46,"")</f>
        <v/>
      </c>
    </row>
    <row r="47" spans="1:7">
      <c r="A47">
        <v>44</v>
      </c>
      <c r="B47" s="46">
        <v>44119</v>
      </c>
      <c r="C47" s="269">
        <v>49.477684980431263</v>
      </c>
      <c r="D47" s="269">
        <v>41.360965957335978</v>
      </c>
      <c r="E47" s="177">
        <f t="shared" si="0"/>
        <v>41.360965957335978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O</v>
      </c>
      <c r="G47" s="200">
        <f>IF(DAY(B47)=15,D47,"")</f>
        <v>41.360965957335978</v>
      </c>
    </row>
    <row r="48" spans="1:7">
      <c r="A48">
        <v>45</v>
      </c>
      <c r="B48" s="46">
        <v>44120</v>
      </c>
      <c r="C48" s="269">
        <v>55.657722726433128</v>
      </c>
      <c r="D48" s="269">
        <v>41.360965957335978</v>
      </c>
      <c r="E48" s="177">
        <f t="shared" si="0"/>
        <v>41.360965957335978</v>
      </c>
      <c r="F48" s="199" t="str">
        <f t="shared" si="1"/>
        <v/>
      </c>
      <c r="G48" s="200" t="str">
        <f>IF(DAY(B48)=15,D48,"")</f>
        <v/>
      </c>
    </row>
    <row r="49" spans="1:6">
      <c r="A49">
        <v>46</v>
      </c>
      <c r="B49" s="46">
        <v>44121</v>
      </c>
      <c r="C49" s="269">
        <v>60.389695256433129</v>
      </c>
      <c r="D49" s="269">
        <v>41.360965957335978</v>
      </c>
      <c r="E49" s="177">
        <f t="shared" si="0"/>
        <v>41.360965957335978</v>
      </c>
      <c r="F49" s="199" t="str">
        <f t="shared" si="1"/>
        <v/>
      </c>
    </row>
    <row r="50" spans="1:6">
      <c r="A50">
        <v>47</v>
      </c>
      <c r="B50" s="46">
        <v>44122</v>
      </c>
      <c r="C50" s="269">
        <v>50.658292656433126</v>
      </c>
      <c r="D50" s="269">
        <v>41.360965957335978</v>
      </c>
      <c r="E50" s="177">
        <f t="shared" si="0"/>
        <v>41.360965957335978</v>
      </c>
      <c r="F50" s="199" t="str">
        <f t="shared" si="1"/>
        <v/>
      </c>
    </row>
    <row r="51" spans="1:6">
      <c r="A51">
        <v>48</v>
      </c>
      <c r="B51" s="46">
        <v>44123</v>
      </c>
      <c r="C51" s="269">
        <v>17.849682186431274</v>
      </c>
      <c r="D51" s="269">
        <v>41.360965957335978</v>
      </c>
      <c r="E51" s="177">
        <f t="shared" si="0"/>
        <v>17.849682186431274</v>
      </c>
      <c r="F51" s="199" t="str">
        <f t="shared" si="1"/>
        <v/>
      </c>
    </row>
    <row r="52" spans="1:6">
      <c r="A52">
        <v>49</v>
      </c>
      <c r="B52" s="46">
        <v>44124</v>
      </c>
      <c r="C52" s="269">
        <v>33.288567356433134</v>
      </c>
      <c r="D52" s="269">
        <v>41.360965957335978</v>
      </c>
      <c r="E52" s="177">
        <f t="shared" si="0"/>
        <v>33.288567356433134</v>
      </c>
      <c r="F52" s="199" t="str">
        <f t="shared" si="1"/>
        <v/>
      </c>
    </row>
    <row r="53" spans="1:6">
      <c r="A53">
        <v>50</v>
      </c>
      <c r="B53" s="46">
        <v>44125</v>
      </c>
      <c r="C53" s="269">
        <v>97.476409926170803</v>
      </c>
      <c r="D53" s="269">
        <v>41.360965957335978</v>
      </c>
      <c r="E53" s="177">
        <f t="shared" si="0"/>
        <v>41.360965957335978</v>
      </c>
      <c r="F53" s="199" t="str">
        <f t="shared" si="1"/>
        <v/>
      </c>
    </row>
    <row r="54" spans="1:6">
      <c r="A54">
        <v>51</v>
      </c>
      <c r="B54" s="46">
        <v>44126</v>
      </c>
      <c r="C54" s="269">
        <v>126.2414094481708</v>
      </c>
      <c r="D54" s="269">
        <v>41.360965957335978</v>
      </c>
      <c r="E54" s="177">
        <f t="shared" si="0"/>
        <v>41.360965957335978</v>
      </c>
      <c r="F54" s="199" t="str">
        <f t="shared" si="1"/>
        <v/>
      </c>
    </row>
    <row r="55" spans="1:6">
      <c r="A55">
        <v>52</v>
      </c>
      <c r="B55" s="46">
        <v>44127</v>
      </c>
      <c r="C55" s="269">
        <v>116.10034370617173</v>
      </c>
      <c r="D55" s="269">
        <v>41.360965957335978</v>
      </c>
      <c r="E55" s="177">
        <f t="shared" si="0"/>
        <v>41.360965957335978</v>
      </c>
      <c r="F55" s="199" t="str">
        <f t="shared" si="1"/>
        <v/>
      </c>
    </row>
    <row r="56" spans="1:6">
      <c r="A56">
        <v>53</v>
      </c>
      <c r="B56" s="46">
        <v>44128</v>
      </c>
      <c r="C56" s="269">
        <v>92.92507380816987</v>
      </c>
      <c r="D56" s="269">
        <v>41.360965957335978</v>
      </c>
      <c r="E56" s="177">
        <f t="shared" si="0"/>
        <v>41.360965957335978</v>
      </c>
      <c r="F56" s="199" t="str">
        <f t="shared" si="1"/>
        <v/>
      </c>
    </row>
    <row r="57" spans="1:6">
      <c r="A57">
        <v>54</v>
      </c>
      <c r="B57" s="46">
        <v>44129</v>
      </c>
      <c r="C57" s="269">
        <v>89.938227088171729</v>
      </c>
      <c r="D57" s="269">
        <v>41.360965957335978</v>
      </c>
      <c r="E57" s="177">
        <f t="shared" si="0"/>
        <v>41.360965957335978</v>
      </c>
      <c r="F57" s="199" t="str">
        <f t="shared" si="1"/>
        <v/>
      </c>
    </row>
    <row r="58" spans="1:6">
      <c r="A58">
        <v>55</v>
      </c>
      <c r="B58" s="46">
        <v>44130</v>
      </c>
      <c r="C58" s="269">
        <v>109.4669571661708</v>
      </c>
      <c r="D58" s="269">
        <v>41.360965957335978</v>
      </c>
      <c r="E58" s="177">
        <f t="shared" si="0"/>
        <v>41.360965957335978</v>
      </c>
      <c r="F58" s="199" t="str">
        <f t="shared" si="1"/>
        <v/>
      </c>
    </row>
    <row r="59" spans="1:6">
      <c r="A59">
        <v>56</v>
      </c>
      <c r="B59" s="46">
        <v>44131</v>
      </c>
      <c r="C59" s="269">
        <v>110.00145380616986</v>
      </c>
      <c r="D59" s="269">
        <v>41.360965957335978</v>
      </c>
      <c r="E59" s="177">
        <f t="shared" si="0"/>
        <v>41.360965957335978</v>
      </c>
      <c r="F59" s="199" t="str">
        <f t="shared" si="1"/>
        <v/>
      </c>
    </row>
    <row r="60" spans="1:6">
      <c r="A60">
        <v>57</v>
      </c>
      <c r="B60" s="46">
        <v>44132</v>
      </c>
      <c r="C60" s="269">
        <v>97.71259092256328</v>
      </c>
      <c r="D60" s="269">
        <v>41.360965957335978</v>
      </c>
      <c r="E60" s="177">
        <f t="shared" si="0"/>
        <v>41.360965957335978</v>
      </c>
      <c r="F60" s="199" t="str">
        <f t="shared" si="1"/>
        <v/>
      </c>
    </row>
    <row r="61" spans="1:6">
      <c r="A61">
        <v>58</v>
      </c>
      <c r="B61" s="46">
        <v>44133</v>
      </c>
      <c r="C61" s="269">
        <v>100.97976351856143</v>
      </c>
      <c r="D61" s="269">
        <v>41.360965957335978</v>
      </c>
      <c r="E61" s="177">
        <f t="shared" si="0"/>
        <v>41.360965957335978</v>
      </c>
      <c r="F61" s="199" t="str">
        <f t="shared" si="1"/>
        <v/>
      </c>
    </row>
    <row r="62" spans="1:6">
      <c r="A62">
        <v>59</v>
      </c>
      <c r="B62" s="46">
        <v>44134</v>
      </c>
      <c r="C62" s="269">
        <v>95.019777810563269</v>
      </c>
      <c r="D62" s="269">
        <v>41.360965957335978</v>
      </c>
      <c r="E62" s="177">
        <f t="shared" si="0"/>
        <v>41.360965957335978</v>
      </c>
      <c r="F62" s="199" t="str">
        <f t="shared" si="1"/>
        <v/>
      </c>
    </row>
    <row r="63" spans="1:6">
      <c r="A63">
        <v>60</v>
      </c>
      <c r="B63" s="46">
        <v>44135</v>
      </c>
      <c r="C63" s="269">
        <v>73.238647778563291</v>
      </c>
      <c r="D63" s="269">
        <v>41.360965957335978</v>
      </c>
      <c r="E63" s="177">
        <f t="shared" si="0"/>
        <v>41.360965957335978</v>
      </c>
      <c r="F63" s="199" t="str">
        <f t="shared" si="1"/>
        <v/>
      </c>
    </row>
    <row r="64" spans="1:6">
      <c r="A64">
        <v>61</v>
      </c>
      <c r="B64" s="46">
        <v>44136</v>
      </c>
      <c r="C64" s="269">
        <v>67.491461476561412</v>
      </c>
      <c r="D64" s="269">
        <v>85.678144231829236</v>
      </c>
      <c r="E64" s="177">
        <f t="shared" si="0"/>
        <v>67.491461476561412</v>
      </c>
      <c r="F64" s="199" t="str">
        <f t="shared" si="1"/>
        <v/>
      </c>
    </row>
    <row r="65" spans="1:7">
      <c r="A65">
        <v>62</v>
      </c>
      <c r="B65" s="46">
        <v>44137</v>
      </c>
      <c r="C65" s="269">
        <v>90.539297578563279</v>
      </c>
      <c r="D65" s="269">
        <v>85.678144231829236</v>
      </c>
      <c r="E65" s="177">
        <f t="shared" si="0"/>
        <v>85.678144231829236</v>
      </c>
      <c r="F65" s="199" t="str">
        <f t="shared" si="1"/>
        <v/>
      </c>
    </row>
    <row r="66" spans="1:7">
      <c r="A66">
        <v>63</v>
      </c>
      <c r="B66" s="46">
        <v>44138</v>
      </c>
      <c r="C66" s="269">
        <v>84.920933158563273</v>
      </c>
      <c r="D66" s="269">
        <v>85.678144231829236</v>
      </c>
      <c r="E66" s="177">
        <f t="shared" si="0"/>
        <v>84.920933158563273</v>
      </c>
      <c r="F66" s="199" t="str">
        <f t="shared" si="1"/>
        <v/>
      </c>
    </row>
    <row r="67" spans="1:7">
      <c r="A67">
        <v>64</v>
      </c>
      <c r="B67" s="46">
        <v>44139</v>
      </c>
      <c r="C67" s="269">
        <v>92.090104163520209</v>
      </c>
      <c r="D67" s="269">
        <v>85.678144231829236</v>
      </c>
      <c r="E67" s="177">
        <f t="shared" si="0"/>
        <v>85.678144231829236</v>
      </c>
      <c r="F67" s="199" t="str">
        <f t="shared" si="1"/>
        <v/>
      </c>
    </row>
    <row r="68" spans="1:7">
      <c r="A68">
        <v>65</v>
      </c>
      <c r="B68" s="46">
        <v>44140</v>
      </c>
      <c r="C68" s="269">
        <v>85.06945982151835</v>
      </c>
      <c r="D68" s="269">
        <v>85.678144231829236</v>
      </c>
      <c r="E68" s="177">
        <f t="shared" ref="E68:E131" si="2">IF(C68&lt;D68,C68,D68)</f>
        <v>85.06945982151835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44141</v>
      </c>
      <c r="C69" s="269">
        <v>82.499194099520196</v>
      </c>
      <c r="D69" s="269">
        <v>85.678144231829236</v>
      </c>
      <c r="E69" s="177">
        <f t="shared" si="2"/>
        <v>82.499194099520196</v>
      </c>
      <c r="F69" s="199" t="str">
        <f t="shared" si="3"/>
        <v/>
      </c>
    </row>
    <row r="70" spans="1:7">
      <c r="A70">
        <v>67</v>
      </c>
      <c r="B70" s="46">
        <v>44142</v>
      </c>
      <c r="C70" s="269">
        <v>85.196646417518352</v>
      </c>
      <c r="D70" s="269">
        <v>85.678144231829236</v>
      </c>
      <c r="E70" s="177">
        <f t="shared" si="2"/>
        <v>85.196646417518352</v>
      </c>
      <c r="F70" s="199" t="str">
        <f t="shared" si="3"/>
        <v/>
      </c>
    </row>
    <row r="71" spans="1:7">
      <c r="A71">
        <v>68</v>
      </c>
      <c r="B71" s="46">
        <v>44143</v>
      </c>
      <c r="C71" s="269">
        <v>88.352665449518341</v>
      </c>
      <c r="D71" s="269">
        <v>85.678144231829236</v>
      </c>
      <c r="E71" s="177">
        <f t="shared" si="2"/>
        <v>85.678144231829236</v>
      </c>
      <c r="F71" s="199" t="str">
        <f t="shared" si="3"/>
        <v/>
      </c>
    </row>
    <row r="72" spans="1:7">
      <c r="A72">
        <v>69</v>
      </c>
      <c r="B72" s="46">
        <v>44144</v>
      </c>
      <c r="C72" s="269">
        <v>122.2032016355202</v>
      </c>
      <c r="D72" s="269">
        <v>85.678144231829236</v>
      </c>
      <c r="E72" s="177">
        <f t="shared" si="2"/>
        <v>85.678144231829236</v>
      </c>
      <c r="F72" s="199" t="str">
        <f t="shared" si="3"/>
        <v/>
      </c>
    </row>
    <row r="73" spans="1:7">
      <c r="A73">
        <v>70</v>
      </c>
      <c r="B73" s="46">
        <v>44145</v>
      </c>
      <c r="C73" s="269">
        <v>133.2698394595202</v>
      </c>
      <c r="D73" s="269">
        <v>85.678144231829236</v>
      </c>
      <c r="E73" s="177">
        <f t="shared" si="2"/>
        <v>85.678144231829236</v>
      </c>
      <c r="F73" s="199" t="str">
        <f t="shared" si="3"/>
        <v/>
      </c>
    </row>
    <row r="74" spans="1:7">
      <c r="A74">
        <v>71</v>
      </c>
      <c r="B74" s="46">
        <v>44146</v>
      </c>
      <c r="C74" s="269">
        <v>92.376966588720165</v>
      </c>
      <c r="D74" s="269">
        <v>85.678144231829236</v>
      </c>
      <c r="E74" s="177">
        <f t="shared" si="2"/>
        <v>85.678144231829236</v>
      </c>
      <c r="F74" s="199" t="str">
        <f t="shared" si="3"/>
        <v/>
      </c>
    </row>
    <row r="75" spans="1:7">
      <c r="A75">
        <v>72</v>
      </c>
      <c r="B75" s="46">
        <v>44147</v>
      </c>
      <c r="C75" s="269">
        <v>96.612491752722022</v>
      </c>
      <c r="D75" s="269">
        <v>85.678144231829236</v>
      </c>
      <c r="E75" s="177">
        <f t="shared" si="2"/>
        <v>85.678144231829236</v>
      </c>
      <c r="F75" s="199" t="str">
        <f t="shared" si="3"/>
        <v/>
      </c>
    </row>
    <row r="76" spans="1:7">
      <c r="A76">
        <v>73</v>
      </c>
      <c r="B76" s="46">
        <v>44148</v>
      </c>
      <c r="C76" s="269">
        <v>95.489208220722034</v>
      </c>
      <c r="D76" s="269">
        <v>85.678144231829236</v>
      </c>
      <c r="E76" s="177">
        <f t="shared" si="2"/>
        <v>85.678144231829236</v>
      </c>
      <c r="F76" s="199" t="str">
        <f t="shared" si="3"/>
        <v/>
      </c>
    </row>
    <row r="77" spans="1:7">
      <c r="A77">
        <v>74</v>
      </c>
      <c r="B77" s="46">
        <v>44149</v>
      </c>
      <c r="C77" s="269">
        <v>70.060299420722032</v>
      </c>
      <c r="D77" s="269">
        <v>85.678144231829236</v>
      </c>
      <c r="E77" s="177">
        <f t="shared" si="2"/>
        <v>70.060299420722032</v>
      </c>
      <c r="F77" s="199" t="str">
        <f t="shared" si="3"/>
        <v/>
      </c>
      <c r="G77" s="200" t="str">
        <f>IF(DAY(B77)=15,D77,"")</f>
        <v/>
      </c>
    </row>
    <row r="78" spans="1:7">
      <c r="A78">
        <v>75</v>
      </c>
      <c r="B78" s="46">
        <v>44150</v>
      </c>
      <c r="C78" s="269">
        <v>48.015287764720171</v>
      </c>
      <c r="D78" s="269">
        <v>85.678144231829236</v>
      </c>
      <c r="E78" s="177">
        <f t="shared" si="2"/>
        <v>48.015287764720171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N</v>
      </c>
      <c r="G78" s="200">
        <f>IF(DAY(B78)=15,D78,"")</f>
        <v>85.678144231829236</v>
      </c>
    </row>
    <row r="79" spans="1:7">
      <c r="A79">
        <v>76</v>
      </c>
      <c r="B79" s="46">
        <v>44151</v>
      </c>
      <c r="C79" s="269">
        <v>87.2994411447239</v>
      </c>
      <c r="D79" s="269">
        <v>85.678144231829236</v>
      </c>
      <c r="E79" s="177">
        <f t="shared" si="2"/>
        <v>85.678144231829236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  <c r="G79" s="200" t="str">
        <f>IF(DAY(B79)=15,D79,"")</f>
        <v/>
      </c>
    </row>
    <row r="80" spans="1:7">
      <c r="A80">
        <v>77</v>
      </c>
      <c r="B80" s="46">
        <v>44152</v>
      </c>
      <c r="C80" s="269">
        <v>92.342187160720158</v>
      </c>
      <c r="D80" s="269">
        <v>85.678144231829236</v>
      </c>
      <c r="E80" s="177">
        <f t="shared" si="2"/>
        <v>85.678144231829236</v>
      </c>
      <c r="F80" s="199" t="str">
        <f t="shared" si="3"/>
        <v/>
      </c>
    </row>
    <row r="81" spans="1:6">
      <c r="A81">
        <v>78</v>
      </c>
      <c r="B81" s="46">
        <v>44153</v>
      </c>
      <c r="C81" s="269">
        <v>70.111621425442806</v>
      </c>
      <c r="D81" s="269">
        <v>85.678144231829236</v>
      </c>
      <c r="E81" s="177">
        <f t="shared" si="2"/>
        <v>70.111621425442806</v>
      </c>
      <c r="F81" s="199" t="str">
        <f t="shared" si="3"/>
        <v/>
      </c>
    </row>
    <row r="82" spans="1:6">
      <c r="A82">
        <v>79</v>
      </c>
      <c r="B82" s="46">
        <v>44154</v>
      </c>
      <c r="C82" s="269">
        <v>63.088121337444669</v>
      </c>
      <c r="D82" s="269">
        <v>85.678144231829236</v>
      </c>
      <c r="E82" s="177">
        <f t="shared" si="2"/>
        <v>63.088121337444669</v>
      </c>
      <c r="F82" s="199" t="str">
        <f t="shared" si="3"/>
        <v/>
      </c>
    </row>
    <row r="83" spans="1:6">
      <c r="A83">
        <v>80</v>
      </c>
      <c r="B83" s="46">
        <v>44155</v>
      </c>
      <c r="C83" s="269">
        <v>55.397761157440947</v>
      </c>
      <c r="D83" s="269">
        <v>85.678144231829236</v>
      </c>
      <c r="E83" s="177">
        <f t="shared" si="2"/>
        <v>55.397761157440947</v>
      </c>
      <c r="F83" s="199" t="str">
        <f t="shared" si="3"/>
        <v/>
      </c>
    </row>
    <row r="84" spans="1:6">
      <c r="A84">
        <v>81</v>
      </c>
      <c r="B84" s="46">
        <v>44156</v>
      </c>
      <c r="C84" s="269">
        <v>53.693995237442813</v>
      </c>
      <c r="D84" s="269">
        <v>85.678144231829236</v>
      </c>
      <c r="E84" s="177">
        <f t="shared" si="2"/>
        <v>53.693995237442813</v>
      </c>
      <c r="F84" s="199" t="str">
        <f t="shared" si="3"/>
        <v/>
      </c>
    </row>
    <row r="85" spans="1:6">
      <c r="A85">
        <v>82</v>
      </c>
      <c r="B85" s="46">
        <v>44157</v>
      </c>
      <c r="C85" s="269">
        <v>46.526884517442817</v>
      </c>
      <c r="D85" s="269">
        <v>85.678144231829236</v>
      </c>
      <c r="E85" s="177">
        <f t="shared" si="2"/>
        <v>46.526884517442817</v>
      </c>
      <c r="F85" s="199" t="str">
        <f t="shared" si="3"/>
        <v/>
      </c>
    </row>
    <row r="86" spans="1:6">
      <c r="A86">
        <v>83</v>
      </c>
      <c r="B86" s="46">
        <v>44158</v>
      </c>
      <c r="C86" s="269">
        <v>85.732369433442813</v>
      </c>
      <c r="D86" s="269">
        <v>85.678144231829236</v>
      </c>
      <c r="E86" s="177">
        <f t="shared" si="2"/>
        <v>85.678144231829236</v>
      </c>
      <c r="F86" s="199" t="str">
        <f t="shared" si="3"/>
        <v/>
      </c>
    </row>
    <row r="87" spans="1:6">
      <c r="A87">
        <v>84</v>
      </c>
      <c r="B87" s="46">
        <v>44159</v>
      </c>
      <c r="C87" s="269">
        <v>88.500465897440961</v>
      </c>
      <c r="D87" s="269">
        <v>85.678144231829236</v>
      </c>
      <c r="E87" s="177">
        <f t="shared" si="2"/>
        <v>85.678144231829236</v>
      </c>
      <c r="F87" s="199" t="str">
        <f t="shared" si="3"/>
        <v/>
      </c>
    </row>
    <row r="88" spans="1:6">
      <c r="A88">
        <v>85</v>
      </c>
      <c r="B88" s="46">
        <v>44160</v>
      </c>
      <c r="C88" s="269">
        <v>69.851458300664419</v>
      </c>
      <c r="D88" s="269">
        <v>85.678144231829236</v>
      </c>
      <c r="E88" s="177">
        <f t="shared" si="2"/>
        <v>69.851458300664419</v>
      </c>
      <c r="F88" s="199" t="str">
        <f t="shared" si="3"/>
        <v/>
      </c>
    </row>
    <row r="89" spans="1:6">
      <c r="A89">
        <v>86</v>
      </c>
      <c r="B89" s="46">
        <v>44161</v>
      </c>
      <c r="C89" s="269">
        <v>67.886973940664419</v>
      </c>
      <c r="D89" s="269">
        <v>85.678144231829236</v>
      </c>
      <c r="E89" s="177">
        <f t="shared" si="2"/>
        <v>67.886973940664419</v>
      </c>
      <c r="F89" s="199" t="str">
        <f t="shared" si="3"/>
        <v/>
      </c>
    </row>
    <row r="90" spans="1:6">
      <c r="A90">
        <v>87</v>
      </c>
      <c r="B90" s="46">
        <v>44162</v>
      </c>
      <c r="C90" s="269">
        <v>81.418604596664423</v>
      </c>
      <c r="D90" s="269">
        <v>85.678144231829236</v>
      </c>
      <c r="E90" s="177">
        <f t="shared" si="2"/>
        <v>81.418604596664423</v>
      </c>
      <c r="F90" s="199" t="str">
        <f t="shared" si="3"/>
        <v/>
      </c>
    </row>
    <row r="91" spans="1:6">
      <c r="A91">
        <v>88</v>
      </c>
      <c r="B91" s="46">
        <v>44163</v>
      </c>
      <c r="C91" s="269">
        <v>64.213849756666278</v>
      </c>
      <c r="D91" s="269">
        <v>85.678144231829236</v>
      </c>
      <c r="E91" s="177">
        <f t="shared" si="2"/>
        <v>64.213849756666278</v>
      </c>
      <c r="F91" s="199" t="str">
        <f t="shared" si="3"/>
        <v/>
      </c>
    </row>
    <row r="92" spans="1:6">
      <c r="A92">
        <v>89</v>
      </c>
      <c r="B92" s="46">
        <v>44164</v>
      </c>
      <c r="C92" s="269">
        <v>59.651142740662557</v>
      </c>
      <c r="D92" s="269">
        <v>85.678144231829236</v>
      </c>
      <c r="E92" s="177">
        <f t="shared" si="2"/>
        <v>59.651142740662557</v>
      </c>
      <c r="F92" s="199" t="str">
        <f t="shared" si="3"/>
        <v/>
      </c>
    </row>
    <row r="93" spans="1:6">
      <c r="A93">
        <v>90</v>
      </c>
      <c r="B93" s="46">
        <v>44165</v>
      </c>
      <c r="C93" s="269">
        <v>79.045761708664415</v>
      </c>
      <c r="D93" s="269">
        <v>85.678144231829236</v>
      </c>
      <c r="E93" s="177">
        <f t="shared" si="2"/>
        <v>79.045761708664415</v>
      </c>
      <c r="F93" s="199" t="str">
        <f t="shared" si="3"/>
        <v/>
      </c>
    </row>
    <row r="94" spans="1:6">
      <c r="A94">
        <v>91</v>
      </c>
      <c r="B94" s="46">
        <v>44166</v>
      </c>
      <c r="C94" s="269">
        <v>62.100601868663496</v>
      </c>
      <c r="D94" s="269">
        <v>109.27964473765024</v>
      </c>
      <c r="E94" s="177">
        <f t="shared" si="2"/>
        <v>62.100601868663496</v>
      </c>
      <c r="F94" s="199" t="str">
        <f t="shared" si="3"/>
        <v/>
      </c>
    </row>
    <row r="95" spans="1:6">
      <c r="A95">
        <v>92</v>
      </c>
      <c r="B95" s="46">
        <v>44167</v>
      </c>
      <c r="C95" s="269">
        <v>70.402396138760267</v>
      </c>
      <c r="D95" s="269">
        <v>109.27964473765024</v>
      </c>
      <c r="E95" s="177">
        <f t="shared" si="2"/>
        <v>70.402396138760267</v>
      </c>
      <c r="F95" s="199" t="str">
        <f t="shared" si="3"/>
        <v/>
      </c>
    </row>
    <row r="96" spans="1:6">
      <c r="A96">
        <v>93</v>
      </c>
      <c r="B96" s="46">
        <v>44168</v>
      </c>
      <c r="C96" s="269">
        <v>82.667161910759333</v>
      </c>
      <c r="D96" s="269">
        <v>109.27964473765024</v>
      </c>
      <c r="E96" s="177">
        <f t="shared" si="2"/>
        <v>82.667161910759333</v>
      </c>
      <c r="F96" s="199" t="str">
        <f t="shared" si="3"/>
        <v/>
      </c>
    </row>
    <row r="97" spans="1:7">
      <c r="A97">
        <v>94</v>
      </c>
      <c r="B97" s="46">
        <v>44169</v>
      </c>
      <c r="C97" s="269">
        <v>78.066907996759326</v>
      </c>
      <c r="D97" s="269">
        <v>109.27964473765024</v>
      </c>
      <c r="E97" s="177">
        <f t="shared" si="2"/>
        <v>78.066907996759326</v>
      </c>
      <c r="F97" s="199" t="str">
        <f t="shared" si="3"/>
        <v/>
      </c>
    </row>
    <row r="98" spans="1:7">
      <c r="A98">
        <v>95</v>
      </c>
      <c r="B98" s="46">
        <v>44170</v>
      </c>
      <c r="C98" s="269">
        <v>61.534131550759327</v>
      </c>
      <c r="D98" s="269">
        <v>109.27964473765024</v>
      </c>
      <c r="E98" s="177">
        <f t="shared" si="2"/>
        <v>61.534131550759327</v>
      </c>
      <c r="F98" s="199" t="str">
        <f t="shared" si="3"/>
        <v/>
      </c>
    </row>
    <row r="99" spans="1:7">
      <c r="A99">
        <v>96</v>
      </c>
      <c r="B99" s="46">
        <v>44171</v>
      </c>
      <c r="C99" s="269">
        <v>45.123614910761191</v>
      </c>
      <c r="D99" s="269">
        <v>109.27964473765024</v>
      </c>
      <c r="E99" s="177">
        <f t="shared" si="2"/>
        <v>45.123614910761191</v>
      </c>
      <c r="F99" s="199" t="str">
        <f t="shared" si="3"/>
        <v/>
      </c>
    </row>
    <row r="100" spans="1:7">
      <c r="A100">
        <v>97</v>
      </c>
      <c r="B100" s="46">
        <v>44172</v>
      </c>
      <c r="C100" s="269">
        <v>40.704781300759329</v>
      </c>
      <c r="D100" s="269">
        <v>109.27964473765024</v>
      </c>
      <c r="E100" s="177">
        <f t="shared" si="2"/>
        <v>40.704781300759329</v>
      </c>
      <c r="F100" s="199" t="str">
        <f t="shared" si="3"/>
        <v/>
      </c>
    </row>
    <row r="101" spans="1:7">
      <c r="A101">
        <v>98</v>
      </c>
      <c r="B101" s="46">
        <v>44173</v>
      </c>
      <c r="C101" s="269">
        <v>62.039171170759332</v>
      </c>
      <c r="D101" s="269">
        <v>109.27964473765024</v>
      </c>
      <c r="E101" s="177">
        <f t="shared" si="2"/>
        <v>62.039171170759332</v>
      </c>
      <c r="F101" s="199" t="str">
        <f t="shared" si="3"/>
        <v/>
      </c>
    </row>
    <row r="102" spans="1:7">
      <c r="A102">
        <v>99</v>
      </c>
      <c r="B102" s="46">
        <v>44174</v>
      </c>
      <c r="C102" s="269">
        <v>180.84187507717817</v>
      </c>
      <c r="D102" s="269">
        <v>109.27964473765024</v>
      </c>
      <c r="E102" s="177">
        <f t="shared" si="2"/>
        <v>109.27964473765024</v>
      </c>
      <c r="F102" s="199" t="str">
        <f t="shared" si="3"/>
        <v/>
      </c>
    </row>
    <row r="103" spans="1:7">
      <c r="A103">
        <v>100</v>
      </c>
      <c r="B103" s="46">
        <v>44175</v>
      </c>
      <c r="C103" s="269">
        <v>177.39079880117723</v>
      </c>
      <c r="D103" s="269">
        <v>109.27964473765024</v>
      </c>
      <c r="E103" s="177">
        <f t="shared" si="2"/>
        <v>109.27964473765024</v>
      </c>
      <c r="F103" s="199" t="str">
        <f t="shared" si="3"/>
        <v/>
      </c>
    </row>
    <row r="104" spans="1:7">
      <c r="A104">
        <v>101</v>
      </c>
      <c r="B104" s="46">
        <v>44176</v>
      </c>
      <c r="C104" s="269">
        <v>170.68153854117722</v>
      </c>
      <c r="D104" s="269">
        <v>109.27964473765024</v>
      </c>
      <c r="E104" s="177">
        <f t="shared" si="2"/>
        <v>109.27964473765024</v>
      </c>
      <c r="F104" s="199" t="str">
        <f t="shared" si="3"/>
        <v/>
      </c>
    </row>
    <row r="105" spans="1:7">
      <c r="A105">
        <v>102</v>
      </c>
      <c r="B105" s="46">
        <v>44177</v>
      </c>
      <c r="C105" s="269">
        <v>168.05536761117725</v>
      </c>
      <c r="D105" s="269">
        <v>109.27964473765024</v>
      </c>
      <c r="E105" s="177">
        <f t="shared" si="2"/>
        <v>109.27964473765024</v>
      </c>
      <c r="F105" s="199" t="str">
        <f t="shared" si="3"/>
        <v/>
      </c>
    </row>
    <row r="106" spans="1:7">
      <c r="A106">
        <v>103</v>
      </c>
      <c r="B106" s="46">
        <v>44178</v>
      </c>
      <c r="C106" s="269">
        <v>178.62972340117724</v>
      </c>
      <c r="D106" s="269">
        <v>109.27964473765024</v>
      </c>
      <c r="E106" s="177">
        <f t="shared" si="2"/>
        <v>109.27964473765024</v>
      </c>
      <c r="F106" s="199" t="str">
        <f t="shared" si="3"/>
        <v/>
      </c>
    </row>
    <row r="107" spans="1:7">
      <c r="A107">
        <v>104</v>
      </c>
      <c r="B107" s="46">
        <v>44179</v>
      </c>
      <c r="C107" s="269">
        <v>193.30177418717724</v>
      </c>
      <c r="D107" s="269">
        <v>109.27964473765024</v>
      </c>
      <c r="E107" s="177">
        <f t="shared" si="2"/>
        <v>109.27964473765024</v>
      </c>
      <c r="F107" s="199" t="str">
        <f t="shared" si="3"/>
        <v/>
      </c>
      <c r="G107" s="200" t="str">
        <f>IF(DAY(B107)=15,D107,"")</f>
        <v/>
      </c>
    </row>
    <row r="108" spans="1:7">
      <c r="A108">
        <v>105</v>
      </c>
      <c r="B108" s="46">
        <v>44180</v>
      </c>
      <c r="C108" s="269">
        <v>197.34683710117724</v>
      </c>
      <c r="D108" s="269">
        <v>109.27964473765024</v>
      </c>
      <c r="E108" s="177">
        <f t="shared" si="2"/>
        <v>109.27964473765024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D</v>
      </c>
      <c r="G108" s="200">
        <f>IF(DAY(B108)=15,D108,"")</f>
        <v>109.27964473765024</v>
      </c>
    </row>
    <row r="109" spans="1:7">
      <c r="A109">
        <v>106</v>
      </c>
      <c r="B109" s="46">
        <v>44181</v>
      </c>
      <c r="C109" s="269">
        <v>189.05654969500449</v>
      </c>
      <c r="D109" s="269">
        <v>109.27964473765024</v>
      </c>
      <c r="E109" s="177">
        <f t="shared" si="2"/>
        <v>109.27964473765024</v>
      </c>
      <c r="F109" s="199" t="str">
        <f t="shared" si="3"/>
        <v/>
      </c>
      <c r="G109" s="200" t="str">
        <f>IF(DAY(B109)=15,D109,"")</f>
        <v/>
      </c>
    </row>
    <row r="110" spans="1:7">
      <c r="A110">
        <v>107</v>
      </c>
      <c r="B110" s="46">
        <v>44182</v>
      </c>
      <c r="C110" s="269">
        <v>209.45691207300081</v>
      </c>
      <c r="D110" s="269">
        <v>109.27964473765024</v>
      </c>
      <c r="E110" s="177">
        <f t="shared" si="2"/>
        <v>109.27964473765024</v>
      </c>
      <c r="F110" s="199" t="str">
        <f t="shared" si="3"/>
        <v/>
      </c>
    </row>
    <row r="111" spans="1:7">
      <c r="A111">
        <v>108</v>
      </c>
      <c r="B111" s="46">
        <v>44183</v>
      </c>
      <c r="C111" s="269">
        <v>188.86810224900265</v>
      </c>
      <c r="D111" s="269">
        <v>109.27964473765024</v>
      </c>
      <c r="E111" s="177">
        <f t="shared" si="2"/>
        <v>109.27964473765024</v>
      </c>
      <c r="F111" s="199" t="str">
        <f t="shared" si="3"/>
        <v/>
      </c>
    </row>
    <row r="112" spans="1:7">
      <c r="A112">
        <v>109</v>
      </c>
      <c r="B112" s="46">
        <v>44184</v>
      </c>
      <c r="C112" s="269">
        <v>170.36948992900079</v>
      </c>
      <c r="D112" s="269">
        <v>109.27964473765024</v>
      </c>
      <c r="E112" s="177">
        <f t="shared" si="2"/>
        <v>109.27964473765024</v>
      </c>
      <c r="F112" s="199" t="str">
        <f t="shared" si="3"/>
        <v/>
      </c>
    </row>
    <row r="113" spans="1:6">
      <c r="A113">
        <v>110</v>
      </c>
      <c r="B113" s="46">
        <v>44185</v>
      </c>
      <c r="C113" s="269">
        <v>171.48715503300267</v>
      </c>
      <c r="D113" s="269">
        <v>109.27964473765024</v>
      </c>
      <c r="E113" s="177">
        <f t="shared" si="2"/>
        <v>109.27964473765024</v>
      </c>
      <c r="F113" s="199" t="str">
        <f t="shared" si="3"/>
        <v/>
      </c>
    </row>
    <row r="114" spans="1:6">
      <c r="A114">
        <v>111</v>
      </c>
      <c r="B114" s="46">
        <v>44186</v>
      </c>
      <c r="C114" s="269">
        <v>179.30444694500451</v>
      </c>
      <c r="D114" s="269">
        <v>109.27964473765024</v>
      </c>
      <c r="E114" s="177">
        <f t="shared" si="2"/>
        <v>109.27964473765024</v>
      </c>
      <c r="F114" s="199" t="str">
        <f t="shared" si="3"/>
        <v/>
      </c>
    </row>
    <row r="115" spans="1:6">
      <c r="A115">
        <v>112</v>
      </c>
      <c r="B115" s="46">
        <v>44187</v>
      </c>
      <c r="C115" s="269">
        <v>167.23171702900268</v>
      </c>
      <c r="D115" s="269">
        <v>109.27964473765024</v>
      </c>
      <c r="E115" s="177">
        <f t="shared" si="2"/>
        <v>109.27964473765024</v>
      </c>
      <c r="F115" s="199" t="str">
        <f t="shared" si="3"/>
        <v/>
      </c>
    </row>
    <row r="116" spans="1:6">
      <c r="A116">
        <v>113</v>
      </c>
      <c r="B116" s="46">
        <v>44188</v>
      </c>
      <c r="C116" s="269">
        <v>154.88950531000887</v>
      </c>
      <c r="D116" s="269">
        <v>109.27964473765024</v>
      </c>
      <c r="E116" s="177">
        <f t="shared" si="2"/>
        <v>109.27964473765024</v>
      </c>
      <c r="F116" s="199" t="str">
        <f t="shared" si="3"/>
        <v/>
      </c>
    </row>
    <row r="117" spans="1:6">
      <c r="A117">
        <v>114</v>
      </c>
      <c r="B117" s="46">
        <v>44189</v>
      </c>
      <c r="C117" s="269">
        <v>129.28449326600702</v>
      </c>
      <c r="D117" s="269">
        <v>109.27964473765024</v>
      </c>
      <c r="E117" s="177">
        <f t="shared" si="2"/>
        <v>109.27964473765024</v>
      </c>
      <c r="F117" s="199" t="str">
        <f t="shared" si="3"/>
        <v/>
      </c>
    </row>
    <row r="118" spans="1:6">
      <c r="A118">
        <v>115</v>
      </c>
      <c r="B118" s="46">
        <v>44190</v>
      </c>
      <c r="C118" s="269">
        <v>104.61240697200887</v>
      </c>
      <c r="D118" s="269">
        <v>109.27964473765024</v>
      </c>
      <c r="E118" s="177">
        <f t="shared" si="2"/>
        <v>104.61240697200887</v>
      </c>
      <c r="F118" s="199" t="str">
        <f t="shared" si="3"/>
        <v/>
      </c>
    </row>
    <row r="119" spans="1:6">
      <c r="A119">
        <v>116</v>
      </c>
      <c r="B119" s="46">
        <v>44191</v>
      </c>
      <c r="C119" s="269">
        <v>116.87822096001074</v>
      </c>
      <c r="D119" s="269">
        <v>109.27964473765024</v>
      </c>
      <c r="E119" s="177">
        <f t="shared" si="2"/>
        <v>109.27964473765024</v>
      </c>
      <c r="F119" s="199" t="str">
        <f t="shared" si="3"/>
        <v/>
      </c>
    </row>
    <row r="120" spans="1:6">
      <c r="A120">
        <v>117</v>
      </c>
      <c r="B120" s="46">
        <v>44192</v>
      </c>
      <c r="C120" s="269">
        <v>109.73485186600701</v>
      </c>
      <c r="D120" s="269">
        <v>109.27964473765024</v>
      </c>
      <c r="E120" s="177">
        <f t="shared" si="2"/>
        <v>109.27964473765024</v>
      </c>
      <c r="F120" s="199" t="str">
        <f t="shared" si="3"/>
        <v/>
      </c>
    </row>
    <row r="121" spans="1:6">
      <c r="A121">
        <v>118</v>
      </c>
      <c r="B121" s="46">
        <v>44193</v>
      </c>
      <c r="C121" s="269">
        <v>115.48806524600887</v>
      </c>
      <c r="D121" s="269">
        <v>109.27964473765024</v>
      </c>
      <c r="E121" s="177">
        <f t="shared" si="2"/>
        <v>109.27964473765024</v>
      </c>
      <c r="F121" s="199" t="str">
        <f t="shared" si="3"/>
        <v/>
      </c>
    </row>
    <row r="122" spans="1:6">
      <c r="A122">
        <v>119</v>
      </c>
      <c r="B122" s="46">
        <v>44194</v>
      </c>
      <c r="C122" s="269">
        <v>142.79488232000887</v>
      </c>
      <c r="D122" s="269">
        <v>109.27964473765024</v>
      </c>
      <c r="E122" s="177">
        <f t="shared" si="2"/>
        <v>109.27964473765024</v>
      </c>
      <c r="F122" s="199" t="str">
        <f t="shared" si="3"/>
        <v/>
      </c>
    </row>
    <row r="123" spans="1:6">
      <c r="A123">
        <v>120</v>
      </c>
      <c r="B123" s="46">
        <v>44195</v>
      </c>
      <c r="C123" s="269">
        <v>145.75309296089668</v>
      </c>
      <c r="D123" s="269">
        <v>109.27964473765024</v>
      </c>
      <c r="E123" s="177">
        <f t="shared" si="2"/>
        <v>109.27964473765024</v>
      </c>
      <c r="F123" s="199" t="str">
        <f t="shared" si="3"/>
        <v/>
      </c>
    </row>
    <row r="124" spans="1:6">
      <c r="A124">
        <v>121</v>
      </c>
      <c r="B124" s="46">
        <v>44196</v>
      </c>
      <c r="C124" s="269">
        <v>138.2532446589004</v>
      </c>
      <c r="D124" s="269">
        <v>109.27964473765024</v>
      </c>
      <c r="E124" s="177">
        <f t="shared" si="2"/>
        <v>109.27964473765024</v>
      </c>
      <c r="F124" s="199" t="str">
        <f t="shared" si="3"/>
        <v/>
      </c>
    </row>
    <row r="125" spans="1:6">
      <c r="A125">
        <v>122</v>
      </c>
      <c r="B125" s="46">
        <v>44197</v>
      </c>
      <c r="C125" s="269">
        <v>121.61256647889853</v>
      </c>
      <c r="D125" s="269">
        <v>124.46511188199077</v>
      </c>
      <c r="E125" s="177">
        <f t="shared" si="2"/>
        <v>121.61256647889853</v>
      </c>
      <c r="F125" s="199" t="str">
        <f t="shared" si="3"/>
        <v/>
      </c>
    </row>
    <row r="126" spans="1:6">
      <c r="A126">
        <v>123</v>
      </c>
      <c r="B126" s="46">
        <v>44198</v>
      </c>
      <c r="C126" s="269">
        <v>122.66184857089854</v>
      </c>
      <c r="D126" s="269">
        <v>124.46511188199077</v>
      </c>
      <c r="E126" s="177">
        <f t="shared" si="2"/>
        <v>122.66184857089854</v>
      </c>
      <c r="F126" s="199" t="str">
        <f t="shared" si="3"/>
        <v/>
      </c>
    </row>
    <row r="127" spans="1:6">
      <c r="A127">
        <v>124</v>
      </c>
      <c r="B127" s="46">
        <v>44199</v>
      </c>
      <c r="C127" s="269">
        <v>127.50319563090041</v>
      </c>
      <c r="D127" s="269">
        <v>124.46511188199077</v>
      </c>
      <c r="E127" s="177">
        <f t="shared" si="2"/>
        <v>124.46511188199077</v>
      </c>
      <c r="F127" s="199" t="str">
        <f t="shared" si="3"/>
        <v/>
      </c>
    </row>
    <row r="128" spans="1:6">
      <c r="A128">
        <v>125</v>
      </c>
      <c r="B128" s="46">
        <v>44200</v>
      </c>
      <c r="C128" s="269">
        <v>176.49416036089852</v>
      </c>
      <c r="D128" s="269">
        <v>124.46511188199077</v>
      </c>
      <c r="E128" s="177">
        <f t="shared" si="2"/>
        <v>124.46511188199077</v>
      </c>
      <c r="F128" s="199" t="str">
        <f t="shared" si="3"/>
        <v/>
      </c>
    </row>
    <row r="129" spans="1:7">
      <c r="A129">
        <v>126</v>
      </c>
      <c r="B129" s="46">
        <v>44201</v>
      </c>
      <c r="C129" s="269">
        <v>186.71938942089855</v>
      </c>
      <c r="D129" s="269">
        <v>124.46511188199077</v>
      </c>
      <c r="E129" s="177">
        <f t="shared" si="2"/>
        <v>124.46511188199077</v>
      </c>
      <c r="F129" s="199" t="str">
        <f t="shared" si="3"/>
        <v/>
      </c>
    </row>
    <row r="130" spans="1:7">
      <c r="A130">
        <v>127</v>
      </c>
      <c r="B130" s="46">
        <v>44202</v>
      </c>
      <c r="C130" s="269">
        <v>122.40887442801942</v>
      </c>
      <c r="D130" s="269">
        <v>124.46511188199077</v>
      </c>
      <c r="E130" s="177">
        <f t="shared" si="2"/>
        <v>122.40887442801942</v>
      </c>
      <c r="F130" s="199" t="str">
        <f t="shared" si="3"/>
        <v/>
      </c>
    </row>
    <row r="131" spans="1:7">
      <c r="A131">
        <v>128</v>
      </c>
      <c r="B131" s="46">
        <v>44203</v>
      </c>
      <c r="C131" s="269">
        <v>113.46114075602128</v>
      </c>
      <c r="D131" s="269">
        <v>124.46511188199077</v>
      </c>
      <c r="E131" s="177">
        <f t="shared" si="2"/>
        <v>113.46114075602128</v>
      </c>
      <c r="F131" s="199" t="str">
        <f t="shared" si="3"/>
        <v/>
      </c>
    </row>
    <row r="132" spans="1:7">
      <c r="A132">
        <v>129</v>
      </c>
      <c r="B132" s="46">
        <v>44204</v>
      </c>
      <c r="C132" s="269">
        <v>108.12699205602127</v>
      </c>
      <c r="D132" s="269">
        <v>124.46511188199077</v>
      </c>
      <c r="E132" s="177">
        <f t="shared" ref="E132:E195" si="4">IF(C132&lt;D132,C132,D132)</f>
        <v>108.12699205602127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44205</v>
      </c>
      <c r="C133" s="269">
        <v>79.585318456017546</v>
      </c>
      <c r="D133" s="269">
        <v>124.46511188199077</v>
      </c>
      <c r="E133" s="177">
        <f t="shared" si="4"/>
        <v>79.585318456017546</v>
      </c>
      <c r="F133" s="199" t="str">
        <f t="shared" si="5"/>
        <v/>
      </c>
    </row>
    <row r="134" spans="1:7">
      <c r="A134">
        <v>131</v>
      </c>
      <c r="B134" s="46">
        <v>44206</v>
      </c>
      <c r="C134" s="269">
        <v>78.225685954021273</v>
      </c>
      <c r="D134" s="269">
        <v>124.46511188199077</v>
      </c>
      <c r="E134" s="177">
        <f t="shared" si="4"/>
        <v>78.225685954021273</v>
      </c>
      <c r="F134" s="199" t="str">
        <f t="shared" si="5"/>
        <v/>
      </c>
    </row>
    <row r="135" spans="1:7">
      <c r="A135">
        <v>132</v>
      </c>
      <c r="B135" s="46">
        <v>44207</v>
      </c>
      <c r="C135" s="269">
        <v>89.220336424019408</v>
      </c>
      <c r="D135" s="269">
        <v>124.46511188199077</v>
      </c>
      <c r="E135" s="177">
        <f t="shared" si="4"/>
        <v>89.220336424019408</v>
      </c>
      <c r="F135" s="199" t="str">
        <f t="shared" si="5"/>
        <v/>
      </c>
    </row>
    <row r="136" spans="1:7">
      <c r="A136">
        <v>133</v>
      </c>
      <c r="B136" s="46">
        <v>44208</v>
      </c>
      <c r="C136" s="269">
        <v>103.77480175601941</v>
      </c>
      <c r="D136" s="269">
        <v>124.46511188199077</v>
      </c>
      <c r="E136" s="177">
        <f t="shared" si="4"/>
        <v>103.77480175601941</v>
      </c>
      <c r="F136" s="199" t="str">
        <f t="shared" si="5"/>
        <v/>
      </c>
    </row>
    <row r="137" spans="1:7">
      <c r="A137">
        <v>134</v>
      </c>
      <c r="B137" s="46">
        <v>44209</v>
      </c>
      <c r="C137" s="269">
        <v>65.034512115070655</v>
      </c>
      <c r="D137" s="269">
        <v>124.46511188199077</v>
      </c>
      <c r="E137" s="177">
        <f t="shared" si="4"/>
        <v>65.034512115070655</v>
      </c>
      <c r="F137" s="199" t="str">
        <f t="shared" si="5"/>
        <v/>
      </c>
    </row>
    <row r="138" spans="1:7">
      <c r="A138">
        <v>135</v>
      </c>
      <c r="B138" s="46">
        <v>44210</v>
      </c>
      <c r="C138" s="269">
        <v>63.201680711070658</v>
      </c>
      <c r="D138" s="269">
        <v>124.46511188199077</v>
      </c>
      <c r="E138" s="177">
        <f t="shared" si="4"/>
        <v>63.201680711070658</v>
      </c>
      <c r="F138" s="199" t="str">
        <f t="shared" si="5"/>
        <v/>
      </c>
      <c r="G138" s="200" t="str">
        <f>IF(DAY(B138)=15,D138,"")</f>
        <v/>
      </c>
    </row>
    <row r="139" spans="1:7">
      <c r="A139">
        <v>136</v>
      </c>
      <c r="B139" s="46">
        <v>44211</v>
      </c>
      <c r="C139" s="269">
        <v>62.774371647068797</v>
      </c>
      <c r="D139" s="269">
        <v>124.46511188199077</v>
      </c>
      <c r="E139" s="177">
        <f t="shared" si="4"/>
        <v>62.774371647068797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E</v>
      </c>
      <c r="G139" s="200">
        <f>IF(DAY(B139)=15,D139,"")</f>
        <v>124.46511188199077</v>
      </c>
    </row>
    <row r="140" spans="1:7">
      <c r="A140">
        <v>137</v>
      </c>
      <c r="B140" s="46">
        <v>44212</v>
      </c>
      <c r="C140" s="269">
        <v>56.383921859072522</v>
      </c>
      <c r="D140" s="269">
        <v>124.46511188199077</v>
      </c>
      <c r="E140" s="177">
        <f t="shared" si="4"/>
        <v>56.383921859072522</v>
      </c>
      <c r="F140" s="199" t="str">
        <f t="shared" si="5"/>
        <v/>
      </c>
      <c r="G140" s="200" t="str">
        <f>IF(DAY(B140)=15,D140,"")</f>
        <v/>
      </c>
    </row>
    <row r="141" spans="1:7">
      <c r="A141">
        <v>138</v>
      </c>
      <c r="B141" s="46">
        <v>44213</v>
      </c>
      <c r="C141" s="269">
        <v>38.968119675068799</v>
      </c>
      <c r="D141" s="269">
        <v>124.46511188199077</v>
      </c>
      <c r="E141" s="177">
        <f t="shared" si="4"/>
        <v>38.968119675068799</v>
      </c>
      <c r="F141" s="199" t="str">
        <f t="shared" si="5"/>
        <v/>
      </c>
    </row>
    <row r="142" spans="1:7">
      <c r="A142">
        <v>139</v>
      </c>
      <c r="B142" s="46">
        <v>44214</v>
      </c>
      <c r="C142" s="269">
        <v>71.525197235070664</v>
      </c>
      <c r="D142" s="269">
        <v>124.46511188199077</v>
      </c>
      <c r="E142" s="177">
        <f t="shared" si="4"/>
        <v>71.525197235070664</v>
      </c>
      <c r="F142" s="199" t="str">
        <f t="shared" si="5"/>
        <v/>
      </c>
    </row>
    <row r="143" spans="1:7">
      <c r="A143">
        <v>140</v>
      </c>
      <c r="B143" s="46">
        <v>44215</v>
      </c>
      <c r="C143" s="269">
        <v>56.168955615070651</v>
      </c>
      <c r="D143" s="269">
        <v>124.46511188199077</v>
      </c>
      <c r="E143" s="177">
        <f t="shared" si="4"/>
        <v>56.168955615070651</v>
      </c>
      <c r="F143" s="199" t="str">
        <f t="shared" si="5"/>
        <v/>
      </c>
    </row>
    <row r="144" spans="1:7">
      <c r="A144">
        <v>141</v>
      </c>
      <c r="B144" s="46">
        <v>44216</v>
      </c>
      <c r="C144" s="269">
        <v>180.60643095807191</v>
      </c>
      <c r="D144" s="269">
        <v>124.46511188199077</v>
      </c>
      <c r="E144" s="177">
        <f t="shared" si="4"/>
        <v>124.46511188199077</v>
      </c>
      <c r="F144" s="199" t="str">
        <f t="shared" si="5"/>
        <v/>
      </c>
    </row>
    <row r="145" spans="1:6">
      <c r="A145">
        <v>142</v>
      </c>
      <c r="B145" s="46">
        <v>44217</v>
      </c>
      <c r="C145" s="269">
        <v>169.89213577406818</v>
      </c>
      <c r="D145" s="269">
        <v>124.46511188199077</v>
      </c>
      <c r="E145" s="177">
        <f t="shared" si="4"/>
        <v>124.46511188199077</v>
      </c>
      <c r="F145" s="199" t="str">
        <f t="shared" si="5"/>
        <v/>
      </c>
    </row>
    <row r="146" spans="1:6">
      <c r="A146">
        <v>143</v>
      </c>
      <c r="B146" s="46">
        <v>44218</v>
      </c>
      <c r="C146" s="269">
        <v>170.88705726807007</v>
      </c>
      <c r="D146" s="269">
        <v>124.46511188199077</v>
      </c>
      <c r="E146" s="177">
        <f t="shared" si="4"/>
        <v>124.46511188199077</v>
      </c>
      <c r="F146" s="199" t="str">
        <f t="shared" si="5"/>
        <v/>
      </c>
    </row>
    <row r="147" spans="1:6">
      <c r="A147">
        <v>144</v>
      </c>
      <c r="B147" s="46">
        <v>44219</v>
      </c>
      <c r="C147" s="269">
        <v>143.72096823607004</v>
      </c>
      <c r="D147" s="269">
        <v>124.46511188199077</v>
      </c>
      <c r="E147" s="177">
        <f t="shared" si="4"/>
        <v>124.46511188199077</v>
      </c>
      <c r="F147" s="199" t="str">
        <f t="shared" si="5"/>
        <v/>
      </c>
    </row>
    <row r="148" spans="1:6">
      <c r="A148">
        <v>145</v>
      </c>
      <c r="B148" s="46">
        <v>44220</v>
      </c>
      <c r="C148" s="269">
        <v>146.16635474007003</v>
      </c>
      <c r="D148" s="269">
        <v>124.46511188199077</v>
      </c>
      <c r="E148" s="177">
        <f t="shared" si="4"/>
        <v>124.46511188199077</v>
      </c>
      <c r="F148" s="199" t="str">
        <f t="shared" si="5"/>
        <v/>
      </c>
    </row>
    <row r="149" spans="1:6">
      <c r="A149">
        <v>146</v>
      </c>
      <c r="B149" s="46">
        <v>44221</v>
      </c>
      <c r="C149" s="269">
        <v>197.65533248207188</v>
      </c>
      <c r="D149" s="269">
        <v>124.46511188199077</v>
      </c>
      <c r="E149" s="177">
        <f t="shared" si="4"/>
        <v>124.46511188199077</v>
      </c>
      <c r="F149" s="199" t="str">
        <f t="shared" si="5"/>
        <v/>
      </c>
    </row>
    <row r="150" spans="1:6">
      <c r="A150">
        <v>147</v>
      </c>
      <c r="B150" s="46">
        <v>44222</v>
      </c>
      <c r="C150" s="269">
        <v>215.52559173807003</v>
      </c>
      <c r="D150" s="269">
        <v>124.46511188199077</v>
      </c>
      <c r="E150" s="177">
        <f t="shared" si="4"/>
        <v>124.46511188199077</v>
      </c>
      <c r="F150" s="199" t="str">
        <f t="shared" si="5"/>
        <v/>
      </c>
    </row>
    <row r="151" spans="1:6">
      <c r="A151">
        <v>148</v>
      </c>
      <c r="B151" s="46">
        <v>44223</v>
      </c>
      <c r="C151" s="269">
        <v>272.77278553889727</v>
      </c>
      <c r="D151" s="269">
        <v>124.46511188199077</v>
      </c>
      <c r="E151" s="177">
        <f t="shared" si="4"/>
        <v>124.46511188199077</v>
      </c>
      <c r="F151" s="199" t="str">
        <f t="shared" si="5"/>
        <v/>
      </c>
    </row>
    <row r="152" spans="1:6">
      <c r="A152">
        <v>149</v>
      </c>
      <c r="B152" s="46">
        <v>44224</v>
      </c>
      <c r="C152" s="269">
        <v>274.90935913289542</v>
      </c>
      <c r="D152" s="269">
        <v>124.46511188199077</v>
      </c>
      <c r="E152" s="177">
        <f t="shared" si="4"/>
        <v>124.46511188199077</v>
      </c>
      <c r="F152" s="199" t="str">
        <f t="shared" si="5"/>
        <v/>
      </c>
    </row>
    <row r="153" spans="1:6">
      <c r="A153">
        <v>150</v>
      </c>
      <c r="B153" s="46">
        <v>44225</v>
      </c>
      <c r="C153" s="269">
        <v>270.00909163489729</v>
      </c>
      <c r="D153" s="269">
        <v>124.46511188199077</v>
      </c>
      <c r="E153" s="177">
        <f t="shared" si="4"/>
        <v>124.46511188199077</v>
      </c>
      <c r="F153" s="199" t="str">
        <f t="shared" si="5"/>
        <v/>
      </c>
    </row>
    <row r="154" spans="1:6">
      <c r="A154">
        <v>151</v>
      </c>
      <c r="B154" s="46">
        <v>44226</v>
      </c>
      <c r="C154" s="269">
        <v>254.71119680889728</v>
      </c>
      <c r="D154" s="269">
        <v>124.46511188199077</v>
      </c>
      <c r="E154" s="177">
        <f t="shared" si="4"/>
        <v>124.46511188199077</v>
      </c>
      <c r="F154" s="199" t="str">
        <f t="shared" si="5"/>
        <v/>
      </c>
    </row>
    <row r="155" spans="1:6">
      <c r="A155">
        <v>152</v>
      </c>
      <c r="B155" s="46">
        <v>44227</v>
      </c>
      <c r="C155" s="269">
        <v>254.40040566889539</v>
      </c>
      <c r="D155" s="269">
        <v>124.46511188199077</v>
      </c>
      <c r="E155" s="177">
        <f t="shared" si="4"/>
        <v>124.46511188199077</v>
      </c>
      <c r="F155" s="199" t="str">
        <f t="shared" si="5"/>
        <v/>
      </c>
    </row>
    <row r="156" spans="1:6">
      <c r="A156">
        <v>153</v>
      </c>
      <c r="B156" s="46">
        <v>44228</v>
      </c>
      <c r="C156" s="269">
        <v>264.16481982089732</v>
      </c>
      <c r="D156" s="269">
        <v>125.57183874706618</v>
      </c>
      <c r="E156" s="177">
        <f t="shared" si="4"/>
        <v>125.57183874706618</v>
      </c>
      <c r="F156" s="199" t="str">
        <f t="shared" si="5"/>
        <v/>
      </c>
    </row>
    <row r="157" spans="1:6">
      <c r="A157">
        <v>154</v>
      </c>
      <c r="B157" s="46">
        <v>44229</v>
      </c>
      <c r="C157" s="269">
        <v>271.8285615768973</v>
      </c>
      <c r="D157" s="269">
        <v>125.57183874706618</v>
      </c>
      <c r="E157" s="177">
        <f t="shared" si="4"/>
        <v>125.57183874706618</v>
      </c>
      <c r="F157" s="199" t="str">
        <f t="shared" si="5"/>
        <v/>
      </c>
    </row>
    <row r="158" spans="1:6">
      <c r="A158">
        <v>155</v>
      </c>
      <c r="B158" s="46">
        <v>44230</v>
      </c>
      <c r="C158" s="269">
        <v>264.69917688939915</v>
      </c>
      <c r="D158" s="269">
        <v>125.57183874706618</v>
      </c>
      <c r="E158" s="177">
        <f t="shared" si="4"/>
        <v>125.57183874706618</v>
      </c>
      <c r="F158" s="199" t="str">
        <f t="shared" si="5"/>
        <v/>
      </c>
    </row>
    <row r="159" spans="1:6">
      <c r="A159">
        <v>156</v>
      </c>
      <c r="B159" s="46">
        <v>44231</v>
      </c>
      <c r="C159" s="269">
        <v>286.15559700740289</v>
      </c>
      <c r="D159" s="269">
        <v>125.57183874706618</v>
      </c>
      <c r="E159" s="177">
        <f t="shared" si="4"/>
        <v>125.57183874706618</v>
      </c>
      <c r="F159" s="199" t="str">
        <f t="shared" si="5"/>
        <v/>
      </c>
    </row>
    <row r="160" spans="1:6">
      <c r="A160">
        <v>157</v>
      </c>
      <c r="B160" s="46">
        <v>44232</v>
      </c>
      <c r="C160" s="269">
        <v>289.61979758139728</v>
      </c>
      <c r="D160" s="269">
        <v>125.57183874706618</v>
      </c>
      <c r="E160" s="177">
        <f t="shared" si="4"/>
        <v>125.57183874706618</v>
      </c>
      <c r="F160" s="199" t="str">
        <f t="shared" si="5"/>
        <v/>
      </c>
    </row>
    <row r="161" spans="1:7">
      <c r="A161">
        <v>158</v>
      </c>
      <c r="B161" s="46">
        <v>44233</v>
      </c>
      <c r="C161" s="269">
        <v>278.80101450739915</v>
      </c>
      <c r="D161" s="269">
        <v>125.57183874706618</v>
      </c>
      <c r="E161" s="177">
        <f t="shared" si="4"/>
        <v>125.57183874706618</v>
      </c>
      <c r="F161" s="199" t="str">
        <f t="shared" si="5"/>
        <v/>
      </c>
    </row>
    <row r="162" spans="1:7">
      <c r="A162">
        <v>159</v>
      </c>
      <c r="B162" s="46">
        <v>44234</v>
      </c>
      <c r="C162" s="269">
        <v>257.81252644740101</v>
      </c>
      <c r="D162" s="269">
        <v>125.57183874706618</v>
      </c>
      <c r="E162" s="177">
        <f t="shared" si="4"/>
        <v>125.57183874706618</v>
      </c>
      <c r="F162" s="199" t="str">
        <f t="shared" si="5"/>
        <v/>
      </c>
    </row>
    <row r="163" spans="1:7">
      <c r="A163">
        <v>160</v>
      </c>
      <c r="B163" s="46">
        <v>44235</v>
      </c>
      <c r="C163" s="269">
        <v>267.98680918739916</v>
      </c>
      <c r="D163" s="269">
        <v>125.57183874706618</v>
      </c>
      <c r="E163" s="177">
        <f t="shared" si="4"/>
        <v>125.57183874706618</v>
      </c>
      <c r="F163" s="199" t="str">
        <f t="shared" si="5"/>
        <v/>
      </c>
    </row>
    <row r="164" spans="1:7">
      <c r="A164">
        <v>161</v>
      </c>
      <c r="B164" s="46">
        <v>44236</v>
      </c>
      <c r="C164" s="269">
        <v>273.08607894139914</v>
      </c>
      <c r="D164" s="269">
        <v>125.57183874706618</v>
      </c>
      <c r="E164" s="177">
        <f t="shared" si="4"/>
        <v>125.57183874706618</v>
      </c>
      <c r="F164" s="199" t="str">
        <f t="shared" si="5"/>
        <v/>
      </c>
    </row>
    <row r="165" spans="1:7">
      <c r="A165">
        <v>162</v>
      </c>
      <c r="B165" s="46">
        <v>44237</v>
      </c>
      <c r="C165" s="269">
        <v>328.35034569002192</v>
      </c>
      <c r="D165" s="269">
        <v>125.57183874706618</v>
      </c>
      <c r="E165" s="177">
        <f t="shared" si="4"/>
        <v>125.57183874706618</v>
      </c>
      <c r="F165" s="199" t="str">
        <f t="shared" si="5"/>
        <v/>
      </c>
    </row>
    <row r="166" spans="1:7">
      <c r="A166">
        <v>163</v>
      </c>
      <c r="B166" s="46">
        <v>44238</v>
      </c>
      <c r="C166" s="269">
        <v>338.46690690801819</v>
      </c>
      <c r="D166" s="269">
        <v>125.57183874706618</v>
      </c>
      <c r="E166" s="177">
        <f t="shared" si="4"/>
        <v>125.57183874706618</v>
      </c>
      <c r="F166" s="199" t="str">
        <f t="shared" si="5"/>
        <v/>
      </c>
    </row>
    <row r="167" spans="1:7">
      <c r="A167">
        <v>164</v>
      </c>
      <c r="B167" s="46">
        <v>44239</v>
      </c>
      <c r="C167" s="269">
        <v>330.21618203802012</v>
      </c>
      <c r="D167" s="269">
        <v>125.57183874706618</v>
      </c>
      <c r="E167" s="177">
        <f t="shared" si="4"/>
        <v>125.57183874706618</v>
      </c>
      <c r="F167" s="199" t="str">
        <f t="shared" si="5"/>
        <v/>
      </c>
    </row>
    <row r="168" spans="1:7">
      <c r="A168">
        <v>165</v>
      </c>
      <c r="B168" s="46">
        <v>44240</v>
      </c>
      <c r="C168" s="269">
        <v>329.21509739802195</v>
      </c>
      <c r="D168" s="269">
        <v>125.57183874706618</v>
      </c>
      <c r="E168" s="177">
        <f t="shared" si="4"/>
        <v>125.57183874706618</v>
      </c>
      <c r="F168" s="199" t="str">
        <f t="shared" si="5"/>
        <v/>
      </c>
      <c r="G168" s="200" t="str">
        <f>IF(DAY(B168)=15,D168,"")</f>
        <v/>
      </c>
    </row>
    <row r="169" spans="1:7">
      <c r="A169">
        <v>166</v>
      </c>
      <c r="B169" s="46">
        <v>44241</v>
      </c>
      <c r="C169" s="269">
        <v>318.32656510201821</v>
      </c>
      <c r="D169" s="269">
        <v>125.57183874706618</v>
      </c>
      <c r="E169" s="177">
        <f t="shared" si="4"/>
        <v>125.57183874706618</v>
      </c>
      <c r="F169" s="199" t="str">
        <f t="shared" si="5"/>
        <v/>
      </c>
    </row>
    <row r="170" spans="1:7">
      <c r="A170">
        <v>167</v>
      </c>
      <c r="B170" s="46">
        <v>44242</v>
      </c>
      <c r="C170" s="269">
        <v>312.74145280202379</v>
      </c>
      <c r="D170" s="269">
        <v>125.57183874706618</v>
      </c>
      <c r="E170" s="177">
        <f t="shared" si="4"/>
        <v>125.57183874706618</v>
      </c>
      <c r="F170" s="199" t="str">
        <f t="shared" si="5"/>
        <v>F</v>
      </c>
      <c r="G170" s="200">
        <f>IF(DAY(B170)=15,D170,"")</f>
        <v>125.57183874706618</v>
      </c>
    </row>
    <row r="171" spans="1:7">
      <c r="A171">
        <v>168</v>
      </c>
      <c r="B171" s="46">
        <v>44243</v>
      </c>
      <c r="C171" s="269">
        <v>324.37305973601821</v>
      </c>
      <c r="D171" s="269">
        <v>125.57183874706618</v>
      </c>
      <c r="E171" s="177">
        <f t="shared" si="4"/>
        <v>125.57183874706618</v>
      </c>
      <c r="F171" s="199" t="str">
        <f t="shared" si="5"/>
        <v/>
      </c>
    </row>
    <row r="172" spans="1:7">
      <c r="A172">
        <v>169</v>
      </c>
      <c r="B172" s="46">
        <v>44244</v>
      </c>
      <c r="C172" s="269">
        <v>252.24251934147989</v>
      </c>
      <c r="D172" s="269">
        <v>125.57183874706618</v>
      </c>
      <c r="E172" s="177">
        <f t="shared" si="4"/>
        <v>125.57183874706618</v>
      </c>
      <c r="F172" s="199" t="str">
        <f t="shared" si="5"/>
        <v/>
      </c>
    </row>
    <row r="173" spans="1:7">
      <c r="A173">
        <v>170</v>
      </c>
      <c r="B173" s="46">
        <v>44245</v>
      </c>
      <c r="C173" s="269">
        <v>250.59862646548177</v>
      </c>
      <c r="D173" s="269">
        <v>125.57183874706618</v>
      </c>
      <c r="E173" s="177">
        <f t="shared" si="4"/>
        <v>125.57183874706618</v>
      </c>
      <c r="F173" s="199" t="str">
        <f t="shared" si="5"/>
        <v/>
      </c>
    </row>
    <row r="174" spans="1:7">
      <c r="A174">
        <v>171</v>
      </c>
      <c r="B174" s="46">
        <v>44246</v>
      </c>
      <c r="C174" s="269">
        <v>245.08805602347991</v>
      </c>
      <c r="D174" s="269">
        <v>125.57183874706618</v>
      </c>
      <c r="E174" s="177">
        <f t="shared" si="4"/>
        <v>125.57183874706618</v>
      </c>
      <c r="F174" s="199" t="str">
        <f t="shared" si="5"/>
        <v/>
      </c>
    </row>
    <row r="175" spans="1:7">
      <c r="A175">
        <v>172</v>
      </c>
      <c r="B175" s="46">
        <v>44247</v>
      </c>
      <c r="C175" s="269">
        <v>229.47553713947806</v>
      </c>
      <c r="D175" s="269">
        <v>125.57183874706618</v>
      </c>
      <c r="E175" s="177">
        <f t="shared" si="4"/>
        <v>125.57183874706618</v>
      </c>
      <c r="F175" s="199" t="str">
        <f t="shared" si="5"/>
        <v/>
      </c>
    </row>
    <row r="176" spans="1:7">
      <c r="A176">
        <v>173</v>
      </c>
      <c r="B176" s="46">
        <v>44248</v>
      </c>
      <c r="C176" s="269">
        <v>231.64696740947988</v>
      </c>
      <c r="D176" s="269">
        <v>125.57183874706618</v>
      </c>
      <c r="E176" s="177">
        <f t="shared" si="4"/>
        <v>125.57183874706618</v>
      </c>
      <c r="F176" s="199" t="str">
        <f t="shared" si="5"/>
        <v/>
      </c>
    </row>
    <row r="177" spans="1:6">
      <c r="A177">
        <v>174</v>
      </c>
      <c r="B177" s="46">
        <v>44249</v>
      </c>
      <c r="C177" s="269">
        <v>255.84226607347989</v>
      </c>
      <c r="D177" s="269">
        <v>125.57183874706618</v>
      </c>
      <c r="E177" s="177">
        <f t="shared" si="4"/>
        <v>125.57183874706618</v>
      </c>
      <c r="F177" s="199" t="str">
        <f t="shared" si="5"/>
        <v/>
      </c>
    </row>
    <row r="178" spans="1:6">
      <c r="A178">
        <v>175</v>
      </c>
      <c r="B178" s="46">
        <v>44250</v>
      </c>
      <c r="C178" s="269">
        <v>251.36682380148363</v>
      </c>
      <c r="D178" s="269">
        <v>125.57183874706618</v>
      </c>
      <c r="E178" s="177">
        <f t="shared" si="4"/>
        <v>125.57183874706618</v>
      </c>
      <c r="F178" s="199" t="str">
        <f t="shared" si="5"/>
        <v/>
      </c>
    </row>
    <row r="179" spans="1:6">
      <c r="A179">
        <v>176</v>
      </c>
      <c r="B179" s="46">
        <v>44251</v>
      </c>
      <c r="C179" s="269">
        <v>198.79457594217786</v>
      </c>
      <c r="D179" s="269">
        <v>125.57183874706618</v>
      </c>
      <c r="E179" s="177">
        <f t="shared" si="4"/>
        <v>125.57183874706618</v>
      </c>
      <c r="F179" s="199" t="str">
        <f t="shared" si="5"/>
        <v/>
      </c>
    </row>
    <row r="180" spans="1:6">
      <c r="A180">
        <v>177</v>
      </c>
      <c r="B180" s="46">
        <v>44252</v>
      </c>
      <c r="C180" s="269">
        <v>215.04309710418343</v>
      </c>
      <c r="D180" s="269">
        <v>125.57183874706618</v>
      </c>
      <c r="E180" s="177">
        <f t="shared" si="4"/>
        <v>125.57183874706618</v>
      </c>
      <c r="F180" s="199" t="str">
        <f t="shared" si="5"/>
        <v/>
      </c>
    </row>
    <row r="181" spans="1:6">
      <c r="A181">
        <v>178</v>
      </c>
      <c r="B181" s="46">
        <v>44253</v>
      </c>
      <c r="C181" s="269">
        <v>213.22380256817971</v>
      </c>
      <c r="D181" s="269">
        <v>125.57183874706618</v>
      </c>
      <c r="E181" s="177">
        <f t="shared" si="4"/>
        <v>125.57183874706618</v>
      </c>
      <c r="F181" s="199" t="str">
        <f t="shared" si="5"/>
        <v/>
      </c>
    </row>
    <row r="182" spans="1:6">
      <c r="A182">
        <v>179</v>
      </c>
      <c r="B182" s="46">
        <v>44254</v>
      </c>
      <c r="C182" s="269">
        <v>180.78020914617969</v>
      </c>
      <c r="D182" s="269">
        <v>125.57183874706618</v>
      </c>
      <c r="E182" s="177">
        <f t="shared" si="4"/>
        <v>125.57183874706618</v>
      </c>
      <c r="F182" s="199" t="str">
        <f t="shared" si="5"/>
        <v/>
      </c>
    </row>
    <row r="183" spans="1:6">
      <c r="A183">
        <v>180</v>
      </c>
      <c r="B183" s="46">
        <v>44255</v>
      </c>
      <c r="C183" s="269">
        <v>158.86039014818343</v>
      </c>
      <c r="D183" s="269">
        <v>125.57183874706618</v>
      </c>
      <c r="E183" s="177">
        <f t="shared" si="4"/>
        <v>125.57183874706618</v>
      </c>
      <c r="F183" s="199" t="str">
        <f t="shared" si="5"/>
        <v/>
      </c>
    </row>
    <row r="184" spans="1:6">
      <c r="A184">
        <v>181</v>
      </c>
      <c r="B184" s="46">
        <v>44256</v>
      </c>
      <c r="C184" s="269">
        <v>180.43640221617972</v>
      </c>
      <c r="D184" s="269">
        <v>136.7399554485423</v>
      </c>
      <c r="E184" s="177">
        <f t="shared" si="4"/>
        <v>136.7399554485423</v>
      </c>
      <c r="F184" s="199" t="str">
        <f t="shared" si="5"/>
        <v/>
      </c>
    </row>
    <row r="185" spans="1:6">
      <c r="A185">
        <v>182</v>
      </c>
      <c r="B185" s="46">
        <v>44257</v>
      </c>
      <c r="C185" s="269">
        <v>201.88414813417785</v>
      </c>
      <c r="D185" s="269">
        <v>136.7399554485423</v>
      </c>
      <c r="E185" s="177">
        <f t="shared" si="4"/>
        <v>136.7399554485423</v>
      </c>
      <c r="F185" s="199" t="str">
        <f t="shared" si="5"/>
        <v/>
      </c>
    </row>
    <row r="186" spans="1:6">
      <c r="A186">
        <v>183</v>
      </c>
      <c r="B186" s="46">
        <v>44258</v>
      </c>
      <c r="C186" s="269">
        <v>170.96153258492194</v>
      </c>
      <c r="D186" s="269">
        <v>136.7399554485423</v>
      </c>
      <c r="E186" s="177">
        <f t="shared" si="4"/>
        <v>136.7399554485423</v>
      </c>
      <c r="F186" s="199" t="str">
        <f t="shared" si="5"/>
        <v/>
      </c>
    </row>
    <row r="187" spans="1:6">
      <c r="A187">
        <v>184</v>
      </c>
      <c r="B187" s="46">
        <v>44259</v>
      </c>
      <c r="C187" s="269">
        <v>157.94996440092009</v>
      </c>
      <c r="D187" s="269">
        <v>136.7399554485423</v>
      </c>
      <c r="E187" s="177">
        <f t="shared" si="4"/>
        <v>136.7399554485423</v>
      </c>
      <c r="F187" s="199" t="str">
        <f t="shared" si="5"/>
        <v/>
      </c>
    </row>
    <row r="188" spans="1:6">
      <c r="A188">
        <v>185</v>
      </c>
      <c r="B188" s="46">
        <v>44260</v>
      </c>
      <c r="C188" s="269">
        <v>146.89804492091821</v>
      </c>
      <c r="D188" s="269">
        <v>136.7399554485423</v>
      </c>
      <c r="E188" s="177">
        <f t="shared" si="4"/>
        <v>136.7399554485423</v>
      </c>
      <c r="F188" s="199" t="str">
        <f t="shared" si="5"/>
        <v/>
      </c>
    </row>
    <row r="189" spans="1:6">
      <c r="A189">
        <v>186</v>
      </c>
      <c r="B189" s="46">
        <v>44261</v>
      </c>
      <c r="C189" s="269">
        <v>129.02562271292007</v>
      </c>
      <c r="D189" s="269">
        <v>136.7399554485423</v>
      </c>
      <c r="E189" s="177">
        <f t="shared" si="4"/>
        <v>129.02562271292007</v>
      </c>
      <c r="F189" s="199" t="str">
        <f t="shared" si="5"/>
        <v/>
      </c>
    </row>
    <row r="190" spans="1:6">
      <c r="A190">
        <v>187</v>
      </c>
      <c r="B190" s="46">
        <v>44262</v>
      </c>
      <c r="C190" s="269">
        <v>122.20455098892009</v>
      </c>
      <c r="D190" s="269">
        <v>136.7399554485423</v>
      </c>
      <c r="E190" s="177">
        <f t="shared" si="4"/>
        <v>122.20455098892009</v>
      </c>
      <c r="F190" s="199" t="str">
        <f t="shared" si="5"/>
        <v/>
      </c>
    </row>
    <row r="191" spans="1:6">
      <c r="A191">
        <v>188</v>
      </c>
      <c r="B191" s="46">
        <v>44263</v>
      </c>
      <c r="C191" s="269">
        <v>153.32439297692008</v>
      </c>
      <c r="D191" s="269">
        <v>136.7399554485423</v>
      </c>
      <c r="E191" s="177">
        <f t="shared" si="4"/>
        <v>136.7399554485423</v>
      </c>
      <c r="F191" s="199" t="str">
        <f t="shared" si="5"/>
        <v/>
      </c>
    </row>
    <row r="192" spans="1:6">
      <c r="A192">
        <v>189</v>
      </c>
      <c r="B192" s="46">
        <v>44264</v>
      </c>
      <c r="C192" s="269">
        <v>149.22961850492007</v>
      </c>
      <c r="D192" s="269">
        <v>136.7399554485423</v>
      </c>
      <c r="E192" s="177">
        <f t="shared" si="4"/>
        <v>136.7399554485423</v>
      </c>
      <c r="F192" s="199" t="str">
        <f t="shared" si="5"/>
        <v/>
      </c>
    </row>
    <row r="193" spans="1:7">
      <c r="A193">
        <v>190</v>
      </c>
      <c r="B193" s="46">
        <v>44265</v>
      </c>
      <c r="C193" s="269">
        <v>129.11398864011255</v>
      </c>
      <c r="D193" s="269">
        <v>136.7399554485423</v>
      </c>
      <c r="E193" s="177">
        <f t="shared" si="4"/>
        <v>129.11398864011255</v>
      </c>
      <c r="F193" s="199" t="str">
        <f t="shared" si="5"/>
        <v/>
      </c>
    </row>
    <row r="194" spans="1:7">
      <c r="A194">
        <v>191</v>
      </c>
      <c r="B194" s="46">
        <v>44266</v>
      </c>
      <c r="C194" s="269">
        <v>101.23949998610881</v>
      </c>
      <c r="D194" s="269">
        <v>136.7399554485423</v>
      </c>
      <c r="E194" s="177">
        <f t="shared" si="4"/>
        <v>101.23949998610881</v>
      </c>
      <c r="F194" s="199" t="str">
        <f t="shared" si="5"/>
        <v/>
      </c>
    </row>
    <row r="195" spans="1:7">
      <c r="A195">
        <v>192</v>
      </c>
      <c r="B195" s="46">
        <v>44267</v>
      </c>
      <c r="C195" s="269">
        <v>100.59290683211253</v>
      </c>
      <c r="D195" s="269">
        <v>136.7399554485423</v>
      </c>
      <c r="E195" s="177">
        <f t="shared" si="4"/>
        <v>100.59290683211253</v>
      </c>
      <c r="F195" s="199" t="str">
        <f t="shared" si="5"/>
        <v/>
      </c>
    </row>
    <row r="196" spans="1:7">
      <c r="A196">
        <v>193</v>
      </c>
      <c r="B196" s="46">
        <v>44268</v>
      </c>
      <c r="C196" s="269">
        <v>72.324729336108817</v>
      </c>
      <c r="D196" s="269">
        <v>136.7399554485423</v>
      </c>
      <c r="E196" s="177">
        <f t="shared" ref="E196:E259" si="6">IF(C196&lt;D196,C196,D196)</f>
        <v>72.324729336108817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44269</v>
      </c>
      <c r="C197" s="269">
        <v>68.548257946110681</v>
      </c>
      <c r="D197" s="269">
        <v>136.7399554485423</v>
      </c>
      <c r="E197" s="177">
        <f t="shared" si="6"/>
        <v>68.548257946110681</v>
      </c>
      <c r="F197" s="199" t="str">
        <f t="shared" si="7"/>
        <v/>
      </c>
    </row>
    <row r="198" spans="1:7">
      <c r="A198">
        <v>195</v>
      </c>
      <c r="B198" s="46">
        <v>44270</v>
      </c>
      <c r="C198" s="269">
        <v>105.35541978611255</v>
      </c>
      <c r="D198" s="269">
        <v>136.7399554485423</v>
      </c>
      <c r="E198" s="177">
        <f t="shared" si="6"/>
        <v>105.35541978611255</v>
      </c>
      <c r="F198" s="199" t="str">
        <f t="shared" si="7"/>
        <v>M</v>
      </c>
      <c r="G198" s="200">
        <f>IF(DAY(B198)=15,D198,"")</f>
        <v>136.7399554485423</v>
      </c>
    </row>
    <row r="199" spans="1:7">
      <c r="A199">
        <v>196</v>
      </c>
      <c r="B199" s="46">
        <v>44271</v>
      </c>
      <c r="C199" s="269">
        <v>84.458917064108817</v>
      </c>
      <c r="D199" s="269">
        <v>136.7399554485423</v>
      </c>
      <c r="E199" s="177">
        <f t="shared" si="6"/>
        <v>84.458917064108817</v>
      </c>
      <c r="F199" s="199" t="str">
        <f t="shared" si="7"/>
        <v/>
      </c>
      <c r="G199" s="200" t="str">
        <f>IF(DAY(B199)=15,D199,"")</f>
        <v/>
      </c>
    </row>
    <row r="200" spans="1:7">
      <c r="A200">
        <v>197</v>
      </c>
      <c r="B200" s="46">
        <v>44272</v>
      </c>
      <c r="C200" s="269">
        <v>78.6456522491697</v>
      </c>
      <c r="D200" s="269">
        <v>136.7399554485423</v>
      </c>
      <c r="E200" s="177">
        <f t="shared" si="6"/>
        <v>78.6456522491697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  <c r="G200" s="200" t="str">
        <f>IF(DAY(B200)=15,D200,"")</f>
        <v/>
      </c>
    </row>
    <row r="201" spans="1:7">
      <c r="A201">
        <v>198</v>
      </c>
      <c r="B201" s="46">
        <v>44273</v>
      </c>
      <c r="C201" s="269">
        <v>92.181539105165967</v>
      </c>
      <c r="D201" s="269">
        <v>136.7399554485423</v>
      </c>
      <c r="E201" s="177">
        <f t="shared" si="6"/>
        <v>92.181539105165967</v>
      </c>
      <c r="F201" s="199" t="str">
        <f t="shared" si="7"/>
        <v/>
      </c>
      <c r="G201" s="200" t="str">
        <f>IF(DAY(B201)=15,D201,"")</f>
        <v/>
      </c>
    </row>
    <row r="202" spans="1:7">
      <c r="A202">
        <v>199</v>
      </c>
      <c r="B202" s="46">
        <v>44274</v>
      </c>
      <c r="C202" s="269">
        <v>86.720284863165972</v>
      </c>
      <c r="D202" s="269">
        <v>136.7399554485423</v>
      </c>
      <c r="E202" s="177">
        <f t="shared" si="6"/>
        <v>86.720284863165972</v>
      </c>
      <c r="F202" s="199" t="str">
        <f t="shared" si="7"/>
        <v/>
      </c>
    </row>
    <row r="203" spans="1:7">
      <c r="A203">
        <v>200</v>
      </c>
      <c r="B203" s="46">
        <v>44275</v>
      </c>
      <c r="C203" s="269">
        <v>43.176069023169696</v>
      </c>
      <c r="D203" s="269">
        <v>136.7399554485423</v>
      </c>
      <c r="E203" s="177">
        <f t="shared" si="6"/>
        <v>43.176069023169696</v>
      </c>
      <c r="F203" s="199" t="str">
        <f t="shared" si="7"/>
        <v/>
      </c>
    </row>
    <row r="204" spans="1:7">
      <c r="A204">
        <v>201</v>
      </c>
      <c r="B204" s="46">
        <v>44276</v>
      </c>
      <c r="C204" s="269">
        <v>48.579112891164108</v>
      </c>
      <c r="D204" s="269">
        <v>136.7399554485423</v>
      </c>
      <c r="E204" s="177">
        <f t="shared" si="6"/>
        <v>48.579112891164108</v>
      </c>
      <c r="F204" s="199" t="str">
        <f t="shared" si="7"/>
        <v/>
      </c>
    </row>
    <row r="205" spans="1:7">
      <c r="A205">
        <v>202</v>
      </c>
      <c r="B205" s="46">
        <v>44277</v>
      </c>
      <c r="C205" s="269">
        <v>100.11940646116783</v>
      </c>
      <c r="D205" s="269">
        <v>136.7399554485423</v>
      </c>
      <c r="E205" s="177">
        <f t="shared" si="6"/>
        <v>100.11940646116783</v>
      </c>
      <c r="F205" s="199" t="str">
        <f t="shared" si="7"/>
        <v/>
      </c>
    </row>
    <row r="206" spans="1:7">
      <c r="A206">
        <v>203</v>
      </c>
      <c r="B206" s="46">
        <v>44278</v>
      </c>
      <c r="C206" s="269">
        <v>123.59558988916784</v>
      </c>
      <c r="D206" s="269">
        <v>136.7399554485423</v>
      </c>
      <c r="E206" s="177">
        <f t="shared" si="6"/>
        <v>123.59558988916784</v>
      </c>
      <c r="F206" s="199" t="str">
        <f t="shared" si="7"/>
        <v/>
      </c>
    </row>
    <row r="207" spans="1:7">
      <c r="A207">
        <v>204</v>
      </c>
      <c r="B207" s="46">
        <v>44279</v>
      </c>
      <c r="C207" s="269">
        <v>101.68231273701706</v>
      </c>
      <c r="D207" s="269">
        <v>136.7399554485423</v>
      </c>
      <c r="E207" s="177">
        <f t="shared" si="6"/>
        <v>101.68231273701706</v>
      </c>
      <c r="F207" s="199" t="str">
        <f t="shared" si="7"/>
        <v/>
      </c>
    </row>
    <row r="208" spans="1:7">
      <c r="A208">
        <v>205</v>
      </c>
      <c r="B208" s="46">
        <v>44280</v>
      </c>
      <c r="C208" s="269">
        <v>100.98737631301704</v>
      </c>
      <c r="D208" s="269">
        <v>136.7399554485423</v>
      </c>
      <c r="E208" s="177">
        <f t="shared" si="6"/>
        <v>100.98737631301704</v>
      </c>
      <c r="F208" s="199" t="str">
        <f t="shared" si="7"/>
        <v/>
      </c>
    </row>
    <row r="209" spans="1:6">
      <c r="A209">
        <v>206</v>
      </c>
      <c r="B209" s="46">
        <v>44281</v>
      </c>
      <c r="C209" s="269">
        <v>86.623203501018921</v>
      </c>
      <c r="D209" s="269">
        <v>136.7399554485423</v>
      </c>
      <c r="E209" s="177">
        <f t="shared" si="6"/>
        <v>86.623203501018921</v>
      </c>
      <c r="F209" s="199" t="str">
        <f t="shared" si="7"/>
        <v/>
      </c>
    </row>
    <row r="210" spans="1:6">
      <c r="A210">
        <v>207</v>
      </c>
      <c r="B210" s="46">
        <v>44282</v>
      </c>
      <c r="C210" s="269">
        <v>52.267094185018912</v>
      </c>
      <c r="D210" s="269">
        <v>136.7399554485423</v>
      </c>
      <c r="E210" s="177">
        <f t="shared" si="6"/>
        <v>52.267094185018912</v>
      </c>
      <c r="F210" s="199" t="str">
        <f t="shared" si="7"/>
        <v/>
      </c>
    </row>
    <row r="211" spans="1:6">
      <c r="A211">
        <v>208</v>
      </c>
      <c r="B211" s="46">
        <v>44283</v>
      </c>
      <c r="C211" s="269">
        <v>22.305643741017047</v>
      </c>
      <c r="D211" s="269">
        <v>136.7399554485423</v>
      </c>
      <c r="E211" s="177">
        <f t="shared" si="6"/>
        <v>22.305643741017047</v>
      </c>
      <c r="F211" s="199" t="str">
        <f t="shared" si="7"/>
        <v/>
      </c>
    </row>
    <row r="212" spans="1:6">
      <c r="A212">
        <v>209</v>
      </c>
      <c r="B212" s="46">
        <v>44284</v>
      </c>
      <c r="C212" s="269">
        <v>50.199117601017058</v>
      </c>
      <c r="D212" s="269">
        <v>136.7399554485423</v>
      </c>
      <c r="E212" s="177">
        <f t="shared" si="6"/>
        <v>50.199117601017058</v>
      </c>
      <c r="F212" s="199" t="str">
        <f t="shared" si="7"/>
        <v/>
      </c>
    </row>
    <row r="213" spans="1:6">
      <c r="A213">
        <v>210</v>
      </c>
      <c r="B213" s="46">
        <v>44285</v>
      </c>
      <c r="C213" s="269">
        <v>60.649499513017055</v>
      </c>
      <c r="D213" s="269">
        <v>136.7399554485423</v>
      </c>
      <c r="E213" s="177">
        <f t="shared" si="6"/>
        <v>60.649499513017055</v>
      </c>
      <c r="F213" s="199" t="str">
        <f t="shared" si="7"/>
        <v/>
      </c>
    </row>
    <row r="214" spans="1:6">
      <c r="A214">
        <v>211</v>
      </c>
      <c r="B214" s="46">
        <v>44286</v>
      </c>
      <c r="C214" s="269">
        <v>75.16902626648239</v>
      </c>
      <c r="D214" s="269">
        <v>136.7399554485423</v>
      </c>
      <c r="E214" s="177">
        <f t="shared" si="6"/>
        <v>75.16902626648239</v>
      </c>
      <c r="F214" s="199" t="str">
        <f t="shared" si="7"/>
        <v/>
      </c>
    </row>
    <row r="215" spans="1:6">
      <c r="A215">
        <v>212</v>
      </c>
      <c r="B215" s="46">
        <v>44287</v>
      </c>
      <c r="C215" s="269">
        <v>63.751534450480527</v>
      </c>
      <c r="D215" s="269">
        <v>128.52573371940508</v>
      </c>
      <c r="E215" s="177">
        <f t="shared" si="6"/>
        <v>63.751534450480527</v>
      </c>
      <c r="F215" s="199" t="str">
        <f t="shared" si="7"/>
        <v/>
      </c>
    </row>
    <row r="216" spans="1:6">
      <c r="A216">
        <v>213</v>
      </c>
      <c r="B216" s="46">
        <v>44288</v>
      </c>
      <c r="C216" s="269">
        <v>65.469556810482388</v>
      </c>
      <c r="D216" s="269">
        <v>128.52573371940508</v>
      </c>
      <c r="E216" s="177">
        <f t="shared" si="6"/>
        <v>65.469556810482388</v>
      </c>
      <c r="F216" s="199" t="str">
        <f t="shared" si="7"/>
        <v/>
      </c>
    </row>
    <row r="217" spans="1:6">
      <c r="A217">
        <v>214</v>
      </c>
      <c r="B217" s="46">
        <v>44289</v>
      </c>
      <c r="C217" s="269">
        <v>42.394872066480531</v>
      </c>
      <c r="D217" s="269">
        <v>128.52573371940508</v>
      </c>
      <c r="E217" s="177">
        <f t="shared" si="6"/>
        <v>42.394872066480531</v>
      </c>
      <c r="F217" s="199" t="str">
        <f t="shared" si="7"/>
        <v/>
      </c>
    </row>
    <row r="218" spans="1:6">
      <c r="A218">
        <v>215</v>
      </c>
      <c r="B218" s="46">
        <v>44290</v>
      </c>
      <c r="C218" s="269">
        <v>41.921852302478669</v>
      </c>
      <c r="D218" s="269">
        <v>128.52573371940508</v>
      </c>
      <c r="E218" s="177">
        <f t="shared" si="6"/>
        <v>41.921852302478669</v>
      </c>
      <c r="F218" s="199" t="str">
        <f t="shared" si="7"/>
        <v/>
      </c>
    </row>
    <row r="219" spans="1:6">
      <c r="A219">
        <v>216</v>
      </c>
      <c r="B219" s="46">
        <v>44291</v>
      </c>
      <c r="C219" s="269">
        <v>57.200811402480525</v>
      </c>
      <c r="D219" s="269">
        <v>128.52573371940508</v>
      </c>
      <c r="E219" s="177">
        <f t="shared" si="6"/>
        <v>57.200811402480525</v>
      </c>
      <c r="F219" s="199" t="str">
        <f t="shared" si="7"/>
        <v/>
      </c>
    </row>
    <row r="220" spans="1:6">
      <c r="A220">
        <v>217</v>
      </c>
      <c r="B220" s="46">
        <v>44292</v>
      </c>
      <c r="C220" s="269">
        <v>72.491779494480539</v>
      </c>
      <c r="D220" s="269">
        <v>128.52573371940508</v>
      </c>
      <c r="E220" s="177">
        <f t="shared" si="6"/>
        <v>72.491779494480539</v>
      </c>
      <c r="F220" s="199" t="str">
        <f t="shared" si="7"/>
        <v/>
      </c>
    </row>
    <row r="221" spans="1:6">
      <c r="A221">
        <v>218</v>
      </c>
      <c r="B221" s="46">
        <v>44293</v>
      </c>
      <c r="C221" s="269">
        <v>73.096940716146577</v>
      </c>
      <c r="D221" s="269">
        <v>128.52573371940508</v>
      </c>
      <c r="E221" s="177">
        <f t="shared" si="6"/>
        <v>73.096940716146577</v>
      </c>
      <c r="F221" s="199" t="str">
        <f t="shared" si="7"/>
        <v/>
      </c>
    </row>
    <row r="222" spans="1:6">
      <c r="A222">
        <v>219</v>
      </c>
      <c r="B222" s="46">
        <v>44294</v>
      </c>
      <c r="C222" s="269">
        <v>97.066670200148423</v>
      </c>
      <c r="D222" s="269">
        <v>128.52573371940508</v>
      </c>
      <c r="E222" s="177">
        <f t="shared" si="6"/>
        <v>97.066670200148423</v>
      </c>
      <c r="F222" s="199" t="str">
        <f t="shared" si="7"/>
        <v/>
      </c>
    </row>
    <row r="223" spans="1:6">
      <c r="A223">
        <v>220</v>
      </c>
      <c r="B223" s="46">
        <v>44295</v>
      </c>
      <c r="C223" s="269">
        <v>89.112006520142856</v>
      </c>
      <c r="D223" s="269">
        <v>128.52573371940508</v>
      </c>
      <c r="E223" s="177">
        <f t="shared" si="6"/>
        <v>89.112006520142856</v>
      </c>
      <c r="F223" s="199" t="str">
        <f t="shared" si="7"/>
        <v/>
      </c>
    </row>
    <row r="224" spans="1:6">
      <c r="A224">
        <v>221</v>
      </c>
      <c r="B224" s="46">
        <v>44296</v>
      </c>
      <c r="C224" s="269">
        <v>59.675219168146576</v>
      </c>
      <c r="D224" s="269">
        <v>128.52573371940508</v>
      </c>
      <c r="E224" s="177">
        <f t="shared" si="6"/>
        <v>59.675219168146576</v>
      </c>
      <c r="F224" s="199" t="str">
        <f t="shared" si="7"/>
        <v/>
      </c>
    </row>
    <row r="225" spans="1:7">
      <c r="A225">
        <v>222</v>
      </c>
      <c r="B225" s="46">
        <v>44297</v>
      </c>
      <c r="C225" s="269">
        <v>36.012027652150294</v>
      </c>
      <c r="D225" s="269">
        <v>128.52573371940508</v>
      </c>
      <c r="E225" s="177">
        <f t="shared" si="6"/>
        <v>36.012027652150294</v>
      </c>
      <c r="F225" s="199" t="str">
        <f t="shared" si="7"/>
        <v/>
      </c>
    </row>
    <row r="226" spans="1:7">
      <c r="A226">
        <v>223</v>
      </c>
      <c r="B226" s="46">
        <v>44298</v>
      </c>
      <c r="C226" s="269">
        <v>71.971308904144706</v>
      </c>
      <c r="D226" s="269">
        <v>128.52573371940508</v>
      </c>
      <c r="E226" s="177">
        <f t="shared" si="6"/>
        <v>71.971308904144706</v>
      </c>
      <c r="F226" s="199" t="str">
        <f t="shared" si="7"/>
        <v/>
      </c>
    </row>
    <row r="227" spans="1:7">
      <c r="A227">
        <v>224</v>
      </c>
      <c r="B227" s="46">
        <v>44299</v>
      </c>
      <c r="C227" s="269">
        <v>87.948379396146578</v>
      </c>
      <c r="D227" s="269">
        <v>128.52573371940508</v>
      </c>
      <c r="E227" s="177">
        <f t="shared" si="6"/>
        <v>87.948379396146578</v>
      </c>
      <c r="F227" s="199" t="str">
        <f t="shared" si="7"/>
        <v/>
      </c>
    </row>
    <row r="228" spans="1:7">
      <c r="A228">
        <v>225</v>
      </c>
      <c r="B228" s="46">
        <v>44300</v>
      </c>
      <c r="C228" s="269">
        <v>74.086402859665498</v>
      </c>
      <c r="D228" s="269">
        <v>128.52573371940508</v>
      </c>
      <c r="E228" s="177">
        <f t="shared" si="6"/>
        <v>74.086402859665498</v>
      </c>
      <c r="F228" s="199" t="str">
        <f t="shared" si="7"/>
        <v/>
      </c>
    </row>
    <row r="229" spans="1:7">
      <c r="A229">
        <v>226</v>
      </c>
      <c r="B229" s="46">
        <v>44301</v>
      </c>
      <c r="C229" s="269">
        <v>65.578525103665498</v>
      </c>
      <c r="D229" s="269">
        <v>128.52573371940508</v>
      </c>
      <c r="E229" s="177">
        <f t="shared" si="6"/>
        <v>65.578525103665498</v>
      </c>
      <c r="F229" s="199" t="str">
        <f t="shared" si="7"/>
        <v>A</v>
      </c>
      <c r="G229" s="200">
        <f>IF(DAY(B229)=15,D229,"")</f>
        <v>128.52573371940508</v>
      </c>
    </row>
    <row r="230" spans="1:7">
      <c r="A230">
        <v>227</v>
      </c>
      <c r="B230" s="46">
        <v>44302</v>
      </c>
      <c r="C230" s="269">
        <v>52.700916831667364</v>
      </c>
      <c r="D230" s="269">
        <v>128.52573371940508</v>
      </c>
      <c r="E230" s="177">
        <f t="shared" si="6"/>
        <v>52.700916831667364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0" t="str">
        <f>IF(DAY(B230)=15,D230,"")</f>
        <v/>
      </c>
    </row>
    <row r="231" spans="1:7">
      <c r="A231">
        <v>228</v>
      </c>
      <c r="B231" s="46">
        <v>44303</v>
      </c>
      <c r="C231" s="269">
        <v>28.047646551661767</v>
      </c>
      <c r="D231" s="269">
        <v>128.52573371940508</v>
      </c>
      <c r="E231" s="177">
        <f t="shared" si="6"/>
        <v>28.047646551661767</v>
      </c>
      <c r="F231" s="199" t="str">
        <f t="shared" si="7"/>
        <v/>
      </c>
      <c r="G231" s="200" t="str">
        <f>IF(DAY(B231)=15,D231,"")</f>
        <v/>
      </c>
    </row>
    <row r="232" spans="1:7">
      <c r="A232">
        <v>229</v>
      </c>
      <c r="B232" s="46">
        <v>44304</v>
      </c>
      <c r="C232" s="269">
        <v>25.637126475665493</v>
      </c>
      <c r="D232" s="269">
        <v>128.52573371940508</v>
      </c>
      <c r="E232" s="177">
        <f t="shared" si="6"/>
        <v>25.637126475665493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  <c r="G232" s="200" t="str">
        <f>IF(DAY(B232)=15,D232,"")</f>
        <v/>
      </c>
    </row>
    <row r="233" spans="1:7">
      <c r="A233">
        <v>230</v>
      </c>
      <c r="B233" s="46">
        <v>44305</v>
      </c>
      <c r="C233" s="269">
        <v>67.720498807665493</v>
      </c>
      <c r="D233" s="269">
        <v>128.52573371940508</v>
      </c>
      <c r="E233" s="177">
        <f t="shared" si="6"/>
        <v>67.720498807665493</v>
      </c>
      <c r="F233" s="199" t="str">
        <f t="shared" si="7"/>
        <v/>
      </c>
    </row>
    <row r="234" spans="1:7">
      <c r="A234">
        <v>231</v>
      </c>
      <c r="B234" s="46">
        <v>44306</v>
      </c>
      <c r="C234" s="269">
        <v>64.438045755665499</v>
      </c>
      <c r="D234" s="269">
        <v>128.52573371940508</v>
      </c>
      <c r="E234" s="177">
        <f t="shared" si="6"/>
        <v>64.438045755665499</v>
      </c>
      <c r="F234" s="199" t="str">
        <f t="shared" si="7"/>
        <v/>
      </c>
    </row>
    <row r="235" spans="1:7">
      <c r="A235">
        <v>232</v>
      </c>
      <c r="B235" s="46">
        <v>44307</v>
      </c>
      <c r="C235" s="269">
        <v>77.927893818515969</v>
      </c>
      <c r="D235" s="269">
        <v>128.52573371940508</v>
      </c>
      <c r="E235" s="177">
        <f t="shared" si="6"/>
        <v>77.927893818515969</v>
      </c>
      <c r="F235" s="199" t="str">
        <f t="shared" si="7"/>
        <v/>
      </c>
    </row>
    <row r="236" spans="1:7">
      <c r="A236">
        <v>233</v>
      </c>
      <c r="B236" s="46">
        <v>44308</v>
      </c>
      <c r="C236" s="269">
        <v>70.428506162521543</v>
      </c>
      <c r="D236" s="269">
        <v>128.52573371940508</v>
      </c>
      <c r="E236" s="177">
        <f t="shared" si="6"/>
        <v>70.428506162521543</v>
      </c>
      <c r="F236" s="199" t="str">
        <f t="shared" si="7"/>
        <v/>
      </c>
    </row>
    <row r="237" spans="1:7">
      <c r="A237">
        <v>234</v>
      </c>
      <c r="B237" s="46">
        <v>44309</v>
      </c>
      <c r="C237" s="269">
        <v>33.339995286519681</v>
      </c>
      <c r="D237" s="269">
        <v>128.52573371940508</v>
      </c>
      <c r="E237" s="177">
        <f t="shared" si="6"/>
        <v>33.339995286519681</v>
      </c>
      <c r="F237" s="199" t="str">
        <f t="shared" si="7"/>
        <v/>
      </c>
    </row>
    <row r="238" spans="1:7">
      <c r="A238">
        <v>235</v>
      </c>
      <c r="B238" s="46">
        <v>44310</v>
      </c>
      <c r="C238" s="269">
        <v>20.937989170515962</v>
      </c>
      <c r="D238" s="269">
        <v>128.52573371940508</v>
      </c>
      <c r="E238" s="177">
        <f t="shared" si="6"/>
        <v>20.937989170515962</v>
      </c>
      <c r="F238" s="199" t="str">
        <f t="shared" si="7"/>
        <v/>
      </c>
    </row>
    <row r="239" spans="1:7">
      <c r="A239">
        <v>236</v>
      </c>
      <c r="B239" s="46">
        <v>44311</v>
      </c>
      <c r="C239" s="269">
        <v>29.937314190521544</v>
      </c>
      <c r="D239" s="269">
        <v>128.52573371940508</v>
      </c>
      <c r="E239" s="177">
        <f t="shared" si="6"/>
        <v>29.937314190521544</v>
      </c>
      <c r="F239" s="199" t="str">
        <f t="shared" si="7"/>
        <v/>
      </c>
    </row>
    <row r="240" spans="1:7">
      <c r="A240">
        <v>237</v>
      </c>
      <c r="B240" s="46">
        <v>44312</v>
      </c>
      <c r="C240" s="269">
        <v>70.082576902517815</v>
      </c>
      <c r="D240" s="269">
        <v>128.52573371940508</v>
      </c>
      <c r="E240" s="177">
        <f t="shared" si="6"/>
        <v>70.082576902517815</v>
      </c>
      <c r="F240" s="199" t="str">
        <f t="shared" si="7"/>
        <v/>
      </c>
    </row>
    <row r="241" spans="1:6">
      <c r="A241">
        <v>238</v>
      </c>
      <c r="B241" s="46">
        <v>44313</v>
      </c>
      <c r="C241" s="269">
        <v>69.587241770521544</v>
      </c>
      <c r="D241" s="269">
        <v>128.52573371940508</v>
      </c>
      <c r="E241" s="177">
        <f t="shared" si="6"/>
        <v>69.587241770521544</v>
      </c>
      <c r="F241" s="199" t="str">
        <f t="shared" si="7"/>
        <v/>
      </c>
    </row>
    <row r="242" spans="1:6">
      <c r="A242">
        <v>239</v>
      </c>
      <c r="B242" s="46">
        <v>44314</v>
      </c>
      <c r="C242" s="269">
        <v>94.811122895477396</v>
      </c>
      <c r="D242" s="269">
        <v>128.52573371940508</v>
      </c>
      <c r="E242" s="177">
        <f t="shared" si="6"/>
        <v>94.811122895477396</v>
      </c>
      <c r="F242" s="199" t="str">
        <f t="shared" si="7"/>
        <v/>
      </c>
    </row>
    <row r="243" spans="1:6">
      <c r="A243">
        <v>240</v>
      </c>
      <c r="B243" s="46">
        <v>44315</v>
      </c>
      <c r="C243" s="269">
        <v>98.490954667479258</v>
      </c>
      <c r="D243" s="269">
        <v>128.52573371940508</v>
      </c>
      <c r="E243" s="177">
        <f t="shared" si="6"/>
        <v>98.490954667479258</v>
      </c>
      <c r="F243" s="199" t="str">
        <f t="shared" si="7"/>
        <v/>
      </c>
    </row>
    <row r="244" spans="1:6">
      <c r="A244">
        <v>241</v>
      </c>
      <c r="B244" s="46">
        <v>44316</v>
      </c>
      <c r="C244" s="269">
        <v>95.389488947479265</v>
      </c>
      <c r="D244" s="269">
        <v>128.52573371940508</v>
      </c>
      <c r="E244" s="177">
        <f t="shared" si="6"/>
        <v>95.389488947479265</v>
      </c>
      <c r="F244" s="199" t="str">
        <f t="shared" si="7"/>
        <v/>
      </c>
    </row>
    <row r="245" spans="1:6">
      <c r="A245">
        <v>242</v>
      </c>
      <c r="B245" s="46">
        <v>44317</v>
      </c>
      <c r="C245" s="269">
        <v>42.147848663479259</v>
      </c>
      <c r="D245" s="269">
        <v>101.55332277089387</v>
      </c>
      <c r="E245" s="177">
        <f t="shared" si="6"/>
        <v>42.147848663479259</v>
      </c>
      <c r="F245" s="199" t="str">
        <f t="shared" si="7"/>
        <v/>
      </c>
    </row>
    <row r="246" spans="1:6">
      <c r="A246">
        <v>243</v>
      </c>
      <c r="B246" s="46">
        <v>44318</v>
      </c>
      <c r="C246" s="269">
        <v>37.578915619477392</v>
      </c>
      <c r="D246" s="269">
        <v>101.55332277089387</v>
      </c>
      <c r="E246" s="177">
        <f t="shared" si="6"/>
        <v>37.578915619477392</v>
      </c>
      <c r="F246" s="199" t="str">
        <f t="shared" si="7"/>
        <v/>
      </c>
    </row>
    <row r="247" spans="1:6">
      <c r="A247">
        <v>244</v>
      </c>
      <c r="B247" s="46">
        <v>44319</v>
      </c>
      <c r="C247" s="269">
        <v>62.32738921948112</v>
      </c>
      <c r="D247" s="269">
        <v>101.55332277089387</v>
      </c>
      <c r="E247" s="177">
        <f t="shared" si="6"/>
        <v>62.32738921948112</v>
      </c>
      <c r="F247" s="199" t="str">
        <f t="shared" si="7"/>
        <v/>
      </c>
    </row>
    <row r="248" spans="1:6">
      <c r="A248">
        <v>245</v>
      </c>
      <c r="B248" s="46">
        <v>44320</v>
      </c>
      <c r="C248" s="269">
        <v>72.060014443477399</v>
      </c>
      <c r="D248" s="269">
        <v>101.55332277089387</v>
      </c>
      <c r="E248" s="177">
        <f t="shared" si="6"/>
        <v>72.060014443477399</v>
      </c>
      <c r="F248" s="199" t="str">
        <f t="shared" si="7"/>
        <v/>
      </c>
    </row>
    <row r="249" spans="1:6">
      <c r="A249">
        <v>246</v>
      </c>
      <c r="B249" s="46">
        <v>44321</v>
      </c>
      <c r="C249" s="269">
        <v>64.883841791812969</v>
      </c>
      <c r="D249" s="269">
        <v>101.55332277089387</v>
      </c>
      <c r="E249" s="177">
        <f t="shared" si="6"/>
        <v>64.883841791812969</v>
      </c>
      <c r="F249" s="199" t="str">
        <f t="shared" si="7"/>
        <v/>
      </c>
    </row>
    <row r="250" spans="1:6">
      <c r="A250">
        <v>247</v>
      </c>
      <c r="B250" s="46">
        <v>44322</v>
      </c>
      <c r="C250" s="269">
        <v>60.960911771811105</v>
      </c>
      <c r="D250" s="269">
        <v>101.55332277089387</v>
      </c>
      <c r="E250" s="177">
        <f t="shared" si="6"/>
        <v>60.960911771811105</v>
      </c>
      <c r="F250" s="199" t="str">
        <f t="shared" si="7"/>
        <v/>
      </c>
    </row>
    <row r="251" spans="1:6">
      <c r="A251">
        <v>248</v>
      </c>
      <c r="B251" s="46">
        <v>44323</v>
      </c>
      <c r="C251" s="269">
        <v>70.572683851807383</v>
      </c>
      <c r="D251" s="269">
        <v>101.55332277089387</v>
      </c>
      <c r="E251" s="177">
        <f t="shared" si="6"/>
        <v>70.572683851807383</v>
      </c>
      <c r="F251" s="199" t="str">
        <f t="shared" si="7"/>
        <v/>
      </c>
    </row>
    <row r="252" spans="1:6">
      <c r="A252">
        <v>249</v>
      </c>
      <c r="B252" s="46">
        <v>44324</v>
      </c>
      <c r="C252" s="269">
        <v>41.411578935811107</v>
      </c>
      <c r="D252" s="269">
        <v>101.55332277089387</v>
      </c>
      <c r="E252" s="177">
        <f t="shared" si="6"/>
        <v>41.411578935811107</v>
      </c>
      <c r="F252" s="199" t="str">
        <f t="shared" si="7"/>
        <v/>
      </c>
    </row>
    <row r="253" spans="1:6">
      <c r="A253">
        <v>250</v>
      </c>
      <c r="B253" s="46">
        <v>44325</v>
      </c>
      <c r="C253" s="269">
        <v>41.354636751809245</v>
      </c>
      <c r="D253" s="269">
        <v>101.55332277089387</v>
      </c>
      <c r="E253" s="177">
        <f t="shared" si="6"/>
        <v>41.354636751809245</v>
      </c>
      <c r="F253" s="199" t="str">
        <f t="shared" si="7"/>
        <v/>
      </c>
    </row>
    <row r="254" spans="1:6">
      <c r="A254">
        <v>251</v>
      </c>
      <c r="B254" s="46">
        <v>44326</v>
      </c>
      <c r="C254" s="269">
        <v>60.27062237980924</v>
      </c>
      <c r="D254" s="269">
        <v>101.55332277089387</v>
      </c>
      <c r="E254" s="177">
        <f t="shared" si="6"/>
        <v>60.27062237980924</v>
      </c>
      <c r="F254" s="199" t="str">
        <f t="shared" si="7"/>
        <v/>
      </c>
    </row>
    <row r="255" spans="1:6">
      <c r="A255">
        <v>252</v>
      </c>
      <c r="B255" s="46">
        <v>44327</v>
      </c>
      <c r="C255" s="269">
        <v>56.165441323812964</v>
      </c>
      <c r="D255" s="269">
        <v>101.55332277089387</v>
      </c>
      <c r="E255" s="177">
        <f t="shared" si="6"/>
        <v>56.165441323812964</v>
      </c>
      <c r="F255" s="199" t="str">
        <f t="shared" si="7"/>
        <v/>
      </c>
    </row>
    <row r="256" spans="1:6">
      <c r="A256">
        <v>253</v>
      </c>
      <c r="B256" s="46">
        <v>44328</v>
      </c>
      <c r="C256" s="269">
        <v>64.953505773205393</v>
      </c>
      <c r="D256" s="269">
        <v>101.55332277089387</v>
      </c>
      <c r="E256" s="177">
        <f t="shared" si="6"/>
        <v>64.953505773205393</v>
      </c>
      <c r="F256" s="199" t="str">
        <f t="shared" si="7"/>
        <v/>
      </c>
    </row>
    <row r="257" spans="1:7">
      <c r="A257">
        <v>254</v>
      </c>
      <c r="B257" s="46">
        <v>44329</v>
      </c>
      <c r="C257" s="269">
        <v>70.248995309207274</v>
      </c>
      <c r="D257" s="269">
        <v>101.55332277089387</v>
      </c>
      <c r="E257" s="177">
        <f t="shared" si="6"/>
        <v>70.248995309207274</v>
      </c>
      <c r="F257" s="199" t="str">
        <f t="shared" si="7"/>
        <v/>
      </c>
    </row>
    <row r="258" spans="1:7">
      <c r="A258">
        <v>255</v>
      </c>
      <c r="B258" s="46">
        <v>44330</v>
      </c>
      <c r="C258" s="269">
        <v>73.449084457207263</v>
      </c>
      <c r="D258" s="269">
        <v>101.55332277089387</v>
      </c>
      <c r="E258" s="177">
        <f t="shared" si="6"/>
        <v>73.449084457207263</v>
      </c>
      <c r="F258" s="199" t="str">
        <f t="shared" si="7"/>
        <v/>
      </c>
    </row>
    <row r="259" spans="1:7">
      <c r="A259">
        <v>256</v>
      </c>
      <c r="B259" s="46">
        <v>44331</v>
      </c>
      <c r="C259" s="269">
        <v>61.409645237210988</v>
      </c>
      <c r="D259" s="269">
        <v>101.55332277089387</v>
      </c>
      <c r="E259" s="177">
        <f t="shared" si="6"/>
        <v>61.409645237210988</v>
      </c>
      <c r="F259" s="199" t="str">
        <f t="shared" si="7"/>
        <v>M</v>
      </c>
      <c r="G259" s="200">
        <f>IF(DAY(B259)=15,D259,"")</f>
        <v>101.55332277089387</v>
      </c>
    </row>
    <row r="260" spans="1:7">
      <c r="A260">
        <v>257</v>
      </c>
      <c r="B260" s="46">
        <v>44332</v>
      </c>
      <c r="C260" s="269">
        <v>62.933085797205401</v>
      </c>
      <c r="D260" s="269">
        <v>101.55332277089387</v>
      </c>
      <c r="E260" s="177">
        <f t="shared" ref="E260:E323" si="8">IF(C260&lt;D260,C260,D260)</f>
        <v>62.933085797205401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00" t="str">
        <f>IF(DAY(B260)=15,D260,"")</f>
        <v/>
      </c>
    </row>
    <row r="261" spans="1:7">
      <c r="A261">
        <v>258</v>
      </c>
      <c r="B261" s="46">
        <v>44333</v>
      </c>
      <c r="C261" s="269">
        <v>84.705796105210993</v>
      </c>
      <c r="D261" s="269">
        <v>101.55332277089387</v>
      </c>
      <c r="E261" s="177">
        <f t="shared" si="8"/>
        <v>84.705796105210993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  <c r="G261" s="200" t="str">
        <f>IF(DAY(B261)=15,D261,"")</f>
        <v/>
      </c>
    </row>
    <row r="262" spans="1:7">
      <c r="A262">
        <v>259</v>
      </c>
      <c r="B262" s="46">
        <v>44334</v>
      </c>
      <c r="C262" s="269">
        <v>82.96181858520913</v>
      </c>
      <c r="D262" s="269">
        <v>101.55332277089387</v>
      </c>
      <c r="E262" s="177">
        <f t="shared" si="8"/>
        <v>82.96181858520913</v>
      </c>
      <c r="F262" s="199" t="str">
        <f t="shared" si="9"/>
        <v/>
      </c>
      <c r="G262" s="200" t="str">
        <f>IF(DAY(B262)=15,D262,"")</f>
        <v/>
      </c>
    </row>
    <row r="263" spans="1:7">
      <c r="A263">
        <v>260</v>
      </c>
      <c r="B263" s="46">
        <v>44335</v>
      </c>
      <c r="C263" s="269">
        <v>88.422067961818541</v>
      </c>
      <c r="D263" s="269">
        <v>101.55332277089387</v>
      </c>
      <c r="E263" s="177">
        <f t="shared" si="8"/>
        <v>88.422067961818541</v>
      </c>
      <c r="F263" s="199" t="str">
        <f t="shared" si="9"/>
        <v/>
      </c>
    </row>
    <row r="264" spans="1:7">
      <c r="A264">
        <v>261</v>
      </c>
      <c r="B264" s="46">
        <v>44336</v>
      </c>
      <c r="C264" s="269">
        <v>87.487187521816665</v>
      </c>
      <c r="D264" s="269">
        <v>101.55332277089387</v>
      </c>
      <c r="E264" s="177">
        <f t="shared" si="8"/>
        <v>87.487187521816665</v>
      </c>
      <c r="F264" s="199" t="str">
        <f t="shared" si="9"/>
        <v/>
      </c>
    </row>
    <row r="265" spans="1:7">
      <c r="A265">
        <v>262</v>
      </c>
      <c r="B265" s="46">
        <v>44337</v>
      </c>
      <c r="C265" s="269">
        <v>81.833325337818536</v>
      </c>
      <c r="D265" s="269">
        <v>101.55332277089387</v>
      </c>
      <c r="E265" s="177">
        <f t="shared" si="8"/>
        <v>81.833325337818536</v>
      </c>
      <c r="F265" s="199" t="str">
        <f t="shared" si="9"/>
        <v/>
      </c>
    </row>
    <row r="266" spans="1:7">
      <c r="A266">
        <v>263</v>
      </c>
      <c r="B266" s="46">
        <v>44338</v>
      </c>
      <c r="C266" s="269">
        <v>85.378086121820388</v>
      </c>
      <c r="D266" s="269">
        <v>101.55332277089387</v>
      </c>
      <c r="E266" s="177">
        <f t="shared" si="8"/>
        <v>85.378086121820388</v>
      </c>
      <c r="F266" s="199" t="str">
        <f t="shared" si="9"/>
        <v/>
      </c>
    </row>
    <row r="267" spans="1:7">
      <c r="A267">
        <v>264</v>
      </c>
      <c r="B267" s="46">
        <v>44339</v>
      </c>
      <c r="C267" s="269">
        <v>63.705421921816672</v>
      </c>
      <c r="D267" s="269">
        <v>101.55332277089387</v>
      </c>
      <c r="E267" s="177">
        <f t="shared" si="8"/>
        <v>63.705421921816672</v>
      </c>
      <c r="F267" s="199" t="str">
        <f t="shared" si="9"/>
        <v/>
      </c>
    </row>
    <row r="268" spans="1:7">
      <c r="A268">
        <v>265</v>
      </c>
      <c r="B268" s="46">
        <v>44340</v>
      </c>
      <c r="C268" s="269">
        <v>71.866288133820404</v>
      </c>
      <c r="D268" s="269">
        <v>101.55332277089387</v>
      </c>
      <c r="E268" s="177">
        <f t="shared" si="8"/>
        <v>71.866288133820404</v>
      </c>
      <c r="F268" s="199" t="str">
        <f t="shared" si="9"/>
        <v/>
      </c>
    </row>
    <row r="269" spans="1:7">
      <c r="A269">
        <v>266</v>
      </c>
      <c r="B269" s="46">
        <v>44341</v>
      </c>
      <c r="C269" s="269">
        <v>76.699483453822268</v>
      </c>
      <c r="D269" s="269">
        <v>101.55332277089387</v>
      </c>
      <c r="E269" s="177">
        <f t="shared" si="8"/>
        <v>76.699483453822268</v>
      </c>
      <c r="F269" s="199" t="str">
        <f t="shared" si="9"/>
        <v/>
      </c>
    </row>
    <row r="270" spans="1:7">
      <c r="A270">
        <v>267</v>
      </c>
      <c r="B270" s="46">
        <v>44342</v>
      </c>
      <c r="C270" s="269">
        <v>44.951141361653775</v>
      </c>
      <c r="D270" s="269">
        <v>101.55332277089387</v>
      </c>
      <c r="E270" s="177">
        <f t="shared" si="8"/>
        <v>44.951141361653775</v>
      </c>
      <c r="F270" s="199" t="str">
        <f t="shared" si="9"/>
        <v/>
      </c>
    </row>
    <row r="271" spans="1:7">
      <c r="A271">
        <v>268</v>
      </c>
      <c r="B271" s="46">
        <v>44343</v>
      </c>
      <c r="C271" s="269">
        <v>84.566878257655645</v>
      </c>
      <c r="D271" s="269">
        <v>101.55332277089387</v>
      </c>
      <c r="E271" s="177">
        <f t="shared" si="8"/>
        <v>84.566878257655645</v>
      </c>
      <c r="F271" s="199" t="str">
        <f t="shared" si="9"/>
        <v/>
      </c>
    </row>
    <row r="272" spans="1:7">
      <c r="A272">
        <v>269</v>
      </c>
      <c r="B272" s="46">
        <v>44344</v>
      </c>
      <c r="C272" s="269">
        <v>51.342713629655641</v>
      </c>
      <c r="D272" s="269">
        <v>101.55332277089387</v>
      </c>
      <c r="E272" s="177">
        <f t="shared" si="8"/>
        <v>51.342713629655641</v>
      </c>
      <c r="F272" s="199" t="str">
        <f t="shared" si="9"/>
        <v/>
      </c>
    </row>
    <row r="273" spans="1:6">
      <c r="A273">
        <v>270</v>
      </c>
      <c r="B273" s="46">
        <v>44345</v>
      </c>
      <c r="C273" s="269">
        <v>47.232078169655637</v>
      </c>
      <c r="D273" s="269">
        <v>101.55332277089387</v>
      </c>
      <c r="E273" s="177">
        <f t="shared" si="8"/>
        <v>47.232078169655637</v>
      </c>
      <c r="F273" s="199" t="str">
        <f t="shared" si="9"/>
        <v/>
      </c>
    </row>
    <row r="274" spans="1:6">
      <c r="A274">
        <v>271</v>
      </c>
      <c r="B274" s="46">
        <v>44346</v>
      </c>
      <c r="C274" s="269">
        <v>30.955034121657505</v>
      </c>
      <c r="D274" s="269">
        <v>101.55332277089387</v>
      </c>
      <c r="E274" s="177">
        <f t="shared" si="8"/>
        <v>30.955034121657505</v>
      </c>
      <c r="F274" s="199" t="str">
        <f t="shared" si="9"/>
        <v/>
      </c>
    </row>
    <row r="275" spans="1:6">
      <c r="A275">
        <v>272</v>
      </c>
      <c r="B275" s="46">
        <v>44347</v>
      </c>
      <c r="C275" s="269">
        <v>46.388749833651922</v>
      </c>
      <c r="D275" s="269">
        <v>101.55332277089387</v>
      </c>
      <c r="E275" s="177">
        <f t="shared" si="8"/>
        <v>46.388749833651922</v>
      </c>
      <c r="F275" s="199" t="str">
        <f t="shared" si="9"/>
        <v/>
      </c>
    </row>
    <row r="276" spans="1:6">
      <c r="A276">
        <v>273</v>
      </c>
      <c r="B276" s="46">
        <v>44348</v>
      </c>
      <c r="C276" s="269">
        <v>49.7390358816575</v>
      </c>
      <c r="D276" s="269">
        <v>64.002517723929074</v>
      </c>
      <c r="E276" s="177">
        <f t="shared" si="8"/>
        <v>49.7390358816575</v>
      </c>
      <c r="F276" s="199" t="str">
        <f t="shared" si="9"/>
        <v/>
      </c>
    </row>
    <row r="277" spans="1:6">
      <c r="A277">
        <v>274</v>
      </c>
      <c r="B277" s="46">
        <v>44349</v>
      </c>
      <c r="C277" s="269">
        <v>59.622137735076741</v>
      </c>
      <c r="D277" s="269">
        <v>64.002517723929074</v>
      </c>
      <c r="E277" s="177">
        <f t="shared" si="8"/>
        <v>59.622137735076741</v>
      </c>
      <c r="F277" s="199" t="str">
        <f t="shared" si="9"/>
        <v/>
      </c>
    </row>
    <row r="278" spans="1:6">
      <c r="A278">
        <v>275</v>
      </c>
      <c r="B278" s="46">
        <v>44350</v>
      </c>
      <c r="C278" s="269">
        <v>43.383433879082332</v>
      </c>
      <c r="D278" s="269">
        <v>64.002517723929074</v>
      </c>
      <c r="E278" s="177">
        <f t="shared" si="8"/>
        <v>43.383433879082332</v>
      </c>
      <c r="F278" s="199" t="str">
        <f t="shared" si="9"/>
        <v/>
      </c>
    </row>
    <row r="279" spans="1:6">
      <c r="A279">
        <v>276</v>
      </c>
      <c r="B279" s="46">
        <v>44351</v>
      </c>
      <c r="C279" s="269">
        <v>51.377849187080471</v>
      </c>
      <c r="D279" s="269">
        <v>64.002517723929074</v>
      </c>
      <c r="E279" s="177">
        <f t="shared" si="8"/>
        <v>51.377849187080471</v>
      </c>
      <c r="F279" s="199" t="str">
        <f t="shared" si="9"/>
        <v/>
      </c>
    </row>
    <row r="280" spans="1:6">
      <c r="A280">
        <v>277</v>
      </c>
      <c r="B280" s="46">
        <v>44352</v>
      </c>
      <c r="C280" s="269">
        <v>46.978688771082325</v>
      </c>
      <c r="D280" s="269">
        <v>64.002517723929074</v>
      </c>
      <c r="E280" s="177">
        <f t="shared" si="8"/>
        <v>46.978688771082325</v>
      </c>
      <c r="F280" s="199" t="str">
        <f t="shared" si="9"/>
        <v/>
      </c>
    </row>
    <row r="281" spans="1:6">
      <c r="A281">
        <v>278</v>
      </c>
      <c r="B281" s="46">
        <v>44353</v>
      </c>
      <c r="C281" s="269">
        <v>38.849053715080466</v>
      </c>
      <c r="D281" s="269">
        <v>64.002517723929074</v>
      </c>
      <c r="E281" s="177">
        <f t="shared" si="8"/>
        <v>38.849053715080466</v>
      </c>
      <c r="F281" s="199" t="str">
        <f t="shared" si="9"/>
        <v/>
      </c>
    </row>
    <row r="282" spans="1:6">
      <c r="A282">
        <v>279</v>
      </c>
      <c r="B282" s="46">
        <v>44354</v>
      </c>
      <c r="C282" s="269">
        <v>42.251729895078604</v>
      </c>
      <c r="D282" s="269">
        <v>64.002517723929074</v>
      </c>
      <c r="E282" s="177">
        <f t="shared" si="8"/>
        <v>42.251729895078604</v>
      </c>
      <c r="F282" s="199" t="str">
        <f t="shared" si="9"/>
        <v/>
      </c>
    </row>
    <row r="283" spans="1:6">
      <c r="A283">
        <v>280</v>
      </c>
      <c r="B283" s="46">
        <v>44355</v>
      </c>
      <c r="C283" s="269">
        <v>48.831029183082336</v>
      </c>
      <c r="D283" s="269">
        <v>64.002517723929074</v>
      </c>
      <c r="E283" s="177">
        <f t="shared" si="8"/>
        <v>48.831029183082336</v>
      </c>
      <c r="F283" s="199" t="str">
        <f t="shared" si="9"/>
        <v/>
      </c>
    </row>
    <row r="284" spans="1:6">
      <c r="A284">
        <v>281</v>
      </c>
      <c r="B284" s="46">
        <v>44356</v>
      </c>
      <c r="C284" s="269">
        <v>39.655213428078106</v>
      </c>
      <c r="D284" s="269">
        <v>64.002517723929074</v>
      </c>
      <c r="E284" s="177">
        <f t="shared" si="8"/>
        <v>39.655213428078106</v>
      </c>
      <c r="F284" s="199" t="str">
        <f t="shared" si="9"/>
        <v/>
      </c>
    </row>
    <row r="285" spans="1:6">
      <c r="A285">
        <v>282</v>
      </c>
      <c r="B285" s="46">
        <v>44357</v>
      </c>
      <c r="C285" s="269">
        <v>56.533653168078104</v>
      </c>
      <c r="D285" s="269">
        <v>64.002517723929074</v>
      </c>
      <c r="E285" s="177">
        <f t="shared" si="8"/>
        <v>56.533653168078104</v>
      </c>
      <c r="F285" s="199" t="str">
        <f t="shared" si="9"/>
        <v/>
      </c>
    </row>
    <row r="286" spans="1:6">
      <c r="A286">
        <v>283</v>
      </c>
      <c r="B286" s="46">
        <v>44358</v>
      </c>
      <c r="C286" s="269">
        <v>35.848084328079977</v>
      </c>
      <c r="D286" s="269">
        <v>64.002517723929074</v>
      </c>
      <c r="E286" s="177">
        <f t="shared" si="8"/>
        <v>35.848084328079977</v>
      </c>
      <c r="F286" s="199" t="str">
        <f t="shared" si="9"/>
        <v/>
      </c>
    </row>
    <row r="287" spans="1:6">
      <c r="A287">
        <v>284</v>
      </c>
      <c r="B287" s="46">
        <v>44359</v>
      </c>
      <c r="C287" s="269">
        <v>39.187553216074392</v>
      </c>
      <c r="D287" s="269">
        <v>64.002517723929074</v>
      </c>
      <c r="E287" s="177">
        <f t="shared" si="8"/>
        <v>39.187553216074392</v>
      </c>
      <c r="F287" s="199" t="str">
        <f t="shared" si="9"/>
        <v/>
      </c>
    </row>
    <row r="288" spans="1:6">
      <c r="A288">
        <v>285</v>
      </c>
      <c r="B288" s="46">
        <v>44360</v>
      </c>
      <c r="C288" s="269">
        <v>34.758196140078105</v>
      </c>
      <c r="D288" s="269">
        <v>64.002517723929074</v>
      </c>
      <c r="E288" s="177">
        <f t="shared" si="8"/>
        <v>34.758196140078105</v>
      </c>
      <c r="F288" s="199" t="str">
        <f t="shared" si="9"/>
        <v/>
      </c>
    </row>
    <row r="289" spans="1:7">
      <c r="A289">
        <v>286</v>
      </c>
      <c r="B289" s="46">
        <v>44361</v>
      </c>
      <c r="C289" s="269">
        <v>71.697258952078101</v>
      </c>
      <c r="D289" s="269">
        <v>64.002517723929074</v>
      </c>
      <c r="E289" s="177">
        <f t="shared" si="8"/>
        <v>64.002517723929074</v>
      </c>
      <c r="F289" s="199" t="str">
        <f t="shared" si="9"/>
        <v/>
      </c>
    </row>
    <row r="290" spans="1:7">
      <c r="A290">
        <v>287</v>
      </c>
      <c r="B290" s="46">
        <v>44362</v>
      </c>
      <c r="C290" s="269">
        <v>67.650048800076235</v>
      </c>
      <c r="D290" s="269">
        <v>64.002517723929074</v>
      </c>
      <c r="E290" s="177">
        <f t="shared" si="8"/>
        <v>64.002517723929074</v>
      </c>
      <c r="F290" s="199" t="str">
        <f t="shared" si="9"/>
        <v>J</v>
      </c>
      <c r="G290" s="200">
        <f>IF(DAY(B290)=15,D290,"")</f>
        <v>64.002517723929074</v>
      </c>
    </row>
    <row r="291" spans="1:7">
      <c r="A291">
        <v>288</v>
      </c>
      <c r="B291" s="46">
        <v>44363</v>
      </c>
      <c r="C291" s="269">
        <v>62.759781339110461</v>
      </c>
      <c r="D291" s="269">
        <v>64.002517723929074</v>
      </c>
      <c r="E291" s="177">
        <f t="shared" si="8"/>
        <v>62.759781339110461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0" t="str">
        <f>IF(DAY(B291)=15,D291,"")</f>
        <v/>
      </c>
    </row>
    <row r="292" spans="1:7">
      <c r="A292">
        <v>289</v>
      </c>
      <c r="B292" s="46">
        <v>44364</v>
      </c>
      <c r="C292" s="269">
        <v>64.330589743110465</v>
      </c>
      <c r="D292" s="269">
        <v>64.002517723929074</v>
      </c>
      <c r="E292" s="177">
        <f t="shared" si="8"/>
        <v>64.002517723929074</v>
      </c>
      <c r="F292" s="199" t="str">
        <f t="shared" si="9"/>
        <v/>
      </c>
      <c r="G292" s="200" t="str">
        <f>IF(DAY(B292)=15,D292,"")</f>
        <v/>
      </c>
    </row>
    <row r="293" spans="1:7">
      <c r="A293">
        <v>290</v>
      </c>
      <c r="B293" s="46">
        <v>44365</v>
      </c>
      <c r="C293" s="269">
        <v>51.741532331110456</v>
      </c>
      <c r="D293" s="269">
        <v>64.002517723929074</v>
      </c>
      <c r="E293" s="177">
        <f t="shared" si="8"/>
        <v>51.741532331110456</v>
      </c>
      <c r="F293" s="199" t="str">
        <f t="shared" si="9"/>
        <v/>
      </c>
      <c r="G293" s="200" t="str">
        <f>IF(DAY(B293)=15,D293,"")</f>
        <v/>
      </c>
    </row>
    <row r="294" spans="1:7">
      <c r="A294">
        <v>291</v>
      </c>
      <c r="B294" s="46">
        <v>44366</v>
      </c>
      <c r="C294" s="269">
        <v>42.602421635112314</v>
      </c>
      <c r="D294" s="269">
        <v>64.002517723929074</v>
      </c>
      <c r="E294" s="177">
        <f t="shared" si="8"/>
        <v>42.602421635112314</v>
      </c>
      <c r="F294" s="199" t="str">
        <f t="shared" si="9"/>
        <v/>
      </c>
    </row>
    <row r="295" spans="1:7">
      <c r="A295">
        <v>292</v>
      </c>
      <c r="B295" s="46">
        <v>44367</v>
      </c>
      <c r="C295" s="269">
        <v>30.117633127108594</v>
      </c>
      <c r="D295" s="269">
        <v>64.002517723929074</v>
      </c>
      <c r="E295" s="177">
        <f t="shared" si="8"/>
        <v>30.117633127108594</v>
      </c>
      <c r="F295" s="199" t="str">
        <f t="shared" si="9"/>
        <v/>
      </c>
    </row>
    <row r="296" spans="1:7">
      <c r="A296">
        <v>293</v>
      </c>
      <c r="B296" s="46">
        <v>44368</v>
      </c>
      <c r="C296" s="269">
        <v>41.492384483112325</v>
      </c>
      <c r="D296" s="269">
        <v>64.002517723929074</v>
      </c>
      <c r="E296" s="177">
        <f t="shared" si="8"/>
        <v>41.492384483112325</v>
      </c>
      <c r="F296" s="199" t="str">
        <f t="shared" si="9"/>
        <v/>
      </c>
    </row>
    <row r="297" spans="1:7">
      <c r="A297">
        <v>294</v>
      </c>
      <c r="B297" s="46">
        <v>44369</v>
      </c>
      <c r="C297" s="269">
        <v>51.60537784311046</v>
      </c>
      <c r="D297" s="269">
        <v>64.002517723929074</v>
      </c>
      <c r="E297" s="177">
        <f t="shared" si="8"/>
        <v>51.60537784311046</v>
      </c>
      <c r="F297" s="199" t="str">
        <f t="shared" si="9"/>
        <v/>
      </c>
    </row>
    <row r="298" spans="1:7">
      <c r="A298">
        <v>295</v>
      </c>
      <c r="B298" s="46">
        <v>44370</v>
      </c>
      <c r="C298" s="269">
        <v>56.123723707417419</v>
      </c>
      <c r="D298" s="269">
        <v>64.002517723929074</v>
      </c>
      <c r="E298" s="177">
        <f t="shared" si="8"/>
        <v>56.123723707417419</v>
      </c>
      <c r="F298" s="199" t="str">
        <f t="shared" si="9"/>
        <v/>
      </c>
    </row>
    <row r="299" spans="1:7">
      <c r="A299">
        <v>296</v>
      </c>
      <c r="B299" s="46">
        <v>44371</v>
      </c>
      <c r="C299" s="269">
        <v>62.085323663419288</v>
      </c>
      <c r="D299" s="269">
        <v>64.002517723929074</v>
      </c>
      <c r="E299" s="177">
        <f t="shared" si="8"/>
        <v>62.085323663419288</v>
      </c>
      <c r="F299" s="199" t="str">
        <f t="shared" si="9"/>
        <v/>
      </c>
    </row>
    <row r="300" spans="1:7">
      <c r="A300">
        <v>297</v>
      </c>
      <c r="B300" s="46">
        <v>44372</v>
      </c>
      <c r="C300" s="269">
        <v>59.580692003419287</v>
      </c>
      <c r="D300" s="269">
        <v>64.002517723929074</v>
      </c>
      <c r="E300" s="177">
        <f t="shared" si="8"/>
        <v>59.580692003419287</v>
      </c>
      <c r="F300" s="199" t="str">
        <f t="shared" si="9"/>
        <v/>
      </c>
    </row>
    <row r="301" spans="1:7">
      <c r="A301">
        <v>298</v>
      </c>
      <c r="B301" s="46">
        <v>44373</v>
      </c>
      <c r="C301" s="269">
        <v>44.02805007541928</v>
      </c>
      <c r="D301" s="269">
        <v>64.002517723929074</v>
      </c>
      <c r="E301" s="177">
        <f t="shared" si="8"/>
        <v>44.02805007541928</v>
      </c>
      <c r="F301" s="199" t="str">
        <f t="shared" si="9"/>
        <v/>
      </c>
    </row>
    <row r="302" spans="1:7">
      <c r="A302">
        <v>299</v>
      </c>
      <c r="B302" s="46">
        <v>44374</v>
      </c>
      <c r="C302" s="269">
        <v>35.421572939419292</v>
      </c>
      <c r="D302" s="269">
        <v>64.002517723929074</v>
      </c>
      <c r="E302" s="177">
        <f t="shared" si="8"/>
        <v>35.421572939419292</v>
      </c>
      <c r="F302" s="199" t="str">
        <f t="shared" si="9"/>
        <v/>
      </c>
    </row>
    <row r="303" spans="1:7">
      <c r="A303">
        <v>300</v>
      </c>
      <c r="B303" s="46">
        <v>44375</v>
      </c>
      <c r="C303" s="269">
        <v>57.747371875419283</v>
      </c>
      <c r="D303" s="269">
        <v>64.002517723929074</v>
      </c>
      <c r="E303" s="177">
        <f t="shared" si="8"/>
        <v>57.747371875419283</v>
      </c>
      <c r="F303" s="199" t="str">
        <f t="shared" si="9"/>
        <v/>
      </c>
    </row>
    <row r="304" spans="1:7">
      <c r="A304">
        <v>301</v>
      </c>
      <c r="B304" s="46">
        <v>44376</v>
      </c>
      <c r="C304" s="269">
        <v>56.617720343419293</v>
      </c>
      <c r="D304" s="269">
        <v>64.002517723929074</v>
      </c>
      <c r="E304" s="177">
        <f t="shared" si="8"/>
        <v>56.617720343419293</v>
      </c>
      <c r="F304" s="199" t="str">
        <f t="shared" si="9"/>
        <v/>
      </c>
    </row>
    <row r="305" spans="1:7">
      <c r="A305">
        <v>302</v>
      </c>
      <c r="B305" s="46">
        <v>44377</v>
      </c>
      <c r="C305" s="269">
        <v>38.670632130302387</v>
      </c>
      <c r="D305" s="269">
        <v>64.002517723929074</v>
      </c>
      <c r="E305" s="177">
        <f t="shared" si="8"/>
        <v>38.670632130302387</v>
      </c>
      <c r="F305" s="199" t="str">
        <f t="shared" si="9"/>
        <v/>
      </c>
    </row>
    <row r="306" spans="1:7">
      <c r="A306">
        <v>303</v>
      </c>
      <c r="B306" s="46">
        <v>44378</v>
      </c>
      <c r="C306" s="269">
        <v>44.534868314304255</v>
      </c>
      <c r="D306" s="269">
        <v>28.264017142829317</v>
      </c>
      <c r="E306" s="177">
        <f t="shared" si="8"/>
        <v>28.264017142829317</v>
      </c>
      <c r="F306" s="199" t="str">
        <f t="shared" si="9"/>
        <v/>
      </c>
    </row>
    <row r="307" spans="1:7">
      <c r="A307">
        <v>304</v>
      </c>
      <c r="B307" s="46">
        <v>44379</v>
      </c>
      <c r="C307" s="269">
        <v>42.339254178304252</v>
      </c>
      <c r="D307" s="269">
        <v>28.264017142829317</v>
      </c>
      <c r="E307" s="177">
        <f t="shared" si="8"/>
        <v>28.264017142829317</v>
      </c>
      <c r="F307" s="199" t="str">
        <f t="shared" si="9"/>
        <v/>
      </c>
    </row>
    <row r="308" spans="1:7">
      <c r="A308">
        <v>305</v>
      </c>
      <c r="B308" s="46">
        <v>44380</v>
      </c>
      <c r="C308" s="269">
        <v>38.478154278302391</v>
      </c>
      <c r="D308" s="269">
        <v>28.264017142829317</v>
      </c>
      <c r="E308" s="177">
        <f t="shared" si="8"/>
        <v>28.264017142829317</v>
      </c>
      <c r="F308" s="199" t="str">
        <f t="shared" si="9"/>
        <v/>
      </c>
    </row>
    <row r="309" spans="1:7">
      <c r="A309">
        <v>306</v>
      </c>
      <c r="B309" s="46">
        <v>44381</v>
      </c>
      <c r="C309" s="269">
        <v>4.5154322943023946</v>
      </c>
      <c r="D309" s="269">
        <v>28.264017142829317</v>
      </c>
      <c r="E309" s="177">
        <f t="shared" si="8"/>
        <v>4.5154322943023946</v>
      </c>
      <c r="F309" s="199" t="str">
        <f t="shared" si="9"/>
        <v/>
      </c>
    </row>
    <row r="310" spans="1:7">
      <c r="A310">
        <v>307</v>
      </c>
      <c r="B310" s="46">
        <v>44382</v>
      </c>
      <c r="C310" s="269">
        <v>37.397826742304254</v>
      </c>
      <c r="D310" s="269">
        <v>28.264017142829317</v>
      </c>
      <c r="E310" s="177">
        <f t="shared" si="8"/>
        <v>28.264017142829317</v>
      </c>
      <c r="F310" s="199" t="str">
        <f t="shared" si="9"/>
        <v/>
      </c>
    </row>
    <row r="311" spans="1:7">
      <c r="A311">
        <v>308</v>
      </c>
      <c r="B311" s="46">
        <v>44383</v>
      </c>
      <c r="C311" s="269">
        <v>40.407536394304259</v>
      </c>
      <c r="D311" s="269">
        <v>28.264017142829317</v>
      </c>
      <c r="E311" s="177">
        <f t="shared" si="8"/>
        <v>28.264017142829317</v>
      </c>
      <c r="F311" s="199" t="str">
        <f t="shared" si="9"/>
        <v/>
      </c>
    </row>
    <row r="312" spans="1:7">
      <c r="A312">
        <v>309</v>
      </c>
      <c r="B312" s="46">
        <v>44384</v>
      </c>
      <c r="C312" s="269">
        <v>37.398910876303212</v>
      </c>
      <c r="D312" s="269">
        <v>28.264017142829317</v>
      </c>
      <c r="E312" s="177">
        <f t="shared" si="8"/>
        <v>28.264017142829317</v>
      </c>
      <c r="F312" s="199" t="str">
        <f t="shared" si="9"/>
        <v/>
      </c>
    </row>
    <row r="313" spans="1:7">
      <c r="A313">
        <v>310</v>
      </c>
      <c r="B313" s="46">
        <v>44385</v>
      </c>
      <c r="C313" s="269">
        <v>25.159698888306941</v>
      </c>
      <c r="D313" s="269">
        <v>28.264017142829317</v>
      </c>
      <c r="E313" s="177">
        <f t="shared" si="8"/>
        <v>25.159698888306941</v>
      </c>
      <c r="F313" s="199" t="str">
        <f t="shared" si="9"/>
        <v/>
      </c>
    </row>
    <row r="314" spans="1:7">
      <c r="A314">
        <v>311</v>
      </c>
      <c r="B314" s="46">
        <v>44386</v>
      </c>
      <c r="C314" s="269">
        <v>24.742204244305075</v>
      </c>
      <c r="D314" s="269">
        <v>28.264017142829317</v>
      </c>
      <c r="E314" s="177">
        <f t="shared" si="8"/>
        <v>24.742204244305075</v>
      </c>
      <c r="F314" s="199" t="str">
        <f t="shared" si="9"/>
        <v/>
      </c>
    </row>
    <row r="315" spans="1:7">
      <c r="A315">
        <v>312</v>
      </c>
      <c r="B315" s="46">
        <v>44387</v>
      </c>
      <c r="C315" s="269">
        <v>24.797153528305078</v>
      </c>
      <c r="D315" s="269">
        <v>28.264017142829317</v>
      </c>
      <c r="E315" s="177">
        <f t="shared" si="8"/>
        <v>24.797153528305078</v>
      </c>
      <c r="F315" s="199" t="str">
        <f t="shared" si="9"/>
        <v/>
      </c>
    </row>
    <row r="316" spans="1:7">
      <c r="A316">
        <v>313</v>
      </c>
      <c r="B316" s="46">
        <v>44388</v>
      </c>
      <c r="C316" s="269">
        <v>24.48336876030508</v>
      </c>
      <c r="D316" s="269">
        <v>28.264017142829317</v>
      </c>
      <c r="E316" s="177">
        <f t="shared" si="8"/>
        <v>24.48336876030508</v>
      </c>
      <c r="F316" s="199" t="str">
        <f t="shared" si="9"/>
        <v/>
      </c>
    </row>
    <row r="317" spans="1:7">
      <c r="A317">
        <v>314</v>
      </c>
      <c r="B317" s="46">
        <v>44389</v>
      </c>
      <c r="C317" s="269">
        <v>14.488888316305077</v>
      </c>
      <c r="D317" s="269">
        <v>28.264017142829317</v>
      </c>
      <c r="E317" s="177">
        <f t="shared" si="8"/>
        <v>14.488888316305077</v>
      </c>
      <c r="F317" s="199" t="str">
        <f t="shared" si="9"/>
        <v/>
      </c>
    </row>
    <row r="318" spans="1:7">
      <c r="A318">
        <v>315</v>
      </c>
      <c r="B318" s="46">
        <v>44390</v>
      </c>
      <c r="C318" s="269">
        <v>17.369116352305078</v>
      </c>
      <c r="D318" s="269">
        <v>28.264017142829317</v>
      </c>
      <c r="E318" s="177">
        <f t="shared" si="8"/>
        <v>17.369116352305078</v>
      </c>
      <c r="F318" s="199" t="str">
        <f t="shared" si="9"/>
        <v/>
      </c>
    </row>
    <row r="319" spans="1:7">
      <c r="A319">
        <v>316</v>
      </c>
      <c r="B319" s="46">
        <v>44391</v>
      </c>
      <c r="C319" s="269">
        <v>3.2072423586414223</v>
      </c>
      <c r="D319" s="269">
        <v>28.264017142829317</v>
      </c>
      <c r="E319" s="177">
        <f t="shared" si="8"/>
        <v>3.2072423586414223</v>
      </c>
      <c r="F319" s="199" t="str">
        <f t="shared" si="9"/>
        <v/>
      </c>
    </row>
    <row r="320" spans="1:7">
      <c r="A320">
        <v>317</v>
      </c>
      <c r="B320" s="46">
        <v>44392</v>
      </c>
      <c r="C320" s="269">
        <v>3.4758885986414243</v>
      </c>
      <c r="D320" s="269">
        <v>28.264017142829317</v>
      </c>
      <c r="E320" s="177">
        <f t="shared" si="8"/>
        <v>3.4758885986414243</v>
      </c>
      <c r="F320" s="199" t="str">
        <f t="shared" si="9"/>
        <v>J</v>
      </c>
      <c r="G320" s="200">
        <f>IF(DAY(B320)=15,D320,"")</f>
        <v>28.264017142829317</v>
      </c>
    </row>
    <row r="321" spans="1:7">
      <c r="A321">
        <v>318</v>
      </c>
      <c r="B321" s="46">
        <v>44393</v>
      </c>
      <c r="C321" s="269">
        <v>3.3561334426414251</v>
      </c>
      <c r="D321" s="269">
        <v>28.264017142829317</v>
      </c>
      <c r="E321" s="177">
        <f t="shared" si="8"/>
        <v>3.3561334426414251</v>
      </c>
      <c r="F321" s="199" t="str">
        <f t="shared" si="9"/>
        <v/>
      </c>
      <c r="G321" s="200" t="str">
        <f>IF(DAY(B321)=15,D321,"")</f>
        <v/>
      </c>
    </row>
    <row r="322" spans="1:7">
      <c r="A322">
        <v>319</v>
      </c>
      <c r="B322" s="46">
        <v>44394</v>
      </c>
      <c r="C322" s="269">
        <v>4.1169874026414179</v>
      </c>
      <c r="D322" s="269">
        <v>28.264017142829317</v>
      </c>
      <c r="E322" s="177">
        <f t="shared" si="8"/>
        <v>4.1169874026414179</v>
      </c>
      <c r="F322" s="199" t="str">
        <f t="shared" si="9"/>
        <v/>
      </c>
    </row>
    <row r="323" spans="1:7">
      <c r="A323">
        <v>320</v>
      </c>
      <c r="B323" s="46">
        <v>44395</v>
      </c>
      <c r="C323" s="269">
        <v>4.8147068986432791</v>
      </c>
      <c r="D323" s="269">
        <v>28.264017142829317</v>
      </c>
      <c r="E323" s="177">
        <f t="shared" si="8"/>
        <v>4.8147068986432791</v>
      </c>
      <c r="F323" s="199" t="str">
        <f t="shared" si="9"/>
        <v/>
      </c>
      <c r="G323" s="200" t="str">
        <f>IF(DAY(B323)=15,D323,"")</f>
        <v/>
      </c>
    </row>
    <row r="324" spans="1:7">
      <c r="A324">
        <v>321</v>
      </c>
      <c r="B324" s="46">
        <v>44396</v>
      </c>
      <c r="C324" s="269">
        <v>3.6608772426414218</v>
      </c>
      <c r="D324" s="269">
        <v>28.264017142829317</v>
      </c>
      <c r="E324" s="177">
        <f t="shared" ref="E324:E387" si="10">IF(C324&lt;D324,C324,D324)</f>
        <v>3.6608772426414218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44397</v>
      </c>
      <c r="C325" s="269">
        <v>0.66537219064328379</v>
      </c>
      <c r="D325" s="269">
        <v>28.264017142829317</v>
      </c>
      <c r="E325" s="177">
        <f t="shared" si="10"/>
        <v>0.66537219064328379</v>
      </c>
      <c r="F325" s="199" t="str">
        <f t="shared" si="11"/>
        <v/>
      </c>
    </row>
    <row r="326" spans="1:7">
      <c r="A326">
        <v>323</v>
      </c>
      <c r="B326" s="46">
        <v>44398</v>
      </c>
      <c r="C326" s="269">
        <v>19.232001297499554</v>
      </c>
      <c r="D326" s="269">
        <v>28.264017142829317</v>
      </c>
      <c r="E326" s="177">
        <f t="shared" si="10"/>
        <v>19.232001297499554</v>
      </c>
      <c r="F326" s="199" t="str">
        <f t="shared" si="11"/>
        <v/>
      </c>
    </row>
    <row r="327" spans="1:7">
      <c r="A327">
        <v>324</v>
      </c>
      <c r="B327" s="46">
        <v>44399</v>
      </c>
      <c r="C327" s="269">
        <v>16.465821301501418</v>
      </c>
      <c r="D327" s="269">
        <v>28.264017142829317</v>
      </c>
      <c r="E327" s="177">
        <f t="shared" si="10"/>
        <v>16.465821301501418</v>
      </c>
      <c r="F327" s="199" t="str">
        <f t="shared" si="11"/>
        <v/>
      </c>
    </row>
    <row r="328" spans="1:7">
      <c r="A328">
        <v>325</v>
      </c>
      <c r="B328" s="46">
        <v>44400</v>
      </c>
      <c r="C328" s="269">
        <v>13.174375153499554</v>
      </c>
      <c r="D328" s="269">
        <v>28.264017142829317</v>
      </c>
      <c r="E328" s="177">
        <f t="shared" si="10"/>
        <v>13.174375153499554</v>
      </c>
      <c r="F328" s="199" t="str">
        <f t="shared" si="11"/>
        <v/>
      </c>
    </row>
    <row r="329" spans="1:7">
      <c r="A329">
        <v>326</v>
      </c>
      <c r="B329" s="46">
        <v>44401</v>
      </c>
      <c r="C329" s="269">
        <v>11.514703877501415</v>
      </c>
      <c r="D329" s="269">
        <v>28.264017142829317</v>
      </c>
      <c r="E329" s="177">
        <f t="shared" si="10"/>
        <v>11.514703877501415</v>
      </c>
      <c r="F329" s="199" t="str">
        <f t="shared" si="11"/>
        <v/>
      </c>
    </row>
    <row r="330" spans="1:7">
      <c r="A330">
        <v>327</v>
      </c>
      <c r="B330" s="46">
        <v>44402</v>
      </c>
      <c r="C330" s="269">
        <v>7.0097984214995526</v>
      </c>
      <c r="D330" s="269">
        <v>28.264017142829317</v>
      </c>
      <c r="E330" s="177">
        <f t="shared" si="10"/>
        <v>7.0097984214995526</v>
      </c>
      <c r="F330" s="199" t="str">
        <f t="shared" si="11"/>
        <v/>
      </c>
    </row>
    <row r="331" spans="1:7">
      <c r="A331">
        <v>328</v>
      </c>
      <c r="B331" s="46">
        <v>44403</v>
      </c>
      <c r="C331" s="269">
        <v>10.036056933501415</v>
      </c>
      <c r="D331" s="269">
        <v>28.264017142829317</v>
      </c>
      <c r="E331" s="177">
        <f t="shared" si="10"/>
        <v>10.036056933501415</v>
      </c>
      <c r="F331" s="199" t="str">
        <f t="shared" si="11"/>
        <v/>
      </c>
    </row>
    <row r="332" spans="1:7">
      <c r="A332">
        <v>329</v>
      </c>
      <c r="B332" s="46">
        <v>44404</v>
      </c>
      <c r="C332" s="269">
        <v>9.0594030974995547</v>
      </c>
      <c r="D332" s="269">
        <v>28.264017142829317</v>
      </c>
      <c r="E332" s="177">
        <f t="shared" si="10"/>
        <v>9.0594030974995547</v>
      </c>
      <c r="F332" s="199" t="str">
        <f t="shared" si="11"/>
        <v/>
      </c>
    </row>
    <row r="333" spans="1:7">
      <c r="A333">
        <v>330</v>
      </c>
      <c r="B333" s="46">
        <v>44405</v>
      </c>
      <c r="C333" s="269">
        <v>6.2810819010995766</v>
      </c>
      <c r="D333" s="269">
        <v>28.264017142829317</v>
      </c>
      <c r="E333" s="177">
        <f t="shared" si="10"/>
        <v>6.2810819010995766</v>
      </c>
      <c r="F333" s="199" t="str">
        <f t="shared" si="11"/>
        <v/>
      </c>
    </row>
    <row r="334" spans="1:7">
      <c r="A334">
        <v>331</v>
      </c>
      <c r="B334" s="46">
        <v>44406</v>
      </c>
      <c r="C334" s="269">
        <v>18.516500529097712</v>
      </c>
      <c r="D334" s="269">
        <v>28.264017142829317</v>
      </c>
      <c r="E334" s="177">
        <f t="shared" si="10"/>
        <v>18.516500529097712</v>
      </c>
      <c r="F334" s="199" t="str">
        <f t="shared" si="11"/>
        <v/>
      </c>
    </row>
    <row r="335" spans="1:7">
      <c r="A335">
        <v>332</v>
      </c>
      <c r="B335" s="46">
        <v>44407</v>
      </c>
      <c r="C335" s="269">
        <v>18.053295577097714</v>
      </c>
      <c r="D335" s="269">
        <v>28.264017142829317</v>
      </c>
      <c r="E335" s="177">
        <f t="shared" si="10"/>
        <v>18.053295577097714</v>
      </c>
      <c r="F335" s="199" t="str">
        <f t="shared" si="11"/>
        <v/>
      </c>
    </row>
    <row r="336" spans="1:7">
      <c r="A336">
        <v>333</v>
      </c>
      <c r="B336" s="46">
        <v>44408</v>
      </c>
      <c r="C336" s="269">
        <v>3.7941773750977155</v>
      </c>
      <c r="D336" s="269">
        <v>28.264017142829317</v>
      </c>
      <c r="E336" s="177">
        <f t="shared" si="10"/>
        <v>3.7941773750977155</v>
      </c>
      <c r="F336" s="199" t="str">
        <f t="shared" si="11"/>
        <v/>
      </c>
    </row>
    <row r="337" spans="1:7">
      <c r="A337">
        <v>334</v>
      </c>
      <c r="B337" s="46">
        <v>44409</v>
      </c>
      <c r="C337" s="269">
        <v>4.4792705870995775</v>
      </c>
      <c r="D337" s="269">
        <v>17.06077530949155</v>
      </c>
      <c r="E337" s="177">
        <f t="shared" si="10"/>
        <v>4.4792705870995775</v>
      </c>
      <c r="F337" s="199" t="str">
        <f t="shared" si="11"/>
        <v/>
      </c>
    </row>
    <row r="338" spans="1:7">
      <c r="A338">
        <v>335</v>
      </c>
      <c r="B338" s="46">
        <v>44410</v>
      </c>
      <c r="C338" s="269">
        <v>24.123671195101444</v>
      </c>
      <c r="D338" s="269">
        <v>17.06077530949155</v>
      </c>
      <c r="E338" s="177">
        <f t="shared" si="10"/>
        <v>17.06077530949155</v>
      </c>
      <c r="F338" s="199" t="str">
        <f t="shared" si="11"/>
        <v/>
      </c>
    </row>
    <row r="339" spans="1:7">
      <c r="A339">
        <v>336</v>
      </c>
      <c r="B339" s="46">
        <v>44411</v>
      </c>
      <c r="C339" s="269">
        <v>22.841631373095851</v>
      </c>
      <c r="D339" s="269">
        <v>17.06077530949155</v>
      </c>
      <c r="E339" s="177">
        <f t="shared" si="10"/>
        <v>17.06077530949155</v>
      </c>
      <c r="F339" s="199" t="str">
        <f t="shared" si="11"/>
        <v/>
      </c>
    </row>
    <row r="340" spans="1:7">
      <c r="A340">
        <v>337</v>
      </c>
      <c r="B340" s="46">
        <v>44412</v>
      </c>
      <c r="C340" s="269">
        <v>20.830578048340772</v>
      </c>
      <c r="D340" s="269">
        <v>17.06077530949155</v>
      </c>
      <c r="E340" s="177">
        <f t="shared" si="10"/>
        <v>17.06077530949155</v>
      </c>
      <c r="F340" s="199" t="str">
        <f t="shared" si="11"/>
        <v/>
      </c>
    </row>
    <row r="341" spans="1:7">
      <c r="A341">
        <v>338</v>
      </c>
      <c r="B341" s="46">
        <v>44413</v>
      </c>
      <c r="C341" s="269">
        <v>20.409677116342632</v>
      </c>
      <c r="D341" s="269">
        <v>17.06077530949155</v>
      </c>
      <c r="E341" s="177">
        <f t="shared" si="10"/>
        <v>17.06077530949155</v>
      </c>
      <c r="F341" s="199" t="str">
        <f t="shared" si="11"/>
        <v/>
      </c>
    </row>
    <row r="342" spans="1:7">
      <c r="A342">
        <v>339</v>
      </c>
      <c r="B342" s="46">
        <v>44414</v>
      </c>
      <c r="C342" s="269">
        <v>5.42220691034077</v>
      </c>
      <c r="D342" s="269">
        <v>17.06077530949155</v>
      </c>
      <c r="E342" s="177">
        <f t="shared" si="10"/>
        <v>5.42220691034077</v>
      </c>
      <c r="F342" s="199" t="str">
        <f t="shared" si="11"/>
        <v/>
      </c>
    </row>
    <row r="343" spans="1:7">
      <c r="A343">
        <v>340</v>
      </c>
      <c r="B343" s="46">
        <v>44415</v>
      </c>
      <c r="C343" s="269">
        <v>3.9963943463426332</v>
      </c>
      <c r="D343" s="269">
        <v>17.06077530949155</v>
      </c>
      <c r="E343" s="177">
        <f t="shared" si="10"/>
        <v>3.9963943463426332</v>
      </c>
      <c r="F343" s="199" t="str">
        <f t="shared" si="11"/>
        <v/>
      </c>
    </row>
    <row r="344" spans="1:7">
      <c r="A344">
        <v>341</v>
      </c>
      <c r="B344" s="46">
        <v>44416</v>
      </c>
      <c r="C344" s="269">
        <v>2.8785522423407675</v>
      </c>
      <c r="D344" s="269">
        <v>17.06077530949155</v>
      </c>
      <c r="E344" s="177">
        <f t="shared" si="10"/>
        <v>2.8785522423407675</v>
      </c>
      <c r="F344" s="199" t="str">
        <f t="shared" si="11"/>
        <v/>
      </c>
    </row>
    <row r="345" spans="1:7">
      <c r="A345">
        <v>342</v>
      </c>
      <c r="B345" s="46">
        <v>44417</v>
      </c>
      <c r="C345" s="269">
        <v>16.042872728340765</v>
      </c>
      <c r="D345" s="269">
        <v>17.06077530949155</v>
      </c>
      <c r="E345" s="177">
        <f t="shared" si="10"/>
        <v>16.042872728340765</v>
      </c>
      <c r="F345" s="199" t="str">
        <f t="shared" si="11"/>
        <v/>
      </c>
    </row>
    <row r="346" spans="1:7">
      <c r="A346">
        <v>343</v>
      </c>
      <c r="B346" s="46">
        <v>44418</v>
      </c>
      <c r="C346" s="269">
        <v>12.266544616340775</v>
      </c>
      <c r="D346" s="269">
        <v>17.06077530949155</v>
      </c>
      <c r="E346" s="177">
        <f t="shared" si="10"/>
        <v>12.266544616340775</v>
      </c>
      <c r="F346" s="199" t="str">
        <f t="shared" si="11"/>
        <v/>
      </c>
    </row>
    <row r="347" spans="1:7">
      <c r="A347">
        <v>344</v>
      </c>
      <c r="B347" s="46">
        <v>44419</v>
      </c>
      <c r="C347" s="269">
        <v>12.804513353729009</v>
      </c>
      <c r="D347" s="269">
        <v>17.06077530949155</v>
      </c>
      <c r="E347" s="177">
        <f t="shared" si="10"/>
        <v>12.804513353729009</v>
      </c>
      <c r="F347" s="199" t="str">
        <f t="shared" si="11"/>
        <v/>
      </c>
    </row>
    <row r="348" spans="1:7">
      <c r="A348">
        <v>345</v>
      </c>
      <c r="B348" s="46">
        <v>44420</v>
      </c>
      <c r="C348" s="269">
        <v>11.789653197727151</v>
      </c>
      <c r="D348" s="269">
        <v>17.06077530949155</v>
      </c>
      <c r="E348" s="177">
        <f t="shared" si="10"/>
        <v>11.789653197727151</v>
      </c>
      <c r="F348" s="199" t="str">
        <f t="shared" si="11"/>
        <v/>
      </c>
    </row>
    <row r="349" spans="1:7">
      <c r="A349">
        <v>346</v>
      </c>
      <c r="B349" s="46">
        <v>44421</v>
      </c>
      <c r="C349" s="269">
        <v>10.618266341727153</v>
      </c>
      <c r="D349" s="269">
        <v>17.06077530949155</v>
      </c>
      <c r="E349" s="177">
        <f t="shared" si="10"/>
        <v>10.618266341727153</v>
      </c>
      <c r="F349" s="199" t="str">
        <f t="shared" si="11"/>
        <v/>
      </c>
    </row>
    <row r="350" spans="1:7">
      <c r="A350">
        <v>347</v>
      </c>
      <c r="B350" s="46">
        <v>44422</v>
      </c>
      <c r="C350" s="269">
        <v>8.2967024137271501</v>
      </c>
      <c r="D350" s="269">
        <v>17.06077530949155</v>
      </c>
      <c r="E350" s="177">
        <f t="shared" si="10"/>
        <v>8.2967024137271501</v>
      </c>
      <c r="F350" s="199" t="str">
        <f t="shared" si="11"/>
        <v/>
      </c>
    </row>
    <row r="351" spans="1:7">
      <c r="A351">
        <v>348</v>
      </c>
      <c r="B351" s="46">
        <v>44423</v>
      </c>
      <c r="C351" s="269">
        <v>2.8305311297280857</v>
      </c>
      <c r="D351" s="269">
        <v>17.06077530949155</v>
      </c>
      <c r="E351" s="177">
        <f t="shared" si="10"/>
        <v>2.8305311297280857</v>
      </c>
      <c r="F351" s="199" t="str">
        <f t="shared" si="11"/>
        <v>A</v>
      </c>
      <c r="G351" s="200">
        <f>IF(DAY(B351)=15,D351,"")</f>
        <v>17.06077530949155</v>
      </c>
    </row>
    <row r="352" spans="1:7">
      <c r="A352">
        <v>349</v>
      </c>
      <c r="B352" s="46">
        <v>44424</v>
      </c>
      <c r="C352" s="269">
        <v>2.5193534617262192</v>
      </c>
      <c r="D352" s="269">
        <v>17.06077530949155</v>
      </c>
      <c r="E352" s="177">
        <f t="shared" si="10"/>
        <v>2.5193534617262192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  <c r="G352" s="200" t="str">
        <f>IF(DAY(B352)=15,D352,"")</f>
        <v/>
      </c>
    </row>
    <row r="353" spans="1:7">
      <c r="A353">
        <v>350</v>
      </c>
      <c r="B353" s="46">
        <v>44425</v>
      </c>
      <c r="C353" s="269">
        <v>1.6410471217280864</v>
      </c>
      <c r="D353" s="269">
        <v>17.06077530949155</v>
      </c>
      <c r="E353" s="177">
        <f t="shared" si="10"/>
        <v>1.6410471217280864</v>
      </c>
      <c r="F353" s="199" t="str">
        <f t="shared" si="11"/>
        <v/>
      </c>
    </row>
    <row r="354" spans="1:7">
      <c r="A354">
        <v>351</v>
      </c>
      <c r="B354" s="46">
        <v>44426</v>
      </c>
      <c r="C354" s="269">
        <v>1.1195935109318815</v>
      </c>
      <c r="D354" s="269">
        <v>17.06077530949155</v>
      </c>
      <c r="E354" s="177">
        <f t="shared" si="10"/>
        <v>1.1195935109318815</v>
      </c>
      <c r="F354" s="199" t="str">
        <f t="shared" si="11"/>
        <v/>
      </c>
      <c r="G354" s="200" t="str">
        <f>IF(DAY(B354)=15,D354,"")</f>
        <v/>
      </c>
    </row>
    <row r="355" spans="1:7">
      <c r="A355">
        <v>352</v>
      </c>
      <c r="B355" s="46">
        <v>44427</v>
      </c>
      <c r="C355" s="269">
        <v>12.308320820931884</v>
      </c>
      <c r="D355" s="269">
        <v>17.06077530949155</v>
      </c>
      <c r="E355" s="177">
        <f t="shared" si="10"/>
        <v>12.308320820931884</v>
      </c>
      <c r="F355" s="199" t="str">
        <f t="shared" si="11"/>
        <v/>
      </c>
    </row>
    <row r="356" spans="1:7">
      <c r="A356">
        <v>353</v>
      </c>
      <c r="B356" s="46">
        <v>44428</v>
      </c>
      <c r="C356" s="269">
        <v>10.066089832931882</v>
      </c>
      <c r="D356" s="269">
        <v>17.06077530949155</v>
      </c>
      <c r="E356" s="177">
        <f t="shared" si="10"/>
        <v>10.066089832931882</v>
      </c>
      <c r="F356" s="199" t="str">
        <f t="shared" si="11"/>
        <v/>
      </c>
    </row>
    <row r="357" spans="1:7">
      <c r="A357">
        <v>354</v>
      </c>
      <c r="B357" s="46">
        <v>44429</v>
      </c>
      <c r="C357" s="269">
        <v>3.8468667969328161</v>
      </c>
      <c r="D357" s="269">
        <v>17.06077530949155</v>
      </c>
      <c r="E357" s="177">
        <f t="shared" si="10"/>
        <v>3.8468667969328161</v>
      </c>
      <c r="F357" s="199" t="str">
        <f t="shared" si="11"/>
        <v/>
      </c>
    </row>
    <row r="358" spans="1:7">
      <c r="A358">
        <v>355</v>
      </c>
      <c r="B358" s="46">
        <v>44430</v>
      </c>
      <c r="C358" s="269">
        <v>0.508441244930953</v>
      </c>
      <c r="D358" s="269">
        <v>17.06077530949155</v>
      </c>
      <c r="E358" s="177">
        <f t="shared" si="10"/>
        <v>0.508441244930953</v>
      </c>
      <c r="F358" s="199" t="str">
        <f t="shared" si="11"/>
        <v/>
      </c>
    </row>
    <row r="359" spans="1:7">
      <c r="A359">
        <v>356</v>
      </c>
      <c r="B359" s="46">
        <v>44431</v>
      </c>
      <c r="C359" s="269">
        <v>1.0553290569318852</v>
      </c>
      <c r="D359" s="269">
        <v>17.06077530949155</v>
      </c>
      <c r="E359" s="177">
        <f t="shared" si="10"/>
        <v>1.0553290569318852</v>
      </c>
      <c r="F359" s="199" t="str">
        <f t="shared" si="11"/>
        <v/>
      </c>
    </row>
    <row r="360" spans="1:7">
      <c r="A360">
        <v>357</v>
      </c>
      <c r="B360" s="46">
        <v>44432</v>
      </c>
      <c r="C360" s="269">
        <v>0.95153298293281119</v>
      </c>
      <c r="D360" s="269">
        <v>17.06077530949155</v>
      </c>
      <c r="E360" s="177">
        <f t="shared" si="10"/>
        <v>0.95153298293281119</v>
      </c>
      <c r="F360" s="199" t="str">
        <f t="shared" si="11"/>
        <v/>
      </c>
    </row>
    <row r="361" spans="1:7">
      <c r="A361">
        <v>358</v>
      </c>
      <c r="B361" s="46">
        <v>44433</v>
      </c>
      <c r="C361" s="269">
        <v>7.148299117668139</v>
      </c>
      <c r="D361" s="269">
        <v>17.06077530949155</v>
      </c>
      <c r="E361" s="177">
        <f t="shared" si="10"/>
        <v>7.148299117668139</v>
      </c>
      <c r="F361" s="199" t="str">
        <f t="shared" si="11"/>
        <v/>
      </c>
    </row>
    <row r="362" spans="1:7">
      <c r="A362">
        <v>359</v>
      </c>
      <c r="B362" s="46">
        <v>44434</v>
      </c>
      <c r="C362" s="269">
        <v>9.1900503616690692</v>
      </c>
      <c r="D362" s="269">
        <v>17.06077530949155</v>
      </c>
      <c r="E362" s="177">
        <f t="shared" si="10"/>
        <v>9.1900503616690692</v>
      </c>
      <c r="F362" s="199" t="str">
        <f t="shared" si="11"/>
        <v/>
      </c>
    </row>
    <row r="363" spans="1:7">
      <c r="A363">
        <v>360</v>
      </c>
      <c r="B363" s="46">
        <v>44435</v>
      </c>
      <c r="C363" s="269">
        <v>4.0983882336709359</v>
      </c>
      <c r="D363" s="269">
        <v>17.06077530949155</v>
      </c>
      <c r="E363" s="177">
        <f t="shared" si="10"/>
        <v>4.0983882336709359</v>
      </c>
      <c r="F363" s="199" t="str">
        <f t="shared" si="11"/>
        <v/>
      </c>
    </row>
    <row r="364" spans="1:7">
      <c r="A364">
        <v>361</v>
      </c>
      <c r="B364" s="46">
        <v>44436</v>
      </c>
      <c r="C364" s="269">
        <v>0.76033149366814179</v>
      </c>
      <c r="D364" s="269">
        <v>17.06077530949155</v>
      </c>
      <c r="E364" s="177">
        <f t="shared" si="10"/>
        <v>0.76033149366814179</v>
      </c>
      <c r="F364" s="199" t="str">
        <f t="shared" si="11"/>
        <v/>
      </c>
    </row>
    <row r="365" spans="1:7">
      <c r="A365">
        <v>362</v>
      </c>
      <c r="B365" s="46">
        <v>44437</v>
      </c>
      <c r="C365" s="269">
        <v>1.0641274536700003</v>
      </c>
      <c r="D365" s="269">
        <v>17.06077530949155</v>
      </c>
      <c r="E365" s="177">
        <f t="shared" si="10"/>
        <v>1.0641274536700003</v>
      </c>
      <c r="F365" s="199" t="str">
        <f t="shared" si="11"/>
        <v/>
      </c>
    </row>
    <row r="366" spans="1:7">
      <c r="A366">
        <v>363</v>
      </c>
      <c r="B366" s="46">
        <v>44438</v>
      </c>
      <c r="C366" s="269">
        <v>10.115708249667207</v>
      </c>
      <c r="D366" s="269">
        <v>17.06077530949155</v>
      </c>
      <c r="E366" s="177">
        <f t="shared" si="10"/>
        <v>10.115708249667207</v>
      </c>
      <c r="F366" s="199" t="str">
        <f t="shared" si="11"/>
        <v/>
      </c>
    </row>
    <row r="367" spans="1:7">
      <c r="A367">
        <v>364</v>
      </c>
      <c r="B367" s="46">
        <v>44439</v>
      </c>
      <c r="C367" s="269">
        <v>13.842601205670929</v>
      </c>
      <c r="D367" s="269">
        <v>17.06077530949155</v>
      </c>
      <c r="E367" s="177">
        <f t="shared" si="10"/>
        <v>13.842601205670929</v>
      </c>
      <c r="F367" s="199" t="str">
        <f t="shared" si="11"/>
        <v/>
      </c>
    </row>
    <row r="368" spans="1:7">
      <c r="A368">
        <v>365</v>
      </c>
      <c r="B368" s="46">
        <v>44440</v>
      </c>
      <c r="C368" s="269">
        <v>24.170240552924064</v>
      </c>
      <c r="D368" s="269">
        <v>21.025860806984557</v>
      </c>
      <c r="E368" s="177">
        <f t="shared" si="10"/>
        <v>21.025860806984557</v>
      </c>
      <c r="F368" s="199" t="str">
        <f t="shared" si="11"/>
        <v/>
      </c>
    </row>
    <row r="369" spans="1:7">
      <c r="A369">
        <v>366</v>
      </c>
      <c r="B369" s="46">
        <v>44441</v>
      </c>
      <c r="C369" s="269">
        <v>23.866691540925931</v>
      </c>
      <c r="D369" s="269">
        <v>21.025860806984557</v>
      </c>
      <c r="E369" s="177">
        <f t="shared" si="10"/>
        <v>21.025860806984557</v>
      </c>
      <c r="F369" s="199" t="str">
        <f t="shared" si="11"/>
        <v/>
      </c>
    </row>
    <row r="370" spans="1:7">
      <c r="A370">
        <v>367</v>
      </c>
      <c r="B370" s="46">
        <v>44442</v>
      </c>
      <c r="C370" s="269">
        <v>22.763549948923131</v>
      </c>
      <c r="D370" s="269">
        <v>21.025860806984557</v>
      </c>
      <c r="E370" s="177">
        <f t="shared" si="10"/>
        <v>21.025860806984557</v>
      </c>
      <c r="F370" s="199" t="str">
        <f t="shared" si="11"/>
        <v/>
      </c>
    </row>
    <row r="371" spans="1:7">
      <c r="A371">
        <v>368</v>
      </c>
      <c r="B371" s="46">
        <v>44443</v>
      </c>
      <c r="C371" s="269">
        <v>16.72784531692686</v>
      </c>
      <c r="D371" s="269">
        <v>21.025860806984557</v>
      </c>
      <c r="E371" s="177">
        <f t="shared" si="10"/>
        <v>16.72784531692686</v>
      </c>
      <c r="F371" s="199" t="str">
        <f t="shared" si="11"/>
        <v/>
      </c>
    </row>
    <row r="372" spans="1:7">
      <c r="A372">
        <v>369</v>
      </c>
      <c r="B372" s="46">
        <v>44444</v>
      </c>
      <c r="C372" s="269">
        <v>10.187934292924066</v>
      </c>
      <c r="D372" s="269">
        <v>21.025860806984557</v>
      </c>
      <c r="E372" s="177">
        <f t="shared" si="10"/>
        <v>10.187934292924066</v>
      </c>
      <c r="F372" s="199" t="str">
        <f t="shared" si="11"/>
        <v/>
      </c>
    </row>
    <row r="373" spans="1:7">
      <c r="A373">
        <v>370</v>
      </c>
      <c r="B373" s="46">
        <v>44445</v>
      </c>
      <c r="C373" s="269">
        <v>15.783412408925928</v>
      </c>
      <c r="D373" s="269">
        <v>21.025860806984557</v>
      </c>
      <c r="E373" s="177">
        <f t="shared" si="10"/>
        <v>15.783412408925928</v>
      </c>
      <c r="F373" s="199" t="str">
        <f t="shared" si="11"/>
        <v/>
      </c>
    </row>
    <row r="374" spans="1:7">
      <c r="A374">
        <v>371</v>
      </c>
      <c r="B374" s="46">
        <v>44446</v>
      </c>
      <c r="C374" s="269">
        <v>6.2602158249249991</v>
      </c>
      <c r="D374" s="269">
        <v>21.025860806984557</v>
      </c>
      <c r="E374" s="177">
        <f t="shared" si="10"/>
        <v>6.2602158249249991</v>
      </c>
      <c r="F374" s="199" t="str">
        <f t="shared" si="11"/>
        <v/>
      </c>
    </row>
    <row r="375" spans="1:7">
      <c r="A375">
        <v>372</v>
      </c>
      <c r="B375" s="46">
        <v>44447</v>
      </c>
      <c r="C375" s="269">
        <v>20.079615491951159</v>
      </c>
      <c r="D375" s="269">
        <v>21.025860806984557</v>
      </c>
      <c r="E375" s="177">
        <f t="shared" si="10"/>
        <v>20.079615491951159</v>
      </c>
      <c r="F375" s="199" t="str">
        <f t="shared" si="11"/>
        <v/>
      </c>
    </row>
    <row r="376" spans="1:7">
      <c r="A376">
        <v>373</v>
      </c>
      <c r="B376" s="46">
        <v>44448</v>
      </c>
      <c r="C376" s="269">
        <v>20.903400847952092</v>
      </c>
      <c r="D376" s="269">
        <v>21.025860806984557</v>
      </c>
      <c r="E376" s="177">
        <f t="shared" si="10"/>
        <v>20.903400847952092</v>
      </c>
      <c r="F376" s="199" t="str">
        <f t="shared" si="11"/>
        <v/>
      </c>
    </row>
    <row r="377" spans="1:7">
      <c r="A377">
        <v>374</v>
      </c>
      <c r="B377" s="46">
        <v>44449</v>
      </c>
      <c r="C377" s="269">
        <v>20.187138247952092</v>
      </c>
      <c r="D377" s="269">
        <v>21.025860806984557</v>
      </c>
      <c r="E377" s="177">
        <f t="shared" si="10"/>
        <v>20.187138247952092</v>
      </c>
      <c r="F377" s="199" t="str">
        <f t="shared" si="11"/>
        <v/>
      </c>
    </row>
    <row r="378" spans="1:7">
      <c r="A378">
        <v>375</v>
      </c>
      <c r="B378" s="46">
        <v>44450</v>
      </c>
      <c r="C378" s="269">
        <v>15.096113991953025</v>
      </c>
      <c r="D378" s="269">
        <v>21.025860806984557</v>
      </c>
      <c r="E378" s="177">
        <f t="shared" si="10"/>
        <v>15.096113991953025</v>
      </c>
      <c r="F378" s="199" t="str">
        <f t="shared" si="11"/>
        <v/>
      </c>
    </row>
    <row r="379" spans="1:7">
      <c r="A379">
        <v>376</v>
      </c>
      <c r="B379" s="46">
        <v>44451</v>
      </c>
      <c r="C379" s="269">
        <v>20.022920527952092</v>
      </c>
      <c r="D379" s="269">
        <v>21.025860806984557</v>
      </c>
      <c r="E379" s="177">
        <f t="shared" si="10"/>
        <v>20.022920527952092</v>
      </c>
      <c r="F379" s="199" t="str">
        <f t="shared" si="11"/>
        <v/>
      </c>
    </row>
    <row r="380" spans="1:7">
      <c r="A380">
        <v>377</v>
      </c>
      <c r="B380" s="46">
        <v>44452</v>
      </c>
      <c r="C380" s="269">
        <v>12.783147795953024</v>
      </c>
      <c r="D380" s="269">
        <v>21.025860806984557</v>
      </c>
      <c r="E380" s="177">
        <f t="shared" si="10"/>
        <v>12.783147795953024</v>
      </c>
      <c r="F380" s="199" t="str">
        <f t="shared" si="11"/>
        <v/>
      </c>
    </row>
    <row r="381" spans="1:7">
      <c r="A381">
        <v>378</v>
      </c>
      <c r="B381" s="46">
        <v>44453</v>
      </c>
      <c r="C381" s="269">
        <v>25.934628331951156</v>
      </c>
      <c r="D381" s="269">
        <v>21.025860806984557</v>
      </c>
      <c r="E381" s="177">
        <f t="shared" si="10"/>
        <v>21.025860806984557</v>
      </c>
      <c r="F381" s="199" t="str">
        <f t="shared" si="11"/>
        <v/>
      </c>
    </row>
    <row r="382" spans="1:7">
      <c r="A382">
        <v>379</v>
      </c>
      <c r="B382" s="46">
        <v>44454</v>
      </c>
      <c r="C382" s="269">
        <v>38.27043780787313</v>
      </c>
      <c r="D382" s="269">
        <v>21.025860806984557</v>
      </c>
      <c r="E382" s="177">
        <f t="shared" si="10"/>
        <v>21.025860806984557</v>
      </c>
      <c r="F382" s="199" t="str">
        <f t="shared" si="11"/>
        <v>S</v>
      </c>
      <c r="G382" s="200">
        <f>IF(DAY(B382)=15,D382,"")</f>
        <v>21.025860806984557</v>
      </c>
    </row>
    <row r="383" spans="1:7">
      <c r="A383">
        <v>380</v>
      </c>
      <c r="B383" s="46">
        <v>44455</v>
      </c>
      <c r="C383" s="269">
        <v>21.438021855873135</v>
      </c>
      <c r="D383" s="269">
        <v>21.025860806984557</v>
      </c>
      <c r="E383" s="177">
        <f t="shared" si="10"/>
        <v>21.025860806984557</v>
      </c>
      <c r="F383" s="199" t="str">
        <f t="shared" si="11"/>
        <v/>
      </c>
      <c r="G383" s="200" t="str">
        <f>IF(DAY(B383)=15,D383,"")</f>
        <v/>
      </c>
    </row>
    <row r="384" spans="1:7">
      <c r="A384">
        <v>381</v>
      </c>
      <c r="B384" s="46">
        <v>44456</v>
      </c>
      <c r="C384" s="269">
        <v>16.343130441872198</v>
      </c>
      <c r="D384" s="269">
        <v>21.025860806984557</v>
      </c>
      <c r="E384" s="177">
        <f t="shared" si="10"/>
        <v>16.343130441872198</v>
      </c>
      <c r="F384" s="199" t="str">
        <f t="shared" si="11"/>
        <v/>
      </c>
    </row>
    <row r="385" spans="1:6">
      <c r="A385">
        <v>382</v>
      </c>
      <c r="B385" s="46">
        <v>44457</v>
      </c>
      <c r="C385" s="269">
        <v>11.763615425872201</v>
      </c>
      <c r="D385" s="269">
        <v>21.025860806984557</v>
      </c>
      <c r="E385" s="177">
        <f t="shared" si="10"/>
        <v>11.763615425872201</v>
      </c>
      <c r="F385" s="199" t="str">
        <f t="shared" si="11"/>
        <v/>
      </c>
    </row>
    <row r="386" spans="1:6">
      <c r="A386">
        <v>383</v>
      </c>
      <c r="B386" s="46">
        <v>44458</v>
      </c>
      <c r="C386" s="269">
        <v>10.983895529874061</v>
      </c>
      <c r="D386" s="269">
        <v>21.025860806984557</v>
      </c>
      <c r="E386" s="177">
        <f t="shared" si="10"/>
        <v>10.983895529874061</v>
      </c>
      <c r="F386" s="199" t="str">
        <f t="shared" si="11"/>
        <v/>
      </c>
    </row>
    <row r="387" spans="1:6">
      <c r="A387">
        <v>384</v>
      </c>
      <c r="B387" s="46">
        <v>44459</v>
      </c>
      <c r="C387" s="269">
        <v>12.360109627872204</v>
      </c>
      <c r="D387" s="269">
        <v>21.025860806984557</v>
      </c>
      <c r="E387" s="177">
        <f t="shared" si="10"/>
        <v>12.360109627872204</v>
      </c>
      <c r="F387" s="199" t="str">
        <f t="shared" si="11"/>
        <v/>
      </c>
    </row>
    <row r="388" spans="1:6">
      <c r="A388">
        <v>385</v>
      </c>
      <c r="B388" s="46">
        <v>44460</v>
      </c>
      <c r="C388" s="269">
        <v>11.8400754218722</v>
      </c>
      <c r="D388" s="269">
        <v>21.025860806984557</v>
      </c>
      <c r="E388" s="177">
        <f t="shared" ref="E388:E396" si="12">IF(C388&lt;D388,C388,D388)</f>
        <v>11.8400754218722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44461</v>
      </c>
      <c r="C389" s="269">
        <v>24.506608547283641</v>
      </c>
      <c r="D389" s="269">
        <v>21.025860806984557</v>
      </c>
      <c r="E389" s="177">
        <f t="shared" si="12"/>
        <v>21.025860806984557</v>
      </c>
      <c r="F389" s="199" t="str">
        <f t="shared" si="13"/>
        <v/>
      </c>
    </row>
    <row r="390" spans="1:6">
      <c r="A390">
        <v>387</v>
      </c>
      <c r="B390" s="46">
        <v>44462</v>
      </c>
      <c r="C390" s="269">
        <v>18.724293949279911</v>
      </c>
      <c r="D390" s="269">
        <v>21.025860806984557</v>
      </c>
      <c r="E390" s="177">
        <f t="shared" si="12"/>
        <v>18.724293949279911</v>
      </c>
      <c r="F390" s="199" t="str">
        <f t="shared" si="13"/>
        <v/>
      </c>
    </row>
    <row r="391" spans="1:6">
      <c r="A391">
        <v>388</v>
      </c>
      <c r="B391" s="46">
        <v>44463</v>
      </c>
      <c r="C391" s="269">
        <v>28.589213827281775</v>
      </c>
      <c r="D391" s="269">
        <v>21.025860806984557</v>
      </c>
      <c r="E391" s="177">
        <f t="shared" si="12"/>
        <v>21.025860806984557</v>
      </c>
      <c r="F391" s="199" t="str">
        <f t="shared" si="13"/>
        <v/>
      </c>
    </row>
    <row r="392" spans="1:6">
      <c r="A392">
        <v>389</v>
      </c>
      <c r="B392" s="46">
        <v>44464</v>
      </c>
      <c r="C392" s="269">
        <v>21.712727683282704</v>
      </c>
      <c r="D392" s="269">
        <v>21.025860806984557</v>
      </c>
      <c r="E392" s="177">
        <f t="shared" si="12"/>
        <v>21.025860806984557</v>
      </c>
      <c r="F392" s="199" t="str">
        <f t="shared" si="13"/>
        <v/>
      </c>
    </row>
    <row r="393" spans="1:6">
      <c r="A393">
        <v>390</v>
      </c>
      <c r="B393" s="46">
        <v>44465</v>
      </c>
      <c r="C393" s="269">
        <v>15.441186585280844</v>
      </c>
      <c r="D393" s="269">
        <v>21.025860806984557</v>
      </c>
      <c r="E393" s="177">
        <f t="shared" si="12"/>
        <v>15.441186585280844</v>
      </c>
      <c r="F393" s="199" t="str">
        <f t="shared" si="13"/>
        <v/>
      </c>
    </row>
    <row r="394" spans="1:6">
      <c r="A394">
        <v>391</v>
      </c>
      <c r="B394" s="46">
        <v>44466</v>
      </c>
      <c r="C394" s="269">
        <v>22.051682435282711</v>
      </c>
      <c r="D394" s="269">
        <v>21.025860806984557</v>
      </c>
      <c r="E394" s="177">
        <f t="shared" si="12"/>
        <v>21.025860806984557</v>
      </c>
      <c r="F394" s="199" t="str">
        <f t="shared" si="13"/>
        <v/>
      </c>
    </row>
    <row r="395" spans="1:6">
      <c r="A395">
        <v>392</v>
      </c>
      <c r="B395" s="46">
        <v>44467</v>
      </c>
      <c r="C395" s="269">
        <v>31.213526271280848</v>
      </c>
      <c r="D395" s="269">
        <v>21.025860806984557</v>
      </c>
      <c r="E395" s="177">
        <f t="shared" si="12"/>
        <v>21.025860806984557</v>
      </c>
      <c r="F395" s="199" t="str">
        <f t="shared" si="13"/>
        <v/>
      </c>
    </row>
    <row r="396" spans="1:6">
      <c r="A396">
        <v>393</v>
      </c>
      <c r="B396" s="46">
        <v>44468</v>
      </c>
      <c r="C396" s="269">
        <v>21.101285351840996</v>
      </c>
      <c r="D396" s="269">
        <v>21.025860806984557</v>
      </c>
      <c r="E396" s="177">
        <f t="shared" si="12"/>
        <v>21.025860806984557</v>
      </c>
      <c r="F396" s="199" t="str">
        <f t="shared" si="13"/>
        <v/>
      </c>
    </row>
    <row r="397" spans="1:6">
      <c r="A397">
        <v>394</v>
      </c>
      <c r="B397" s="46">
        <v>44469</v>
      </c>
      <c r="C397" s="269">
        <v>20.678910095840067</v>
      </c>
      <c r="D397" s="269">
        <v>21.025860806984557</v>
      </c>
      <c r="E397" s="177">
        <f t="shared" ref="E397" si="14">IF(C397&lt;D397,C397,D397)</f>
        <v>20.678910095840067</v>
      </c>
      <c r="F397" s="199" t="str">
        <f t="shared" si="13"/>
        <v/>
      </c>
    </row>
    <row r="398" spans="1:6">
      <c r="A398">
        <v>395</v>
      </c>
      <c r="B398" s="46">
        <v>44470</v>
      </c>
      <c r="C398" s="269">
        <v>22.635637483839872</v>
      </c>
      <c r="D398" s="269">
        <v>42.875582266741226</v>
      </c>
      <c r="E398" s="177">
        <f t="shared" ref="E398" si="15">IF(C398&lt;D398,C398,D398)</f>
        <v>22.635637483839872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6"/>
        <v/>
      </c>
    </row>
    <row r="401" spans="3:7">
      <c r="C401" s="177" t="s">
        <v>149</v>
      </c>
      <c r="D401" s="177" t="s">
        <v>149</v>
      </c>
      <c r="E401" s="177" t="str">
        <f t="shared" ref="E401:E451" si="17">IF(C401&lt;D401,C401,D401)</f>
        <v/>
      </c>
      <c r="F401" s="199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7"/>
        <v/>
      </c>
      <c r="F402" s="199" t="str">
        <f t="shared" si="18"/>
        <v/>
      </c>
    </row>
    <row r="403" spans="3:7">
      <c r="C403" s="177" t="s">
        <v>149</v>
      </c>
      <c r="D403" s="177" t="s">
        <v>149</v>
      </c>
      <c r="E403" s="177" t="str">
        <f t="shared" si="17"/>
        <v/>
      </c>
      <c r="F403" s="199" t="str">
        <f t="shared" si="18"/>
        <v/>
      </c>
    </row>
    <row r="404" spans="3:7">
      <c r="C404" s="177" t="s">
        <v>149</v>
      </c>
      <c r="D404" s="177" t="s">
        <v>149</v>
      </c>
      <c r="E404" s="177" t="str">
        <f t="shared" si="17"/>
        <v/>
      </c>
      <c r="F404" s="199" t="str">
        <f t="shared" si="18"/>
        <v/>
      </c>
    </row>
    <row r="405" spans="3:7">
      <c r="C405" s="177" t="s">
        <v>149</v>
      </c>
      <c r="D405" s="177" t="s">
        <v>149</v>
      </c>
      <c r="E405" s="177" t="str">
        <f t="shared" si="17"/>
        <v/>
      </c>
      <c r="F405" s="199" t="str">
        <f t="shared" si="18"/>
        <v/>
      </c>
    </row>
    <row r="406" spans="3:7">
      <c r="C406" s="177" t="s">
        <v>149</v>
      </c>
      <c r="D406" s="177" t="s">
        <v>149</v>
      </c>
      <c r="E406" s="177" t="str">
        <f t="shared" si="17"/>
        <v/>
      </c>
      <c r="F406" s="199" t="str">
        <f t="shared" si="18"/>
        <v/>
      </c>
    </row>
    <row r="407" spans="3:7">
      <c r="C407" s="177" t="s">
        <v>149</v>
      </c>
      <c r="D407" s="177" t="s">
        <v>149</v>
      </c>
      <c r="E407" s="177" t="str">
        <f t="shared" si="17"/>
        <v/>
      </c>
      <c r="F407" s="199" t="str">
        <f t="shared" si="18"/>
        <v/>
      </c>
    </row>
    <row r="408" spans="3:7">
      <c r="C408" s="177" t="s">
        <v>149</v>
      </c>
      <c r="D408" s="177" t="s">
        <v>149</v>
      </c>
      <c r="E408" s="177" t="str">
        <f t="shared" si="17"/>
        <v/>
      </c>
      <c r="F408" s="199" t="str">
        <f t="shared" si="18"/>
        <v/>
      </c>
    </row>
    <row r="409" spans="3:7">
      <c r="C409" s="177" t="s">
        <v>149</v>
      </c>
      <c r="D409" s="177" t="s">
        <v>149</v>
      </c>
      <c r="E409" s="177" t="str">
        <f t="shared" si="17"/>
        <v/>
      </c>
      <c r="F409" s="199" t="str">
        <f t="shared" si="18"/>
        <v/>
      </c>
    </row>
    <row r="410" spans="3:7">
      <c r="C410" s="177" t="s">
        <v>149</v>
      </c>
      <c r="D410" s="177" t="s">
        <v>149</v>
      </c>
      <c r="E410" s="177" t="str">
        <f t="shared" si="17"/>
        <v/>
      </c>
      <c r="F410" s="199" t="str">
        <f t="shared" si="18"/>
        <v/>
      </c>
    </row>
    <row r="411" spans="3:7">
      <c r="C411" s="177" t="s">
        <v>149</v>
      </c>
      <c r="D411" s="177" t="s">
        <v>149</v>
      </c>
      <c r="E411" s="177" t="str">
        <f t="shared" si="17"/>
        <v/>
      </c>
      <c r="F411" s="199" t="str">
        <f t="shared" si="18"/>
        <v/>
      </c>
    </row>
    <row r="412" spans="3:7">
      <c r="C412" s="177" t="s">
        <v>149</v>
      </c>
      <c r="D412" s="177" t="s">
        <v>149</v>
      </c>
      <c r="E412" s="177" t="str">
        <f t="shared" si="17"/>
        <v/>
      </c>
      <c r="F412" s="199" t="str">
        <f t="shared" si="18"/>
        <v/>
      </c>
      <c r="G412" s="200" t="str">
        <f t="shared" ref="G412" si="19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7"/>
        <v/>
      </c>
    </row>
    <row r="414" spans="3:7">
      <c r="C414" s="177" t="s">
        <v>149</v>
      </c>
      <c r="D414" s="177" t="s">
        <v>149</v>
      </c>
      <c r="E414" s="177" t="str">
        <f t="shared" si="17"/>
        <v/>
      </c>
    </row>
    <row r="415" spans="3:7">
      <c r="C415" s="177" t="s">
        <v>149</v>
      </c>
      <c r="D415" s="177" t="s">
        <v>149</v>
      </c>
      <c r="E415" s="177" t="str">
        <f t="shared" si="17"/>
        <v/>
      </c>
    </row>
    <row r="416" spans="3:7">
      <c r="C416" s="177" t="s">
        <v>149</v>
      </c>
      <c r="D416" s="177" t="s">
        <v>149</v>
      </c>
      <c r="E416" s="177" t="str">
        <f t="shared" si="17"/>
        <v/>
      </c>
    </row>
    <row r="417" spans="3:5">
      <c r="C417" s="177" t="s">
        <v>149</v>
      </c>
      <c r="D417" s="177" t="s">
        <v>149</v>
      </c>
      <c r="E417" s="177" t="str">
        <f t="shared" si="17"/>
        <v/>
      </c>
    </row>
    <row r="418" spans="3:5">
      <c r="C418" s="177" t="s">
        <v>149</v>
      </c>
      <c r="D418" s="177" t="s">
        <v>149</v>
      </c>
      <c r="E418" s="177" t="str">
        <f t="shared" si="17"/>
        <v/>
      </c>
    </row>
    <row r="419" spans="3:5">
      <c r="C419" s="177" t="s">
        <v>149</v>
      </c>
      <c r="D419" s="177" t="s">
        <v>149</v>
      </c>
      <c r="E419" s="177" t="str">
        <f t="shared" si="17"/>
        <v/>
      </c>
    </row>
    <row r="420" spans="3:5">
      <c r="C420" s="177" t="s">
        <v>149</v>
      </c>
      <c r="D420" s="177" t="s">
        <v>149</v>
      </c>
      <c r="E420" s="177" t="str">
        <f t="shared" si="17"/>
        <v/>
      </c>
    </row>
    <row r="421" spans="3:5">
      <c r="C421" s="177" t="s">
        <v>149</v>
      </c>
      <c r="D421" s="177" t="s">
        <v>149</v>
      </c>
      <c r="E421" s="177" t="str">
        <f t="shared" si="17"/>
        <v/>
      </c>
    </row>
    <row r="422" spans="3:5">
      <c r="C422" s="177" t="s">
        <v>149</v>
      </c>
      <c r="D422" s="177" t="s">
        <v>149</v>
      </c>
      <c r="E422" s="177" t="str">
        <f t="shared" si="17"/>
        <v/>
      </c>
    </row>
    <row r="423" spans="3:5">
      <c r="C423" s="177" t="s">
        <v>149</v>
      </c>
      <c r="D423" s="177" t="s">
        <v>149</v>
      </c>
      <c r="E423" s="177" t="str">
        <f t="shared" si="17"/>
        <v/>
      </c>
    </row>
    <row r="424" spans="3:5">
      <c r="C424" s="177" t="s">
        <v>149</v>
      </c>
      <c r="D424" s="177" t="s">
        <v>149</v>
      </c>
      <c r="E424" s="177" t="str">
        <f t="shared" si="17"/>
        <v/>
      </c>
    </row>
    <row r="425" spans="3:5">
      <c r="C425" s="177" t="s">
        <v>149</v>
      </c>
      <c r="D425" s="177" t="s">
        <v>149</v>
      </c>
      <c r="E425" s="177" t="str">
        <f t="shared" si="17"/>
        <v/>
      </c>
    </row>
    <row r="426" spans="3:5">
      <c r="C426" s="177" t="s">
        <v>149</v>
      </c>
      <c r="D426" s="177" t="s">
        <v>149</v>
      </c>
      <c r="E426" s="177" t="str">
        <f t="shared" si="17"/>
        <v/>
      </c>
    </row>
    <row r="427" spans="3:5">
      <c r="C427" s="177" t="s">
        <v>149</v>
      </c>
      <c r="D427" s="177" t="s">
        <v>149</v>
      </c>
      <c r="E427" s="177" t="str">
        <f t="shared" si="17"/>
        <v/>
      </c>
    </row>
    <row r="428" spans="3:5">
      <c r="C428" s="177" t="s">
        <v>149</v>
      </c>
      <c r="D428" s="177" t="s">
        <v>149</v>
      </c>
      <c r="E428" s="177" t="str">
        <f t="shared" si="17"/>
        <v/>
      </c>
    </row>
    <row r="429" spans="3:5">
      <c r="C429" s="177" t="s">
        <v>149</v>
      </c>
      <c r="D429" s="177" t="s">
        <v>149</v>
      </c>
      <c r="E429" s="177" t="str">
        <f t="shared" si="17"/>
        <v/>
      </c>
    </row>
    <row r="430" spans="3:5">
      <c r="C430" s="177" t="s">
        <v>149</v>
      </c>
      <c r="D430" s="177" t="s">
        <v>149</v>
      </c>
      <c r="E430" s="177" t="str">
        <f t="shared" si="17"/>
        <v/>
      </c>
    </row>
    <row r="431" spans="3:5">
      <c r="C431" s="177" t="s">
        <v>149</v>
      </c>
      <c r="D431" s="177" t="s">
        <v>149</v>
      </c>
      <c r="E431" s="177" t="str">
        <f t="shared" si="17"/>
        <v/>
      </c>
    </row>
    <row r="432" spans="3:5">
      <c r="C432" s="177" t="s">
        <v>149</v>
      </c>
      <c r="D432" s="177" t="s">
        <v>149</v>
      </c>
      <c r="E432" s="177" t="str">
        <f t="shared" si="17"/>
        <v/>
      </c>
    </row>
    <row r="433" spans="3:5">
      <c r="C433" s="177" t="s">
        <v>149</v>
      </c>
      <c r="D433" s="177" t="s">
        <v>149</v>
      </c>
      <c r="E433" s="177" t="str">
        <f t="shared" si="17"/>
        <v/>
      </c>
    </row>
    <row r="434" spans="3:5">
      <c r="C434" s="177" t="s">
        <v>149</v>
      </c>
      <c r="D434" s="177" t="s">
        <v>149</v>
      </c>
      <c r="E434" s="177" t="str">
        <f t="shared" si="17"/>
        <v/>
      </c>
    </row>
    <row r="435" spans="3:5">
      <c r="C435" s="177" t="s">
        <v>149</v>
      </c>
      <c r="D435" s="177" t="s">
        <v>149</v>
      </c>
      <c r="E435" s="177" t="str">
        <f t="shared" si="17"/>
        <v/>
      </c>
    </row>
    <row r="436" spans="3:5">
      <c r="C436" s="177" t="s">
        <v>149</v>
      </c>
      <c r="D436" s="177" t="s">
        <v>149</v>
      </c>
      <c r="E436" s="177" t="str">
        <f t="shared" si="17"/>
        <v/>
      </c>
    </row>
    <row r="437" spans="3:5">
      <c r="C437" s="177" t="s">
        <v>149</v>
      </c>
      <c r="D437" s="177" t="s">
        <v>149</v>
      </c>
      <c r="E437" s="177" t="str">
        <f t="shared" si="17"/>
        <v/>
      </c>
    </row>
    <row r="438" spans="3:5">
      <c r="C438" s="177" t="s">
        <v>149</v>
      </c>
      <c r="D438" s="177" t="s">
        <v>149</v>
      </c>
      <c r="E438" s="177" t="str">
        <f t="shared" si="17"/>
        <v/>
      </c>
    </row>
    <row r="439" spans="3:5">
      <c r="C439" s="177" t="s">
        <v>149</v>
      </c>
      <c r="D439" s="177" t="s">
        <v>149</v>
      </c>
      <c r="E439" s="177" t="str">
        <f t="shared" si="17"/>
        <v/>
      </c>
    </row>
    <row r="440" spans="3:5">
      <c r="C440" s="177" t="s">
        <v>149</v>
      </c>
      <c r="D440" s="177" t="s">
        <v>149</v>
      </c>
      <c r="E440" s="177" t="str">
        <f t="shared" si="17"/>
        <v/>
      </c>
    </row>
    <row r="441" spans="3:5">
      <c r="C441" s="177" t="s">
        <v>149</v>
      </c>
      <c r="D441" s="177" t="s">
        <v>149</v>
      </c>
      <c r="E441" s="177" t="str">
        <f t="shared" si="17"/>
        <v/>
      </c>
    </row>
    <row r="442" spans="3:5">
      <c r="C442" s="177" t="s">
        <v>149</v>
      </c>
      <c r="D442" s="177" t="s">
        <v>149</v>
      </c>
      <c r="E442" s="177" t="str">
        <f t="shared" si="17"/>
        <v/>
      </c>
    </row>
    <row r="443" spans="3:5">
      <c r="C443" s="177" t="s">
        <v>149</v>
      </c>
      <c r="D443" s="177" t="s">
        <v>149</v>
      </c>
      <c r="E443" s="177" t="str">
        <f t="shared" si="17"/>
        <v/>
      </c>
    </row>
    <row r="444" spans="3:5">
      <c r="C444" s="177" t="s">
        <v>149</v>
      </c>
      <c r="D444" s="177" t="s">
        <v>149</v>
      </c>
      <c r="E444" s="177" t="str">
        <f t="shared" si="17"/>
        <v/>
      </c>
    </row>
    <row r="445" spans="3:5">
      <c r="C445" s="177" t="s">
        <v>149</v>
      </c>
      <c r="D445" s="177" t="s">
        <v>149</v>
      </c>
      <c r="E445" s="177" t="str">
        <f t="shared" si="17"/>
        <v/>
      </c>
    </row>
    <row r="446" spans="3:5">
      <c r="C446" s="177" t="s">
        <v>149</v>
      </c>
      <c r="D446" s="177" t="s">
        <v>149</v>
      </c>
      <c r="E446" s="177" t="str">
        <f t="shared" si="17"/>
        <v/>
      </c>
    </row>
    <row r="447" spans="3:5">
      <c r="C447" s="177" t="s">
        <v>149</v>
      </c>
      <c r="D447" s="177" t="s">
        <v>149</v>
      </c>
      <c r="E447" s="177" t="str">
        <f t="shared" si="17"/>
        <v/>
      </c>
    </row>
    <row r="448" spans="3:5">
      <c r="C448" s="177" t="s">
        <v>149</v>
      </c>
      <c r="D448" s="177" t="s">
        <v>149</v>
      </c>
      <c r="E448" s="177" t="str">
        <f t="shared" si="17"/>
        <v/>
      </c>
    </row>
    <row r="449" spans="3:5">
      <c r="C449" s="177" t="s">
        <v>149</v>
      </c>
      <c r="D449" s="177" t="s">
        <v>149</v>
      </c>
      <c r="E449" s="177" t="str">
        <f t="shared" si="17"/>
        <v/>
      </c>
    </row>
    <row r="450" spans="3:5">
      <c r="C450" s="177" t="s">
        <v>149</v>
      </c>
      <c r="D450" s="177" t="s">
        <v>149</v>
      </c>
      <c r="E450" s="177" t="str">
        <f t="shared" si="17"/>
        <v/>
      </c>
    </row>
    <row r="451" spans="3:5">
      <c r="C451" s="177" t="s">
        <v>149</v>
      </c>
      <c r="D451" s="177" t="s">
        <v>149</v>
      </c>
      <c r="E451" s="177" t="str">
        <f t="shared" si="17"/>
        <v/>
      </c>
    </row>
    <row r="452" spans="3:5">
      <c r="C452" s="177" t="s">
        <v>149</v>
      </c>
      <c r="D452" s="177" t="s">
        <v>149</v>
      </c>
      <c r="E452" s="177" t="str">
        <f t="shared" ref="E452:E515" si="20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20"/>
        <v/>
      </c>
    </row>
    <row r="454" spans="3:5">
      <c r="C454" s="177" t="s">
        <v>149</v>
      </c>
      <c r="D454" s="177" t="s">
        <v>149</v>
      </c>
      <c r="E454" s="177" t="str">
        <f t="shared" si="20"/>
        <v/>
      </c>
    </row>
    <row r="455" spans="3:5">
      <c r="C455" s="177" t="s">
        <v>149</v>
      </c>
      <c r="D455" s="177" t="s">
        <v>149</v>
      </c>
      <c r="E455" s="177" t="str">
        <f t="shared" si="20"/>
        <v/>
      </c>
    </row>
    <row r="456" spans="3:5">
      <c r="C456" s="177" t="s">
        <v>149</v>
      </c>
      <c r="D456" s="177" t="s">
        <v>149</v>
      </c>
      <c r="E456" s="177" t="str">
        <f t="shared" si="20"/>
        <v/>
      </c>
    </row>
    <row r="457" spans="3:5">
      <c r="C457" s="177" t="s">
        <v>149</v>
      </c>
      <c r="D457" s="177" t="s">
        <v>149</v>
      </c>
      <c r="E457" s="177" t="str">
        <f t="shared" si="20"/>
        <v/>
      </c>
    </row>
    <row r="458" spans="3:5">
      <c r="C458" s="177" t="s">
        <v>149</v>
      </c>
      <c r="D458" s="177" t="s">
        <v>149</v>
      </c>
      <c r="E458" s="177" t="str">
        <f t="shared" si="20"/>
        <v/>
      </c>
    </row>
    <row r="459" spans="3:5">
      <c r="C459" s="177" t="s">
        <v>149</v>
      </c>
      <c r="D459" s="177" t="s">
        <v>149</v>
      </c>
      <c r="E459" s="177" t="str">
        <f t="shared" si="20"/>
        <v/>
      </c>
    </row>
    <row r="460" spans="3:5">
      <c r="C460" s="177" t="s">
        <v>149</v>
      </c>
      <c r="D460" s="177" t="s">
        <v>149</v>
      </c>
      <c r="E460" s="177" t="str">
        <f t="shared" si="20"/>
        <v/>
      </c>
    </row>
    <row r="461" spans="3:5">
      <c r="C461" s="177" t="s">
        <v>149</v>
      </c>
      <c r="D461" s="177" t="s">
        <v>149</v>
      </c>
      <c r="E461" s="177" t="str">
        <f t="shared" si="20"/>
        <v/>
      </c>
    </row>
    <row r="462" spans="3:5">
      <c r="C462" s="177" t="s">
        <v>149</v>
      </c>
      <c r="D462" s="177" t="s">
        <v>149</v>
      </c>
      <c r="E462" s="177" t="str">
        <f t="shared" si="20"/>
        <v/>
      </c>
    </row>
    <row r="463" spans="3:5">
      <c r="C463" s="177" t="s">
        <v>149</v>
      </c>
      <c r="D463" s="177" t="s">
        <v>149</v>
      </c>
      <c r="E463" s="177" t="str">
        <f t="shared" si="20"/>
        <v/>
      </c>
    </row>
    <row r="464" spans="3:5">
      <c r="C464" s="177" t="s">
        <v>149</v>
      </c>
      <c r="D464" s="177" t="s">
        <v>149</v>
      </c>
      <c r="E464" s="177" t="str">
        <f t="shared" si="20"/>
        <v/>
      </c>
    </row>
    <row r="465" spans="3:5">
      <c r="C465" s="177" t="s">
        <v>149</v>
      </c>
      <c r="D465" s="177" t="s">
        <v>149</v>
      </c>
      <c r="E465" s="177" t="str">
        <f t="shared" si="20"/>
        <v/>
      </c>
    </row>
    <row r="466" spans="3:5">
      <c r="C466" s="177" t="s">
        <v>149</v>
      </c>
      <c r="D466" s="177" t="s">
        <v>149</v>
      </c>
      <c r="E466" s="177" t="str">
        <f t="shared" si="20"/>
        <v/>
      </c>
    </row>
    <row r="467" spans="3:5">
      <c r="C467" s="177" t="s">
        <v>149</v>
      </c>
      <c r="D467" s="177" t="s">
        <v>149</v>
      </c>
      <c r="E467" s="177" t="str">
        <f t="shared" si="20"/>
        <v/>
      </c>
    </row>
    <row r="468" spans="3:5">
      <c r="C468" s="177" t="s">
        <v>149</v>
      </c>
      <c r="D468" s="177" t="s">
        <v>149</v>
      </c>
      <c r="E468" s="177" t="str">
        <f t="shared" si="20"/>
        <v/>
      </c>
    </row>
    <row r="469" spans="3:5">
      <c r="C469" s="177" t="s">
        <v>149</v>
      </c>
      <c r="D469" s="177" t="s">
        <v>149</v>
      </c>
      <c r="E469" s="177" t="str">
        <f t="shared" si="20"/>
        <v/>
      </c>
    </row>
    <row r="470" spans="3:5">
      <c r="C470" s="177" t="s">
        <v>149</v>
      </c>
      <c r="D470" s="177" t="s">
        <v>149</v>
      </c>
      <c r="E470" s="177" t="str">
        <f t="shared" si="20"/>
        <v/>
      </c>
    </row>
    <row r="471" spans="3:5">
      <c r="C471" s="177" t="s">
        <v>149</v>
      </c>
      <c r="D471" s="177" t="s">
        <v>149</v>
      </c>
      <c r="E471" s="177" t="str">
        <f t="shared" si="20"/>
        <v/>
      </c>
    </row>
    <row r="472" spans="3:5">
      <c r="C472" s="177" t="s">
        <v>149</v>
      </c>
      <c r="D472" s="177" t="s">
        <v>149</v>
      </c>
      <c r="E472" s="177" t="str">
        <f t="shared" si="20"/>
        <v/>
      </c>
    </row>
    <row r="473" spans="3:5">
      <c r="C473" s="177" t="s">
        <v>149</v>
      </c>
      <c r="D473" s="177" t="s">
        <v>149</v>
      </c>
      <c r="E473" s="177" t="str">
        <f t="shared" si="20"/>
        <v/>
      </c>
    </row>
    <row r="474" spans="3:5">
      <c r="C474" s="177" t="s">
        <v>149</v>
      </c>
      <c r="D474" s="177" t="s">
        <v>149</v>
      </c>
      <c r="E474" s="177" t="str">
        <f t="shared" si="20"/>
        <v/>
      </c>
    </row>
    <row r="475" spans="3:5">
      <c r="C475" s="177" t="s">
        <v>149</v>
      </c>
      <c r="D475" s="177" t="s">
        <v>149</v>
      </c>
      <c r="E475" s="177" t="str">
        <f t="shared" si="20"/>
        <v/>
      </c>
    </row>
    <row r="476" spans="3:5">
      <c r="C476" s="177" t="s">
        <v>149</v>
      </c>
      <c r="D476" s="177" t="s">
        <v>149</v>
      </c>
      <c r="E476" s="177" t="str">
        <f t="shared" si="20"/>
        <v/>
      </c>
    </row>
    <row r="477" spans="3:5">
      <c r="C477" s="177" t="s">
        <v>149</v>
      </c>
      <c r="D477" s="177" t="s">
        <v>149</v>
      </c>
      <c r="E477" s="177" t="str">
        <f t="shared" si="20"/>
        <v/>
      </c>
    </row>
    <row r="478" spans="3:5">
      <c r="C478" s="177" t="s">
        <v>149</v>
      </c>
      <c r="D478" s="177" t="s">
        <v>149</v>
      </c>
      <c r="E478" s="177" t="str">
        <f t="shared" si="20"/>
        <v/>
      </c>
    </row>
    <row r="479" spans="3:5">
      <c r="C479" s="177" t="s">
        <v>149</v>
      </c>
      <c r="D479" s="177" t="s">
        <v>149</v>
      </c>
      <c r="E479" s="177" t="str">
        <f t="shared" si="20"/>
        <v/>
      </c>
    </row>
    <row r="480" spans="3:5">
      <c r="C480" s="177" t="s">
        <v>149</v>
      </c>
      <c r="D480" s="177" t="s">
        <v>149</v>
      </c>
      <c r="E480" s="177" t="str">
        <f t="shared" si="20"/>
        <v/>
      </c>
    </row>
    <row r="481" spans="3:5">
      <c r="C481" s="177" t="s">
        <v>149</v>
      </c>
      <c r="D481" s="177" t="s">
        <v>149</v>
      </c>
      <c r="E481" s="177" t="str">
        <f t="shared" si="20"/>
        <v/>
      </c>
    </row>
    <row r="482" spans="3:5">
      <c r="C482" s="177" t="s">
        <v>149</v>
      </c>
      <c r="D482" s="177" t="s">
        <v>149</v>
      </c>
      <c r="E482" s="177" t="str">
        <f t="shared" si="20"/>
        <v/>
      </c>
    </row>
    <row r="483" spans="3:5">
      <c r="C483" s="177" t="s">
        <v>149</v>
      </c>
      <c r="D483" s="177" t="s">
        <v>149</v>
      </c>
      <c r="E483" s="177" t="str">
        <f t="shared" si="20"/>
        <v/>
      </c>
    </row>
    <row r="484" spans="3:5">
      <c r="C484" s="177" t="s">
        <v>149</v>
      </c>
      <c r="D484" s="177" t="s">
        <v>149</v>
      </c>
      <c r="E484" s="177" t="str">
        <f t="shared" si="20"/>
        <v/>
      </c>
    </row>
    <row r="485" spans="3:5">
      <c r="C485" s="177" t="s">
        <v>149</v>
      </c>
      <c r="D485" s="177" t="s">
        <v>149</v>
      </c>
      <c r="E485" s="177" t="str">
        <f t="shared" si="20"/>
        <v/>
      </c>
    </row>
    <row r="486" spans="3:5">
      <c r="C486" s="177" t="s">
        <v>149</v>
      </c>
      <c r="D486" s="177" t="s">
        <v>149</v>
      </c>
      <c r="E486" s="177" t="str">
        <f t="shared" si="20"/>
        <v/>
      </c>
    </row>
    <row r="487" spans="3:5">
      <c r="C487" s="177" t="s">
        <v>149</v>
      </c>
      <c r="D487" s="177" t="s">
        <v>149</v>
      </c>
      <c r="E487" s="177" t="str">
        <f t="shared" si="20"/>
        <v/>
      </c>
    </row>
    <row r="488" spans="3:5">
      <c r="C488" s="177" t="s">
        <v>149</v>
      </c>
      <c r="D488" s="177" t="s">
        <v>149</v>
      </c>
      <c r="E488" s="177" t="str">
        <f t="shared" si="20"/>
        <v/>
      </c>
    </row>
    <row r="489" spans="3:5">
      <c r="C489" s="177" t="s">
        <v>149</v>
      </c>
      <c r="D489" s="177" t="s">
        <v>149</v>
      </c>
      <c r="E489" s="177" t="str">
        <f t="shared" si="20"/>
        <v/>
      </c>
    </row>
    <row r="490" spans="3:5">
      <c r="C490" s="177" t="s">
        <v>149</v>
      </c>
      <c r="D490" s="177" t="s">
        <v>149</v>
      </c>
      <c r="E490" s="177" t="str">
        <f t="shared" si="20"/>
        <v/>
      </c>
    </row>
    <row r="491" spans="3:5">
      <c r="C491" s="177" t="s">
        <v>149</v>
      </c>
      <c r="D491" s="177" t="s">
        <v>149</v>
      </c>
      <c r="E491" s="177" t="str">
        <f t="shared" si="20"/>
        <v/>
      </c>
    </row>
    <row r="492" spans="3:5">
      <c r="C492" s="177" t="s">
        <v>149</v>
      </c>
      <c r="D492" s="177" t="s">
        <v>149</v>
      </c>
      <c r="E492" s="177" t="str">
        <f t="shared" si="20"/>
        <v/>
      </c>
    </row>
    <row r="493" spans="3:5">
      <c r="C493" s="177" t="s">
        <v>149</v>
      </c>
      <c r="D493" s="177" t="s">
        <v>149</v>
      </c>
      <c r="E493" s="177" t="str">
        <f t="shared" si="20"/>
        <v/>
      </c>
    </row>
    <row r="494" spans="3:5">
      <c r="C494" s="177" t="s">
        <v>149</v>
      </c>
      <c r="D494" s="177" t="s">
        <v>149</v>
      </c>
      <c r="E494" s="177" t="str">
        <f t="shared" si="20"/>
        <v/>
      </c>
    </row>
    <row r="495" spans="3:5">
      <c r="C495" s="177" t="s">
        <v>149</v>
      </c>
      <c r="D495" s="177" t="s">
        <v>149</v>
      </c>
      <c r="E495" s="177" t="str">
        <f t="shared" si="20"/>
        <v/>
      </c>
    </row>
    <row r="496" spans="3:5">
      <c r="C496" s="177" t="s">
        <v>149</v>
      </c>
      <c r="D496" s="177" t="s">
        <v>149</v>
      </c>
      <c r="E496" s="177" t="str">
        <f t="shared" si="20"/>
        <v/>
      </c>
    </row>
    <row r="497" spans="3:5">
      <c r="C497" s="177" t="s">
        <v>149</v>
      </c>
      <c r="D497" s="177" t="s">
        <v>149</v>
      </c>
      <c r="E497" s="177" t="str">
        <f t="shared" si="20"/>
        <v/>
      </c>
    </row>
    <row r="498" spans="3:5">
      <c r="C498" s="177" t="s">
        <v>149</v>
      </c>
      <c r="D498" s="177" t="s">
        <v>149</v>
      </c>
      <c r="E498" s="177" t="str">
        <f t="shared" si="20"/>
        <v/>
      </c>
    </row>
    <row r="499" spans="3:5">
      <c r="C499" s="177" t="s">
        <v>149</v>
      </c>
      <c r="D499" s="177" t="s">
        <v>149</v>
      </c>
      <c r="E499" s="177" t="str">
        <f t="shared" si="20"/>
        <v/>
      </c>
    </row>
    <row r="500" spans="3:5">
      <c r="C500" s="177" t="s">
        <v>149</v>
      </c>
      <c r="D500" s="177" t="s">
        <v>149</v>
      </c>
      <c r="E500" s="177" t="str">
        <f t="shared" si="20"/>
        <v/>
      </c>
    </row>
    <row r="501" spans="3:5">
      <c r="C501" s="177" t="s">
        <v>149</v>
      </c>
      <c r="D501" s="177" t="s">
        <v>149</v>
      </c>
      <c r="E501" s="177" t="str">
        <f t="shared" si="20"/>
        <v/>
      </c>
    </row>
    <row r="502" spans="3:5">
      <c r="C502" s="177" t="s">
        <v>149</v>
      </c>
      <c r="D502" s="177" t="s">
        <v>149</v>
      </c>
      <c r="E502" s="177" t="str">
        <f t="shared" si="20"/>
        <v/>
      </c>
    </row>
    <row r="503" spans="3:5">
      <c r="C503" s="177" t="s">
        <v>149</v>
      </c>
      <c r="D503" s="177" t="s">
        <v>149</v>
      </c>
      <c r="E503" s="177" t="str">
        <f t="shared" si="20"/>
        <v/>
      </c>
    </row>
    <row r="504" spans="3:5">
      <c r="C504" s="177" t="s">
        <v>149</v>
      </c>
      <c r="D504" s="177" t="s">
        <v>149</v>
      </c>
      <c r="E504" s="177" t="str">
        <f t="shared" si="20"/>
        <v/>
      </c>
    </row>
    <row r="505" spans="3:5">
      <c r="C505" s="177" t="s">
        <v>149</v>
      </c>
      <c r="D505" s="177" t="s">
        <v>149</v>
      </c>
      <c r="E505" s="177" t="str">
        <f t="shared" si="20"/>
        <v/>
      </c>
    </row>
    <row r="506" spans="3:5">
      <c r="C506" s="177" t="s">
        <v>149</v>
      </c>
      <c r="D506" s="177" t="s">
        <v>149</v>
      </c>
      <c r="E506" s="177" t="str">
        <f t="shared" si="20"/>
        <v/>
      </c>
    </row>
    <row r="507" spans="3:5">
      <c r="C507" s="177" t="s">
        <v>149</v>
      </c>
      <c r="D507" s="177" t="s">
        <v>149</v>
      </c>
      <c r="E507" s="177" t="str">
        <f t="shared" si="20"/>
        <v/>
      </c>
    </row>
    <row r="508" spans="3:5">
      <c r="C508" s="177" t="s">
        <v>149</v>
      </c>
      <c r="D508" s="177" t="s">
        <v>149</v>
      </c>
      <c r="E508" s="177" t="str">
        <f t="shared" si="20"/>
        <v/>
      </c>
    </row>
    <row r="509" spans="3:5">
      <c r="C509" s="177" t="s">
        <v>149</v>
      </c>
      <c r="D509" s="177" t="s">
        <v>149</v>
      </c>
      <c r="E509" s="177" t="str">
        <f t="shared" si="20"/>
        <v/>
      </c>
    </row>
    <row r="510" spans="3:5">
      <c r="C510" s="177" t="s">
        <v>149</v>
      </c>
      <c r="D510" s="177" t="s">
        <v>149</v>
      </c>
      <c r="E510" s="177" t="str">
        <f t="shared" si="20"/>
        <v/>
      </c>
    </row>
    <row r="511" spans="3:5">
      <c r="C511" s="177" t="s">
        <v>149</v>
      </c>
      <c r="D511" s="177" t="s">
        <v>149</v>
      </c>
      <c r="E511" s="177" t="str">
        <f t="shared" si="20"/>
        <v/>
      </c>
    </row>
    <row r="512" spans="3:5">
      <c r="C512" s="177" t="s">
        <v>149</v>
      </c>
      <c r="D512" s="177" t="s">
        <v>149</v>
      </c>
      <c r="E512" s="177" t="str">
        <f t="shared" si="20"/>
        <v/>
      </c>
    </row>
    <row r="513" spans="3:5">
      <c r="C513" s="177" t="s">
        <v>149</v>
      </c>
      <c r="D513" s="177" t="s">
        <v>149</v>
      </c>
      <c r="E513" s="177" t="str">
        <f t="shared" si="20"/>
        <v/>
      </c>
    </row>
    <row r="514" spans="3:5">
      <c r="C514" s="177" t="s">
        <v>149</v>
      </c>
      <c r="D514" s="177" t="s">
        <v>149</v>
      </c>
      <c r="E514" s="177" t="str">
        <f t="shared" si="20"/>
        <v/>
      </c>
    </row>
    <row r="515" spans="3:5">
      <c r="C515" s="177" t="s">
        <v>149</v>
      </c>
      <c r="D515" s="177" t="s">
        <v>149</v>
      </c>
      <c r="E515" s="177" t="str">
        <f t="shared" si="20"/>
        <v/>
      </c>
    </row>
    <row r="516" spans="3:5">
      <c r="C516" s="177" t="s">
        <v>149</v>
      </c>
      <c r="D516" s="177" t="s">
        <v>149</v>
      </c>
      <c r="E516" s="177" t="str">
        <f t="shared" ref="E516:E579" si="21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1"/>
        <v/>
      </c>
    </row>
    <row r="518" spans="3:5">
      <c r="C518" s="177" t="s">
        <v>149</v>
      </c>
      <c r="D518" s="177" t="s">
        <v>149</v>
      </c>
      <c r="E518" s="177" t="str">
        <f t="shared" si="21"/>
        <v/>
      </c>
    </row>
    <row r="519" spans="3:5">
      <c r="C519" s="177" t="s">
        <v>149</v>
      </c>
      <c r="D519" s="177" t="s">
        <v>149</v>
      </c>
      <c r="E519" s="177" t="str">
        <f t="shared" si="21"/>
        <v/>
      </c>
    </row>
    <row r="520" spans="3:5">
      <c r="C520" s="177" t="s">
        <v>149</v>
      </c>
      <c r="D520" s="177" t="s">
        <v>149</v>
      </c>
      <c r="E520" s="177" t="str">
        <f t="shared" si="21"/>
        <v/>
      </c>
    </row>
    <row r="521" spans="3:5">
      <c r="C521" s="177" t="s">
        <v>149</v>
      </c>
      <c r="D521" s="177" t="s">
        <v>149</v>
      </c>
      <c r="E521" s="177" t="str">
        <f t="shared" si="21"/>
        <v/>
      </c>
    </row>
    <row r="522" spans="3:5">
      <c r="C522" s="177" t="s">
        <v>149</v>
      </c>
      <c r="D522" s="177" t="s">
        <v>149</v>
      </c>
      <c r="E522" s="177" t="str">
        <f t="shared" si="21"/>
        <v/>
      </c>
    </row>
    <row r="523" spans="3:5">
      <c r="C523" s="177" t="s">
        <v>149</v>
      </c>
      <c r="D523" s="177" t="s">
        <v>149</v>
      </c>
      <c r="E523" s="177" t="str">
        <f t="shared" si="21"/>
        <v/>
      </c>
    </row>
    <row r="524" spans="3:5">
      <c r="C524" s="177" t="s">
        <v>149</v>
      </c>
      <c r="D524" s="177" t="s">
        <v>149</v>
      </c>
      <c r="E524" s="177" t="str">
        <f t="shared" si="21"/>
        <v/>
      </c>
    </row>
    <row r="525" spans="3:5">
      <c r="C525" s="177" t="s">
        <v>149</v>
      </c>
      <c r="D525" s="177" t="s">
        <v>149</v>
      </c>
      <c r="E525" s="177" t="str">
        <f t="shared" si="21"/>
        <v/>
      </c>
    </row>
    <row r="526" spans="3:5">
      <c r="C526" s="177" t="s">
        <v>149</v>
      </c>
      <c r="D526" s="177" t="s">
        <v>149</v>
      </c>
      <c r="E526" s="177" t="str">
        <f t="shared" si="21"/>
        <v/>
      </c>
    </row>
    <row r="527" spans="3:5">
      <c r="C527" s="177" t="s">
        <v>149</v>
      </c>
      <c r="D527" s="177" t="s">
        <v>149</v>
      </c>
      <c r="E527" s="177" t="str">
        <f t="shared" si="21"/>
        <v/>
      </c>
    </row>
    <row r="528" spans="3:5">
      <c r="C528" s="177" t="s">
        <v>149</v>
      </c>
      <c r="D528" s="177" t="s">
        <v>149</v>
      </c>
      <c r="E528" s="177" t="str">
        <f t="shared" si="21"/>
        <v/>
      </c>
    </row>
    <row r="529" spans="3:5">
      <c r="C529" s="177" t="s">
        <v>149</v>
      </c>
      <c r="D529" s="177" t="s">
        <v>149</v>
      </c>
      <c r="E529" s="177" t="str">
        <f t="shared" si="21"/>
        <v/>
      </c>
    </row>
    <row r="530" spans="3:5">
      <c r="C530" s="177" t="s">
        <v>149</v>
      </c>
      <c r="D530" s="177" t="s">
        <v>149</v>
      </c>
      <c r="E530" s="177" t="str">
        <f t="shared" si="21"/>
        <v/>
      </c>
    </row>
    <row r="531" spans="3:5">
      <c r="C531" s="177" t="s">
        <v>149</v>
      </c>
      <c r="D531" s="177" t="s">
        <v>149</v>
      </c>
      <c r="E531" s="177" t="str">
        <f t="shared" si="21"/>
        <v/>
      </c>
    </row>
    <row r="532" spans="3:5">
      <c r="C532" s="177" t="s">
        <v>149</v>
      </c>
      <c r="D532" s="177" t="s">
        <v>149</v>
      </c>
      <c r="E532" s="177" t="str">
        <f t="shared" si="21"/>
        <v/>
      </c>
    </row>
    <row r="533" spans="3:5">
      <c r="C533" s="177" t="s">
        <v>149</v>
      </c>
      <c r="D533" s="177" t="s">
        <v>149</v>
      </c>
      <c r="E533" s="177" t="str">
        <f t="shared" si="21"/>
        <v/>
      </c>
    </row>
    <row r="534" spans="3:5">
      <c r="C534" s="177" t="s">
        <v>149</v>
      </c>
      <c r="D534" s="177" t="s">
        <v>149</v>
      </c>
      <c r="E534" s="177" t="str">
        <f t="shared" si="21"/>
        <v/>
      </c>
    </row>
    <row r="535" spans="3:5">
      <c r="C535" s="177" t="s">
        <v>149</v>
      </c>
      <c r="D535" s="177" t="s">
        <v>149</v>
      </c>
      <c r="E535" s="177" t="str">
        <f t="shared" si="21"/>
        <v/>
      </c>
    </row>
    <row r="536" spans="3:5">
      <c r="C536" s="177" t="s">
        <v>149</v>
      </c>
      <c r="D536" s="177" t="s">
        <v>149</v>
      </c>
      <c r="E536" s="177" t="str">
        <f t="shared" si="21"/>
        <v/>
      </c>
    </row>
    <row r="537" spans="3:5">
      <c r="C537" s="177" t="s">
        <v>149</v>
      </c>
      <c r="D537" s="177" t="s">
        <v>149</v>
      </c>
      <c r="E537" s="177" t="str">
        <f t="shared" si="21"/>
        <v/>
      </c>
    </row>
    <row r="538" spans="3:5">
      <c r="C538" s="177" t="s">
        <v>149</v>
      </c>
      <c r="D538" s="177" t="s">
        <v>149</v>
      </c>
      <c r="E538" s="177" t="str">
        <f t="shared" si="21"/>
        <v/>
      </c>
    </row>
    <row r="539" spans="3:5">
      <c r="C539" s="177" t="s">
        <v>149</v>
      </c>
      <c r="D539" s="177" t="s">
        <v>149</v>
      </c>
      <c r="E539" s="177" t="str">
        <f t="shared" si="21"/>
        <v/>
      </c>
    </row>
    <row r="540" spans="3:5">
      <c r="C540" s="177" t="s">
        <v>149</v>
      </c>
      <c r="D540" s="177" t="s">
        <v>149</v>
      </c>
      <c r="E540" s="177" t="str">
        <f t="shared" si="21"/>
        <v/>
      </c>
    </row>
    <row r="541" spans="3:5">
      <c r="C541" s="177" t="s">
        <v>149</v>
      </c>
      <c r="D541" s="177" t="s">
        <v>149</v>
      </c>
      <c r="E541" s="177" t="str">
        <f t="shared" si="21"/>
        <v/>
      </c>
    </row>
    <row r="542" spans="3:5">
      <c r="C542" s="177" t="s">
        <v>149</v>
      </c>
      <c r="D542" s="177" t="s">
        <v>149</v>
      </c>
      <c r="E542" s="177" t="str">
        <f t="shared" si="21"/>
        <v/>
      </c>
    </row>
    <row r="543" spans="3:5">
      <c r="C543" s="177" t="s">
        <v>149</v>
      </c>
      <c r="D543" s="177" t="s">
        <v>149</v>
      </c>
      <c r="E543" s="177" t="str">
        <f t="shared" si="21"/>
        <v/>
      </c>
    </row>
    <row r="544" spans="3:5">
      <c r="C544" s="177" t="s">
        <v>149</v>
      </c>
      <c r="D544" s="177" t="s">
        <v>149</v>
      </c>
      <c r="E544" s="177" t="str">
        <f t="shared" si="21"/>
        <v/>
      </c>
    </row>
    <row r="545" spans="3:5">
      <c r="C545" s="177" t="s">
        <v>149</v>
      </c>
      <c r="D545" s="177" t="s">
        <v>149</v>
      </c>
      <c r="E545" s="177" t="str">
        <f t="shared" si="21"/>
        <v/>
      </c>
    </row>
    <row r="546" spans="3:5">
      <c r="C546" s="177" t="s">
        <v>149</v>
      </c>
      <c r="D546" s="177" t="s">
        <v>149</v>
      </c>
      <c r="E546" s="177" t="str">
        <f t="shared" si="21"/>
        <v/>
      </c>
    </row>
    <row r="547" spans="3:5">
      <c r="C547" s="177" t="s">
        <v>149</v>
      </c>
      <c r="D547" s="177" t="s">
        <v>149</v>
      </c>
      <c r="E547" s="177" t="str">
        <f t="shared" si="21"/>
        <v/>
      </c>
    </row>
    <row r="548" spans="3:5">
      <c r="C548" s="177" t="s">
        <v>149</v>
      </c>
      <c r="D548" s="177" t="s">
        <v>149</v>
      </c>
      <c r="E548" s="177" t="str">
        <f t="shared" si="21"/>
        <v/>
      </c>
    </row>
    <row r="549" spans="3:5">
      <c r="C549" s="177" t="s">
        <v>149</v>
      </c>
      <c r="D549" s="177" t="s">
        <v>149</v>
      </c>
      <c r="E549" s="177" t="str">
        <f t="shared" si="21"/>
        <v/>
      </c>
    </row>
    <row r="550" spans="3:5">
      <c r="C550" s="177" t="s">
        <v>149</v>
      </c>
      <c r="D550" s="177" t="s">
        <v>149</v>
      </c>
      <c r="E550" s="177" t="str">
        <f t="shared" si="21"/>
        <v/>
      </c>
    </row>
    <row r="551" spans="3:5">
      <c r="C551" s="177" t="s">
        <v>149</v>
      </c>
      <c r="D551" s="177" t="s">
        <v>149</v>
      </c>
      <c r="E551" s="177" t="str">
        <f t="shared" si="21"/>
        <v/>
      </c>
    </row>
    <row r="552" spans="3:5">
      <c r="C552" s="177" t="s">
        <v>149</v>
      </c>
      <c r="D552" s="177" t="s">
        <v>149</v>
      </c>
      <c r="E552" s="177" t="str">
        <f t="shared" si="21"/>
        <v/>
      </c>
    </row>
    <row r="553" spans="3:5">
      <c r="C553" s="177" t="s">
        <v>149</v>
      </c>
      <c r="D553" s="177" t="s">
        <v>149</v>
      </c>
      <c r="E553" s="177" t="str">
        <f t="shared" si="21"/>
        <v/>
      </c>
    </row>
    <row r="554" spans="3:5">
      <c r="C554" s="177" t="s">
        <v>149</v>
      </c>
      <c r="D554" s="177" t="s">
        <v>149</v>
      </c>
      <c r="E554" s="177" t="str">
        <f t="shared" si="21"/>
        <v/>
      </c>
    </row>
    <row r="555" spans="3:5">
      <c r="C555" s="177" t="s">
        <v>149</v>
      </c>
      <c r="D555" s="177" t="s">
        <v>149</v>
      </c>
      <c r="E555" s="177" t="str">
        <f t="shared" si="21"/>
        <v/>
      </c>
    </row>
    <row r="556" spans="3:5">
      <c r="C556" s="177" t="s">
        <v>149</v>
      </c>
      <c r="D556" s="177" t="s">
        <v>149</v>
      </c>
      <c r="E556" s="177" t="str">
        <f t="shared" si="21"/>
        <v/>
      </c>
    </row>
    <row r="557" spans="3:5">
      <c r="C557" s="177" t="s">
        <v>149</v>
      </c>
      <c r="D557" s="177" t="s">
        <v>149</v>
      </c>
      <c r="E557" s="177" t="str">
        <f t="shared" si="21"/>
        <v/>
      </c>
    </row>
    <row r="558" spans="3:5">
      <c r="C558" s="177" t="s">
        <v>149</v>
      </c>
      <c r="D558" s="177" t="s">
        <v>149</v>
      </c>
      <c r="E558" s="177" t="str">
        <f t="shared" si="21"/>
        <v/>
      </c>
    </row>
    <row r="559" spans="3:5">
      <c r="C559" s="177" t="s">
        <v>149</v>
      </c>
      <c r="D559" s="177" t="s">
        <v>149</v>
      </c>
      <c r="E559" s="177" t="str">
        <f t="shared" si="21"/>
        <v/>
      </c>
    </row>
    <row r="560" spans="3:5">
      <c r="C560" s="177" t="s">
        <v>149</v>
      </c>
      <c r="D560" s="177" t="s">
        <v>149</v>
      </c>
      <c r="E560" s="177" t="str">
        <f t="shared" si="21"/>
        <v/>
      </c>
    </row>
    <row r="561" spans="3:5">
      <c r="C561" s="177" t="s">
        <v>149</v>
      </c>
      <c r="D561" s="177" t="s">
        <v>149</v>
      </c>
      <c r="E561" s="177" t="str">
        <f t="shared" si="21"/>
        <v/>
      </c>
    </row>
    <row r="562" spans="3:5">
      <c r="C562" s="177" t="s">
        <v>149</v>
      </c>
      <c r="D562" s="177" t="s">
        <v>149</v>
      </c>
      <c r="E562" s="177" t="str">
        <f t="shared" si="21"/>
        <v/>
      </c>
    </row>
    <row r="563" spans="3:5">
      <c r="C563" s="177" t="s">
        <v>149</v>
      </c>
      <c r="D563" s="177" t="s">
        <v>149</v>
      </c>
      <c r="E563" s="177" t="str">
        <f t="shared" si="21"/>
        <v/>
      </c>
    </row>
    <row r="564" spans="3:5">
      <c r="C564" s="177" t="s">
        <v>149</v>
      </c>
      <c r="D564" s="177" t="s">
        <v>149</v>
      </c>
      <c r="E564" s="177" t="str">
        <f t="shared" si="21"/>
        <v/>
      </c>
    </row>
    <row r="565" spans="3:5">
      <c r="C565" s="177" t="s">
        <v>149</v>
      </c>
      <c r="D565" s="177" t="s">
        <v>149</v>
      </c>
      <c r="E565" s="177" t="str">
        <f t="shared" si="21"/>
        <v/>
      </c>
    </row>
    <row r="566" spans="3:5">
      <c r="C566" s="177" t="s">
        <v>149</v>
      </c>
      <c r="D566" s="177" t="s">
        <v>149</v>
      </c>
      <c r="E566" s="177" t="str">
        <f t="shared" si="21"/>
        <v/>
      </c>
    </row>
    <row r="567" spans="3:5">
      <c r="C567" s="177" t="s">
        <v>149</v>
      </c>
      <c r="D567" s="177" t="s">
        <v>149</v>
      </c>
      <c r="E567" s="177" t="str">
        <f t="shared" si="21"/>
        <v/>
      </c>
    </row>
    <row r="568" spans="3:5">
      <c r="C568" s="177" t="s">
        <v>149</v>
      </c>
      <c r="D568" s="177" t="s">
        <v>149</v>
      </c>
      <c r="E568" s="177" t="str">
        <f t="shared" si="21"/>
        <v/>
      </c>
    </row>
    <row r="569" spans="3:5">
      <c r="C569" s="177" t="s">
        <v>149</v>
      </c>
      <c r="D569" s="177" t="s">
        <v>149</v>
      </c>
      <c r="E569" s="177" t="str">
        <f t="shared" si="21"/>
        <v/>
      </c>
    </row>
    <row r="570" spans="3:5">
      <c r="C570" s="177" t="s">
        <v>149</v>
      </c>
      <c r="D570" s="177" t="s">
        <v>149</v>
      </c>
      <c r="E570" s="177" t="str">
        <f t="shared" si="21"/>
        <v/>
      </c>
    </row>
    <row r="571" spans="3:5">
      <c r="C571" s="177" t="s">
        <v>149</v>
      </c>
      <c r="D571" s="177" t="s">
        <v>149</v>
      </c>
      <c r="E571" s="177" t="str">
        <f t="shared" si="21"/>
        <v/>
      </c>
    </row>
    <row r="572" spans="3:5">
      <c r="C572" s="177" t="s">
        <v>149</v>
      </c>
      <c r="D572" s="177" t="s">
        <v>149</v>
      </c>
      <c r="E572" s="177" t="str">
        <f t="shared" si="21"/>
        <v/>
      </c>
    </row>
    <row r="573" spans="3:5">
      <c r="C573" s="177" t="s">
        <v>149</v>
      </c>
      <c r="D573" s="177" t="s">
        <v>149</v>
      </c>
      <c r="E573" s="177" t="str">
        <f t="shared" si="21"/>
        <v/>
      </c>
    </row>
    <row r="574" spans="3:5">
      <c r="C574" s="177" t="s">
        <v>149</v>
      </c>
      <c r="D574" s="177" t="s">
        <v>149</v>
      </c>
      <c r="E574" s="177" t="str">
        <f t="shared" si="21"/>
        <v/>
      </c>
    </row>
    <row r="575" spans="3:5">
      <c r="C575" s="177" t="s">
        <v>149</v>
      </c>
      <c r="D575" s="177" t="s">
        <v>149</v>
      </c>
      <c r="E575" s="177" t="str">
        <f t="shared" si="21"/>
        <v/>
      </c>
    </row>
    <row r="576" spans="3:5">
      <c r="C576" s="177" t="s">
        <v>149</v>
      </c>
      <c r="D576" s="177" t="s">
        <v>149</v>
      </c>
      <c r="E576" s="177" t="str">
        <f t="shared" si="21"/>
        <v/>
      </c>
    </row>
    <row r="577" spans="3:5">
      <c r="C577" s="177" t="s">
        <v>149</v>
      </c>
      <c r="D577" s="177" t="s">
        <v>149</v>
      </c>
      <c r="E577" s="177" t="str">
        <f t="shared" si="21"/>
        <v/>
      </c>
    </row>
    <row r="578" spans="3:5">
      <c r="C578" s="177" t="s">
        <v>149</v>
      </c>
      <c r="D578" s="177" t="s">
        <v>149</v>
      </c>
      <c r="E578" s="177" t="str">
        <f t="shared" si="21"/>
        <v/>
      </c>
    </row>
    <row r="579" spans="3:5">
      <c r="C579" s="177" t="s">
        <v>149</v>
      </c>
      <c r="D579" s="177" t="s">
        <v>149</v>
      </c>
      <c r="E579" s="177" t="str">
        <f t="shared" si="21"/>
        <v/>
      </c>
    </row>
    <row r="580" spans="3:5">
      <c r="C580" s="177" t="s">
        <v>149</v>
      </c>
      <c r="D580" s="177" t="s">
        <v>149</v>
      </c>
      <c r="E580" s="177" t="str">
        <f t="shared" ref="E580:E643" si="22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2"/>
        <v/>
      </c>
    </row>
    <row r="582" spans="3:5">
      <c r="C582" s="177" t="s">
        <v>149</v>
      </c>
      <c r="D582" s="177" t="s">
        <v>149</v>
      </c>
      <c r="E582" s="177" t="str">
        <f t="shared" si="22"/>
        <v/>
      </c>
    </row>
    <row r="583" spans="3:5">
      <c r="C583" s="177" t="s">
        <v>149</v>
      </c>
      <c r="D583" s="177" t="s">
        <v>149</v>
      </c>
      <c r="E583" s="177" t="str">
        <f t="shared" si="22"/>
        <v/>
      </c>
    </row>
    <row r="584" spans="3:5">
      <c r="C584" s="177" t="s">
        <v>149</v>
      </c>
      <c r="D584" s="177" t="s">
        <v>149</v>
      </c>
      <c r="E584" s="177" t="str">
        <f t="shared" si="22"/>
        <v/>
      </c>
    </row>
    <row r="585" spans="3:5">
      <c r="C585" s="177" t="s">
        <v>149</v>
      </c>
      <c r="D585" s="177" t="s">
        <v>149</v>
      </c>
      <c r="E585" s="177" t="str">
        <f t="shared" si="22"/>
        <v/>
      </c>
    </row>
    <row r="586" spans="3:5">
      <c r="C586" s="177" t="s">
        <v>149</v>
      </c>
      <c r="D586" s="177" t="s">
        <v>149</v>
      </c>
      <c r="E586" s="177" t="str">
        <f t="shared" si="22"/>
        <v/>
      </c>
    </row>
    <row r="587" spans="3:5">
      <c r="C587" s="177" t="s">
        <v>149</v>
      </c>
      <c r="D587" s="177" t="s">
        <v>149</v>
      </c>
      <c r="E587" s="177" t="str">
        <f t="shared" si="22"/>
        <v/>
      </c>
    </row>
    <row r="588" spans="3:5">
      <c r="C588" s="177" t="s">
        <v>149</v>
      </c>
      <c r="D588" s="177" t="s">
        <v>149</v>
      </c>
      <c r="E588" s="177" t="str">
        <f t="shared" si="22"/>
        <v/>
      </c>
    </row>
    <row r="589" spans="3:5">
      <c r="C589" s="177" t="s">
        <v>149</v>
      </c>
      <c r="D589" s="177" t="s">
        <v>149</v>
      </c>
      <c r="E589" s="177" t="str">
        <f t="shared" si="22"/>
        <v/>
      </c>
    </row>
    <row r="590" spans="3:5">
      <c r="C590" s="177" t="s">
        <v>149</v>
      </c>
      <c r="D590" s="177" t="s">
        <v>149</v>
      </c>
      <c r="E590" s="177" t="str">
        <f t="shared" si="22"/>
        <v/>
      </c>
    </row>
    <row r="591" spans="3:5">
      <c r="C591" s="177" t="s">
        <v>149</v>
      </c>
      <c r="D591" s="177" t="s">
        <v>149</v>
      </c>
      <c r="E591" s="177" t="str">
        <f t="shared" si="22"/>
        <v/>
      </c>
    </row>
    <row r="592" spans="3:5">
      <c r="C592" s="177" t="s">
        <v>149</v>
      </c>
      <c r="D592" s="177" t="s">
        <v>149</v>
      </c>
      <c r="E592" s="177" t="str">
        <f t="shared" si="22"/>
        <v/>
      </c>
    </row>
    <row r="593" spans="3:5">
      <c r="C593" s="177" t="s">
        <v>149</v>
      </c>
      <c r="D593" s="177" t="s">
        <v>149</v>
      </c>
      <c r="E593" s="177" t="str">
        <f t="shared" si="22"/>
        <v/>
      </c>
    </row>
    <row r="594" spans="3:5">
      <c r="C594" s="177" t="s">
        <v>149</v>
      </c>
      <c r="D594" s="177" t="s">
        <v>149</v>
      </c>
      <c r="E594" s="177" t="str">
        <f t="shared" si="22"/>
        <v/>
      </c>
    </row>
    <row r="595" spans="3:5">
      <c r="C595" s="177" t="s">
        <v>149</v>
      </c>
      <c r="D595" s="177" t="s">
        <v>149</v>
      </c>
      <c r="E595" s="177" t="str">
        <f t="shared" si="22"/>
        <v/>
      </c>
    </row>
    <row r="596" spans="3:5">
      <c r="C596" s="177" t="s">
        <v>149</v>
      </c>
      <c r="D596" s="177" t="s">
        <v>149</v>
      </c>
      <c r="E596" s="177" t="str">
        <f t="shared" si="22"/>
        <v/>
      </c>
    </row>
    <row r="597" spans="3:5">
      <c r="C597" s="177" t="s">
        <v>149</v>
      </c>
      <c r="D597" s="177" t="s">
        <v>149</v>
      </c>
      <c r="E597" s="177" t="str">
        <f t="shared" si="22"/>
        <v/>
      </c>
    </row>
    <row r="598" spans="3:5">
      <c r="C598" s="177" t="s">
        <v>149</v>
      </c>
      <c r="D598" s="177" t="s">
        <v>149</v>
      </c>
      <c r="E598" s="177" t="str">
        <f t="shared" si="22"/>
        <v/>
      </c>
    </row>
    <row r="599" spans="3:5">
      <c r="C599" s="177" t="s">
        <v>149</v>
      </c>
      <c r="D599" s="177" t="s">
        <v>149</v>
      </c>
      <c r="E599" s="177" t="str">
        <f t="shared" si="22"/>
        <v/>
      </c>
    </row>
    <row r="600" spans="3:5">
      <c r="C600" s="177" t="s">
        <v>149</v>
      </c>
      <c r="D600" s="177" t="s">
        <v>149</v>
      </c>
      <c r="E600" s="177" t="str">
        <f t="shared" si="22"/>
        <v/>
      </c>
    </row>
    <row r="601" spans="3:5">
      <c r="C601" s="177" t="s">
        <v>149</v>
      </c>
      <c r="D601" s="177" t="s">
        <v>149</v>
      </c>
      <c r="E601" s="177" t="str">
        <f t="shared" si="22"/>
        <v/>
      </c>
    </row>
    <row r="602" spans="3:5">
      <c r="C602" s="177" t="s">
        <v>149</v>
      </c>
      <c r="D602" s="177" t="s">
        <v>149</v>
      </c>
      <c r="E602" s="177" t="str">
        <f t="shared" si="22"/>
        <v/>
      </c>
    </row>
    <row r="603" spans="3:5">
      <c r="C603" s="177" t="s">
        <v>149</v>
      </c>
      <c r="D603" s="177" t="s">
        <v>149</v>
      </c>
      <c r="E603" s="177" t="str">
        <f t="shared" si="22"/>
        <v/>
      </c>
    </row>
    <row r="604" spans="3:5">
      <c r="C604" s="177" t="s">
        <v>149</v>
      </c>
      <c r="D604" s="177" t="s">
        <v>149</v>
      </c>
      <c r="E604" s="177" t="str">
        <f t="shared" si="22"/>
        <v/>
      </c>
    </row>
    <row r="605" spans="3:5">
      <c r="C605" s="177" t="s">
        <v>149</v>
      </c>
      <c r="D605" s="177" t="s">
        <v>149</v>
      </c>
      <c r="E605" s="177" t="str">
        <f t="shared" si="22"/>
        <v/>
      </c>
    </row>
    <row r="606" spans="3:5">
      <c r="C606" s="177" t="s">
        <v>149</v>
      </c>
      <c r="D606" s="177" t="s">
        <v>149</v>
      </c>
      <c r="E606" s="177" t="str">
        <f t="shared" si="22"/>
        <v/>
      </c>
    </row>
    <row r="607" spans="3:5">
      <c r="C607" s="177" t="s">
        <v>149</v>
      </c>
      <c r="D607" s="177" t="s">
        <v>149</v>
      </c>
      <c r="E607" s="177" t="str">
        <f t="shared" si="22"/>
        <v/>
      </c>
    </row>
    <row r="608" spans="3:5">
      <c r="C608" s="177" t="s">
        <v>149</v>
      </c>
      <c r="D608" s="177" t="s">
        <v>149</v>
      </c>
      <c r="E608" s="177" t="str">
        <f t="shared" si="22"/>
        <v/>
      </c>
    </row>
    <row r="609" spans="3:5">
      <c r="C609" s="177" t="s">
        <v>149</v>
      </c>
      <c r="D609" s="177" t="s">
        <v>149</v>
      </c>
      <c r="E609" s="177" t="str">
        <f t="shared" si="22"/>
        <v/>
      </c>
    </row>
    <row r="610" spans="3:5">
      <c r="C610" s="177" t="s">
        <v>149</v>
      </c>
      <c r="D610" s="177" t="s">
        <v>149</v>
      </c>
      <c r="E610" s="177" t="str">
        <f t="shared" si="22"/>
        <v/>
      </c>
    </row>
    <row r="611" spans="3:5">
      <c r="C611" s="177" t="s">
        <v>149</v>
      </c>
      <c r="D611" s="177" t="s">
        <v>149</v>
      </c>
      <c r="E611" s="177" t="str">
        <f t="shared" si="22"/>
        <v/>
      </c>
    </row>
    <row r="612" spans="3:5">
      <c r="C612" s="177" t="s">
        <v>149</v>
      </c>
      <c r="D612" s="177" t="s">
        <v>149</v>
      </c>
      <c r="E612" s="177" t="str">
        <f t="shared" si="22"/>
        <v/>
      </c>
    </row>
    <row r="613" spans="3:5">
      <c r="C613" s="177" t="s">
        <v>149</v>
      </c>
      <c r="D613" s="177" t="s">
        <v>149</v>
      </c>
      <c r="E613" s="177" t="str">
        <f t="shared" si="22"/>
        <v/>
      </c>
    </row>
    <row r="614" spans="3:5">
      <c r="C614" s="177" t="s">
        <v>149</v>
      </c>
      <c r="D614" s="177" t="s">
        <v>149</v>
      </c>
      <c r="E614" s="177" t="str">
        <f t="shared" si="22"/>
        <v/>
      </c>
    </row>
    <row r="615" spans="3:5">
      <c r="C615" s="177" t="s">
        <v>149</v>
      </c>
      <c r="D615" s="177" t="s">
        <v>149</v>
      </c>
      <c r="E615" s="177" t="str">
        <f t="shared" si="22"/>
        <v/>
      </c>
    </row>
    <row r="616" spans="3:5">
      <c r="C616" s="177" t="s">
        <v>149</v>
      </c>
      <c r="D616" s="177" t="s">
        <v>149</v>
      </c>
      <c r="E616" s="177" t="str">
        <f t="shared" si="22"/>
        <v/>
      </c>
    </row>
    <row r="617" spans="3:5">
      <c r="C617" s="177" t="s">
        <v>149</v>
      </c>
      <c r="D617" s="177" t="s">
        <v>149</v>
      </c>
      <c r="E617" s="177" t="str">
        <f t="shared" si="22"/>
        <v/>
      </c>
    </row>
    <row r="618" spans="3:5">
      <c r="C618" s="177" t="s">
        <v>149</v>
      </c>
      <c r="D618" s="177" t="s">
        <v>149</v>
      </c>
      <c r="E618" s="177" t="str">
        <f t="shared" si="22"/>
        <v/>
      </c>
    </row>
    <row r="619" spans="3:5">
      <c r="C619" s="177" t="s">
        <v>149</v>
      </c>
      <c r="D619" s="177" t="s">
        <v>149</v>
      </c>
      <c r="E619" s="177" t="str">
        <f t="shared" si="22"/>
        <v/>
      </c>
    </row>
    <row r="620" spans="3:5">
      <c r="C620" s="177" t="s">
        <v>149</v>
      </c>
      <c r="D620" s="177" t="s">
        <v>149</v>
      </c>
      <c r="E620" s="177" t="str">
        <f t="shared" si="22"/>
        <v/>
      </c>
    </row>
    <row r="621" spans="3:5">
      <c r="C621" s="177" t="s">
        <v>149</v>
      </c>
      <c r="D621" s="177" t="s">
        <v>149</v>
      </c>
      <c r="E621" s="177" t="str">
        <f t="shared" si="22"/>
        <v/>
      </c>
    </row>
    <row r="622" spans="3:5">
      <c r="C622" s="177" t="s">
        <v>149</v>
      </c>
      <c r="D622" s="177" t="s">
        <v>149</v>
      </c>
      <c r="E622" s="177" t="str">
        <f t="shared" si="22"/>
        <v/>
      </c>
    </row>
    <row r="623" spans="3:5">
      <c r="C623" s="177" t="s">
        <v>149</v>
      </c>
      <c r="D623" s="177" t="s">
        <v>149</v>
      </c>
      <c r="E623" s="177" t="str">
        <f t="shared" si="22"/>
        <v/>
      </c>
    </row>
    <row r="624" spans="3:5">
      <c r="C624" s="177" t="s">
        <v>149</v>
      </c>
      <c r="D624" s="177" t="s">
        <v>149</v>
      </c>
      <c r="E624" s="177" t="str">
        <f t="shared" si="22"/>
        <v/>
      </c>
    </row>
    <row r="625" spans="3:5">
      <c r="C625" s="177" t="s">
        <v>149</v>
      </c>
      <c r="D625" s="177" t="s">
        <v>149</v>
      </c>
      <c r="E625" s="177" t="str">
        <f t="shared" si="22"/>
        <v/>
      </c>
    </row>
    <row r="626" spans="3:5">
      <c r="C626" s="177" t="s">
        <v>149</v>
      </c>
      <c r="D626" s="177" t="s">
        <v>149</v>
      </c>
      <c r="E626" s="177" t="str">
        <f t="shared" si="22"/>
        <v/>
      </c>
    </row>
    <row r="627" spans="3:5">
      <c r="C627" s="177" t="s">
        <v>149</v>
      </c>
      <c r="D627" s="177" t="s">
        <v>149</v>
      </c>
      <c r="E627" s="177" t="str">
        <f t="shared" si="22"/>
        <v/>
      </c>
    </row>
    <row r="628" spans="3:5">
      <c r="C628" s="177" t="s">
        <v>149</v>
      </c>
      <c r="D628" s="177" t="s">
        <v>149</v>
      </c>
      <c r="E628" s="177" t="str">
        <f t="shared" si="22"/>
        <v/>
      </c>
    </row>
    <row r="629" spans="3:5">
      <c r="C629" s="177" t="s">
        <v>149</v>
      </c>
      <c r="D629" s="177" t="s">
        <v>149</v>
      </c>
      <c r="E629" s="177" t="str">
        <f t="shared" si="22"/>
        <v/>
      </c>
    </row>
    <row r="630" spans="3:5">
      <c r="C630" s="177" t="s">
        <v>149</v>
      </c>
      <c r="D630" s="177" t="s">
        <v>149</v>
      </c>
      <c r="E630" s="177" t="str">
        <f t="shared" si="22"/>
        <v/>
      </c>
    </row>
    <row r="631" spans="3:5">
      <c r="C631" s="177" t="s">
        <v>149</v>
      </c>
      <c r="D631" s="177" t="s">
        <v>149</v>
      </c>
      <c r="E631" s="177" t="str">
        <f t="shared" si="22"/>
        <v/>
      </c>
    </row>
    <row r="632" spans="3:5">
      <c r="C632" s="177" t="s">
        <v>149</v>
      </c>
      <c r="D632" s="177" t="s">
        <v>149</v>
      </c>
      <c r="E632" s="177" t="str">
        <f t="shared" si="22"/>
        <v/>
      </c>
    </row>
    <row r="633" spans="3:5">
      <c r="C633" s="177" t="s">
        <v>149</v>
      </c>
      <c r="D633" s="177" t="s">
        <v>149</v>
      </c>
      <c r="E633" s="177" t="str">
        <f t="shared" si="22"/>
        <v/>
      </c>
    </row>
    <row r="634" spans="3:5">
      <c r="C634" s="177" t="s">
        <v>149</v>
      </c>
      <c r="D634" s="177" t="s">
        <v>149</v>
      </c>
      <c r="E634" s="177" t="str">
        <f t="shared" si="22"/>
        <v/>
      </c>
    </row>
    <row r="635" spans="3:5">
      <c r="C635" s="177" t="s">
        <v>149</v>
      </c>
      <c r="D635" s="177" t="s">
        <v>149</v>
      </c>
      <c r="E635" s="177" t="str">
        <f t="shared" si="22"/>
        <v/>
      </c>
    </row>
    <row r="636" spans="3:5">
      <c r="C636" s="177" t="s">
        <v>149</v>
      </c>
      <c r="D636" s="177" t="s">
        <v>149</v>
      </c>
      <c r="E636" s="177" t="str">
        <f t="shared" si="22"/>
        <v/>
      </c>
    </row>
    <row r="637" spans="3:5">
      <c r="C637" s="177" t="s">
        <v>149</v>
      </c>
      <c r="D637" s="177" t="s">
        <v>149</v>
      </c>
      <c r="E637" s="177" t="str">
        <f t="shared" si="22"/>
        <v/>
      </c>
    </row>
    <row r="638" spans="3:5">
      <c r="C638" s="177" t="s">
        <v>149</v>
      </c>
      <c r="D638" s="177" t="s">
        <v>149</v>
      </c>
      <c r="E638" s="177" t="str">
        <f t="shared" si="22"/>
        <v/>
      </c>
    </row>
    <row r="639" spans="3:5">
      <c r="C639" s="177" t="s">
        <v>149</v>
      </c>
      <c r="D639" s="177" t="s">
        <v>149</v>
      </c>
      <c r="E639" s="177" t="str">
        <f t="shared" si="22"/>
        <v/>
      </c>
    </row>
    <row r="640" spans="3:5">
      <c r="C640" s="177" t="s">
        <v>149</v>
      </c>
      <c r="D640" s="177" t="s">
        <v>149</v>
      </c>
      <c r="E640" s="177" t="str">
        <f t="shared" si="22"/>
        <v/>
      </c>
    </row>
    <row r="641" spans="3:5">
      <c r="C641" s="177" t="s">
        <v>149</v>
      </c>
      <c r="D641" s="177" t="s">
        <v>149</v>
      </c>
      <c r="E641" s="177" t="str">
        <f t="shared" si="22"/>
        <v/>
      </c>
    </row>
    <row r="642" spans="3:5">
      <c r="C642" s="177" t="s">
        <v>149</v>
      </c>
      <c r="D642" s="177" t="s">
        <v>149</v>
      </c>
      <c r="E642" s="177" t="str">
        <f t="shared" si="22"/>
        <v/>
      </c>
    </row>
    <row r="643" spans="3:5">
      <c r="C643" s="177" t="s">
        <v>149</v>
      </c>
      <c r="D643" s="177" t="s">
        <v>149</v>
      </c>
      <c r="E643" s="177" t="str">
        <f t="shared" si="22"/>
        <v/>
      </c>
    </row>
    <row r="644" spans="3:5">
      <c r="C644" s="177" t="s">
        <v>149</v>
      </c>
      <c r="D644" s="177" t="s">
        <v>149</v>
      </c>
      <c r="E644" s="177" t="str">
        <f t="shared" ref="E644:E707" si="23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3"/>
        <v/>
      </c>
    </row>
    <row r="646" spans="3:5">
      <c r="C646" s="177" t="s">
        <v>149</v>
      </c>
      <c r="D646" s="177" t="s">
        <v>149</v>
      </c>
      <c r="E646" s="177" t="str">
        <f t="shared" si="23"/>
        <v/>
      </c>
    </row>
    <row r="647" spans="3:5">
      <c r="C647" s="177" t="s">
        <v>149</v>
      </c>
      <c r="D647" s="177" t="s">
        <v>149</v>
      </c>
      <c r="E647" s="177" t="str">
        <f t="shared" si="23"/>
        <v/>
      </c>
    </row>
    <row r="648" spans="3:5">
      <c r="C648" s="177" t="s">
        <v>149</v>
      </c>
      <c r="D648" s="177" t="s">
        <v>149</v>
      </c>
      <c r="E648" s="177" t="str">
        <f t="shared" si="23"/>
        <v/>
      </c>
    </row>
    <row r="649" spans="3:5">
      <c r="C649" s="177" t="s">
        <v>149</v>
      </c>
      <c r="D649" s="177" t="s">
        <v>149</v>
      </c>
      <c r="E649" s="177" t="str">
        <f t="shared" si="23"/>
        <v/>
      </c>
    </row>
    <row r="650" spans="3:5">
      <c r="C650" s="177" t="s">
        <v>149</v>
      </c>
      <c r="D650" s="177" t="s">
        <v>149</v>
      </c>
      <c r="E650" s="177" t="str">
        <f t="shared" si="23"/>
        <v/>
      </c>
    </row>
    <row r="651" spans="3:5">
      <c r="C651" s="177" t="s">
        <v>149</v>
      </c>
      <c r="D651" s="177" t="s">
        <v>149</v>
      </c>
      <c r="E651" s="177" t="str">
        <f t="shared" si="23"/>
        <v/>
      </c>
    </row>
    <row r="652" spans="3:5">
      <c r="C652" s="177" t="s">
        <v>149</v>
      </c>
      <c r="D652" s="177" t="s">
        <v>149</v>
      </c>
      <c r="E652" s="177" t="str">
        <f t="shared" si="23"/>
        <v/>
      </c>
    </row>
    <row r="653" spans="3:5">
      <c r="C653" s="177" t="s">
        <v>149</v>
      </c>
      <c r="D653" s="177" t="s">
        <v>149</v>
      </c>
      <c r="E653" s="177" t="str">
        <f t="shared" si="23"/>
        <v/>
      </c>
    </row>
    <row r="654" spans="3:5">
      <c r="C654" s="177" t="s">
        <v>149</v>
      </c>
      <c r="D654" s="177" t="s">
        <v>149</v>
      </c>
      <c r="E654" s="177" t="str">
        <f t="shared" si="23"/>
        <v/>
      </c>
    </row>
    <row r="655" spans="3:5">
      <c r="C655" s="177" t="s">
        <v>149</v>
      </c>
      <c r="D655" s="177" t="s">
        <v>149</v>
      </c>
      <c r="E655" s="177" t="str">
        <f t="shared" si="23"/>
        <v/>
      </c>
    </row>
    <row r="656" spans="3:5">
      <c r="C656" s="177" t="s">
        <v>149</v>
      </c>
      <c r="D656" s="177" t="s">
        <v>149</v>
      </c>
      <c r="E656" s="177" t="str">
        <f t="shared" si="23"/>
        <v/>
      </c>
    </row>
    <row r="657" spans="3:5">
      <c r="C657" s="177" t="s">
        <v>149</v>
      </c>
      <c r="D657" s="177" t="s">
        <v>149</v>
      </c>
      <c r="E657" s="177" t="str">
        <f t="shared" si="23"/>
        <v/>
      </c>
    </row>
    <row r="658" spans="3:5">
      <c r="C658" s="177" t="s">
        <v>149</v>
      </c>
      <c r="D658" s="177" t="s">
        <v>149</v>
      </c>
      <c r="E658" s="177" t="str">
        <f t="shared" si="23"/>
        <v/>
      </c>
    </row>
    <row r="659" spans="3:5">
      <c r="C659" s="177" t="s">
        <v>149</v>
      </c>
      <c r="D659" s="177" t="s">
        <v>149</v>
      </c>
      <c r="E659" s="177" t="str">
        <f t="shared" si="23"/>
        <v/>
      </c>
    </row>
    <row r="660" spans="3:5">
      <c r="C660" s="177" t="s">
        <v>149</v>
      </c>
      <c r="D660" s="177" t="s">
        <v>149</v>
      </c>
      <c r="E660" s="177" t="str">
        <f t="shared" si="23"/>
        <v/>
      </c>
    </row>
    <row r="661" spans="3:5">
      <c r="C661" s="177" t="s">
        <v>149</v>
      </c>
      <c r="D661" s="177" t="s">
        <v>149</v>
      </c>
      <c r="E661" s="177" t="str">
        <f t="shared" si="23"/>
        <v/>
      </c>
    </row>
    <row r="662" spans="3:5">
      <c r="C662" s="177" t="s">
        <v>149</v>
      </c>
      <c r="D662" s="177" t="s">
        <v>149</v>
      </c>
      <c r="E662" s="177" t="str">
        <f t="shared" si="23"/>
        <v/>
      </c>
    </row>
    <row r="663" spans="3:5">
      <c r="C663" s="177" t="s">
        <v>149</v>
      </c>
      <c r="D663" s="177" t="s">
        <v>149</v>
      </c>
      <c r="E663" s="177" t="str">
        <f t="shared" si="23"/>
        <v/>
      </c>
    </row>
    <row r="664" spans="3:5">
      <c r="C664" s="177" t="s">
        <v>149</v>
      </c>
      <c r="D664" s="177" t="s">
        <v>149</v>
      </c>
      <c r="E664" s="177" t="str">
        <f t="shared" si="23"/>
        <v/>
      </c>
    </row>
    <row r="665" spans="3:5">
      <c r="C665" s="177" t="s">
        <v>149</v>
      </c>
      <c r="D665" s="177" t="s">
        <v>149</v>
      </c>
      <c r="E665" s="177" t="str">
        <f t="shared" si="23"/>
        <v/>
      </c>
    </row>
    <row r="666" spans="3:5">
      <c r="C666" s="177" t="s">
        <v>149</v>
      </c>
      <c r="D666" s="177" t="s">
        <v>149</v>
      </c>
      <c r="E666" s="177" t="str">
        <f t="shared" si="23"/>
        <v/>
      </c>
    </row>
    <row r="667" spans="3:5">
      <c r="C667" s="177" t="s">
        <v>149</v>
      </c>
      <c r="D667" s="177" t="s">
        <v>149</v>
      </c>
      <c r="E667" s="177" t="str">
        <f t="shared" si="23"/>
        <v/>
      </c>
    </row>
    <row r="668" spans="3:5">
      <c r="C668" s="177" t="s">
        <v>149</v>
      </c>
      <c r="D668" s="177" t="s">
        <v>149</v>
      </c>
      <c r="E668" s="177" t="str">
        <f t="shared" si="23"/>
        <v/>
      </c>
    </row>
    <row r="669" spans="3:5">
      <c r="C669" s="177" t="s">
        <v>149</v>
      </c>
      <c r="D669" s="177" t="s">
        <v>149</v>
      </c>
      <c r="E669" s="177" t="str">
        <f t="shared" si="23"/>
        <v/>
      </c>
    </row>
    <row r="670" spans="3:5">
      <c r="C670" s="177" t="s">
        <v>149</v>
      </c>
      <c r="D670" s="177" t="s">
        <v>149</v>
      </c>
      <c r="E670" s="177" t="str">
        <f t="shared" si="23"/>
        <v/>
      </c>
    </row>
    <row r="671" spans="3:5">
      <c r="C671" s="177" t="s">
        <v>149</v>
      </c>
      <c r="D671" s="177" t="s">
        <v>149</v>
      </c>
      <c r="E671" s="177" t="str">
        <f t="shared" si="23"/>
        <v/>
      </c>
    </row>
    <row r="672" spans="3:5">
      <c r="C672" s="177" t="s">
        <v>149</v>
      </c>
      <c r="D672" s="177" t="s">
        <v>149</v>
      </c>
      <c r="E672" s="177" t="str">
        <f t="shared" si="23"/>
        <v/>
      </c>
    </row>
    <row r="673" spans="3:5">
      <c r="C673" s="177" t="s">
        <v>149</v>
      </c>
      <c r="D673" s="177" t="s">
        <v>149</v>
      </c>
      <c r="E673" s="177" t="str">
        <f t="shared" si="23"/>
        <v/>
      </c>
    </row>
    <row r="674" spans="3:5">
      <c r="C674" s="177" t="s">
        <v>149</v>
      </c>
      <c r="D674" s="177" t="s">
        <v>149</v>
      </c>
      <c r="E674" s="177" t="str">
        <f t="shared" si="23"/>
        <v/>
      </c>
    </row>
    <row r="675" spans="3:5">
      <c r="C675" s="177" t="s">
        <v>149</v>
      </c>
      <c r="D675" s="177" t="s">
        <v>149</v>
      </c>
      <c r="E675" s="177" t="str">
        <f t="shared" si="23"/>
        <v/>
      </c>
    </row>
    <row r="676" spans="3:5">
      <c r="C676" s="177" t="s">
        <v>149</v>
      </c>
      <c r="D676" s="177" t="s">
        <v>149</v>
      </c>
      <c r="E676" s="177" t="str">
        <f t="shared" si="23"/>
        <v/>
      </c>
    </row>
    <row r="677" spans="3:5">
      <c r="C677" s="177" t="s">
        <v>149</v>
      </c>
      <c r="D677" s="177" t="s">
        <v>149</v>
      </c>
      <c r="E677" s="177" t="str">
        <f t="shared" si="23"/>
        <v/>
      </c>
    </row>
    <row r="678" spans="3:5">
      <c r="C678" s="177" t="s">
        <v>149</v>
      </c>
      <c r="D678" s="177" t="s">
        <v>149</v>
      </c>
      <c r="E678" s="177" t="str">
        <f t="shared" si="23"/>
        <v/>
      </c>
    </row>
    <row r="679" spans="3:5">
      <c r="C679" s="177" t="s">
        <v>149</v>
      </c>
      <c r="D679" s="177" t="s">
        <v>149</v>
      </c>
      <c r="E679" s="177" t="str">
        <f t="shared" si="23"/>
        <v/>
      </c>
    </row>
    <row r="680" spans="3:5">
      <c r="C680" s="177" t="s">
        <v>149</v>
      </c>
      <c r="D680" s="177" t="s">
        <v>149</v>
      </c>
      <c r="E680" s="177" t="str">
        <f t="shared" si="23"/>
        <v/>
      </c>
    </row>
    <row r="681" spans="3:5">
      <c r="C681" s="177" t="s">
        <v>149</v>
      </c>
      <c r="D681" s="177" t="s">
        <v>149</v>
      </c>
      <c r="E681" s="177" t="str">
        <f t="shared" si="23"/>
        <v/>
      </c>
    </row>
    <row r="682" spans="3:5">
      <c r="C682" s="177" t="s">
        <v>149</v>
      </c>
      <c r="D682" s="177" t="s">
        <v>149</v>
      </c>
      <c r="E682" s="177" t="str">
        <f t="shared" si="23"/>
        <v/>
      </c>
    </row>
    <row r="683" spans="3:5">
      <c r="C683" s="177" t="s">
        <v>149</v>
      </c>
      <c r="D683" s="177" t="s">
        <v>149</v>
      </c>
      <c r="E683" s="177" t="str">
        <f t="shared" si="23"/>
        <v/>
      </c>
    </row>
    <row r="684" spans="3:5">
      <c r="C684" s="177" t="s">
        <v>149</v>
      </c>
      <c r="D684" s="177" t="s">
        <v>149</v>
      </c>
      <c r="E684" s="177" t="str">
        <f t="shared" si="23"/>
        <v/>
      </c>
    </row>
    <row r="685" spans="3:5">
      <c r="C685" s="177" t="s">
        <v>149</v>
      </c>
      <c r="D685" s="177" t="s">
        <v>149</v>
      </c>
      <c r="E685" s="177" t="str">
        <f t="shared" si="23"/>
        <v/>
      </c>
    </row>
    <row r="686" spans="3:5">
      <c r="C686" s="177" t="s">
        <v>149</v>
      </c>
      <c r="D686" s="177" t="s">
        <v>149</v>
      </c>
      <c r="E686" s="177" t="str">
        <f t="shared" si="23"/>
        <v/>
      </c>
    </row>
    <row r="687" spans="3:5">
      <c r="C687" s="177" t="s">
        <v>149</v>
      </c>
      <c r="D687" s="177" t="s">
        <v>149</v>
      </c>
      <c r="E687" s="177" t="str">
        <f t="shared" si="23"/>
        <v/>
      </c>
    </row>
    <row r="688" spans="3:5">
      <c r="C688" s="177" t="s">
        <v>149</v>
      </c>
      <c r="D688" s="177" t="s">
        <v>149</v>
      </c>
      <c r="E688" s="177" t="str">
        <f t="shared" si="23"/>
        <v/>
      </c>
    </row>
    <row r="689" spans="3:5">
      <c r="C689" s="177" t="s">
        <v>149</v>
      </c>
      <c r="D689" s="177" t="s">
        <v>149</v>
      </c>
      <c r="E689" s="177" t="str">
        <f t="shared" si="23"/>
        <v/>
      </c>
    </row>
    <row r="690" spans="3:5">
      <c r="C690" s="177" t="s">
        <v>149</v>
      </c>
      <c r="D690" s="177" t="s">
        <v>149</v>
      </c>
      <c r="E690" s="177" t="str">
        <f t="shared" si="23"/>
        <v/>
      </c>
    </row>
    <row r="691" spans="3:5">
      <c r="C691" s="177" t="s">
        <v>149</v>
      </c>
      <c r="D691" s="177" t="s">
        <v>149</v>
      </c>
      <c r="E691" s="177" t="str">
        <f t="shared" si="23"/>
        <v/>
      </c>
    </row>
    <row r="692" spans="3:5">
      <c r="C692" s="177" t="s">
        <v>149</v>
      </c>
      <c r="D692" s="177" t="s">
        <v>149</v>
      </c>
      <c r="E692" s="177" t="str">
        <f t="shared" si="23"/>
        <v/>
      </c>
    </row>
    <row r="693" spans="3:5">
      <c r="C693" s="177" t="s">
        <v>149</v>
      </c>
      <c r="D693" s="177" t="s">
        <v>149</v>
      </c>
      <c r="E693" s="177" t="str">
        <f t="shared" si="23"/>
        <v/>
      </c>
    </row>
    <row r="694" spans="3:5">
      <c r="C694" s="177" t="s">
        <v>149</v>
      </c>
      <c r="D694" s="177" t="s">
        <v>149</v>
      </c>
      <c r="E694" s="177" t="str">
        <f t="shared" si="23"/>
        <v/>
      </c>
    </row>
    <row r="695" spans="3:5">
      <c r="C695" s="177" t="s">
        <v>149</v>
      </c>
      <c r="D695" s="177" t="s">
        <v>149</v>
      </c>
      <c r="E695" s="177" t="str">
        <f t="shared" si="23"/>
        <v/>
      </c>
    </row>
    <row r="696" spans="3:5">
      <c r="C696" s="177" t="s">
        <v>149</v>
      </c>
      <c r="D696" s="177" t="s">
        <v>149</v>
      </c>
      <c r="E696" s="177" t="str">
        <f t="shared" si="23"/>
        <v/>
      </c>
    </row>
    <row r="697" spans="3:5">
      <c r="C697" s="177" t="s">
        <v>149</v>
      </c>
      <c r="D697" s="177" t="s">
        <v>149</v>
      </c>
      <c r="E697" s="177" t="str">
        <f t="shared" si="23"/>
        <v/>
      </c>
    </row>
    <row r="698" spans="3:5">
      <c r="C698" s="177" t="s">
        <v>149</v>
      </c>
      <c r="D698" s="177" t="s">
        <v>149</v>
      </c>
      <c r="E698" s="177" t="str">
        <f t="shared" si="23"/>
        <v/>
      </c>
    </row>
    <row r="699" spans="3:5">
      <c r="C699" s="177" t="s">
        <v>149</v>
      </c>
      <c r="D699" s="177" t="s">
        <v>149</v>
      </c>
      <c r="E699" s="177" t="str">
        <f t="shared" si="23"/>
        <v/>
      </c>
    </row>
    <row r="700" spans="3:5">
      <c r="C700" s="177" t="s">
        <v>149</v>
      </c>
      <c r="D700" s="177" t="s">
        <v>149</v>
      </c>
      <c r="E700" s="177" t="str">
        <f t="shared" si="23"/>
        <v/>
      </c>
    </row>
    <row r="701" spans="3:5">
      <c r="C701" s="177" t="s">
        <v>149</v>
      </c>
      <c r="D701" s="177" t="s">
        <v>149</v>
      </c>
      <c r="E701" s="177" t="str">
        <f t="shared" si="23"/>
        <v/>
      </c>
    </row>
    <row r="702" spans="3:5">
      <c r="C702" s="177" t="s">
        <v>149</v>
      </c>
      <c r="D702" s="177" t="s">
        <v>149</v>
      </c>
      <c r="E702" s="177" t="str">
        <f t="shared" si="23"/>
        <v/>
      </c>
    </row>
    <row r="703" spans="3:5">
      <c r="C703" s="177" t="s">
        <v>149</v>
      </c>
      <c r="D703" s="177" t="s">
        <v>149</v>
      </c>
      <c r="E703" s="177" t="str">
        <f t="shared" si="23"/>
        <v/>
      </c>
    </row>
    <row r="704" spans="3:5">
      <c r="C704" s="177" t="s">
        <v>149</v>
      </c>
      <c r="D704" s="177" t="s">
        <v>149</v>
      </c>
      <c r="E704" s="177" t="str">
        <f t="shared" si="23"/>
        <v/>
      </c>
    </row>
    <row r="705" spans="3:5">
      <c r="C705" s="177" t="s">
        <v>149</v>
      </c>
      <c r="D705" s="177" t="s">
        <v>149</v>
      </c>
      <c r="E705" s="177" t="str">
        <f t="shared" si="23"/>
        <v/>
      </c>
    </row>
    <row r="706" spans="3:5">
      <c r="C706" s="177" t="s">
        <v>149</v>
      </c>
      <c r="D706" s="177" t="s">
        <v>149</v>
      </c>
      <c r="E706" s="177" t="str">
        <f t="shared" si="23"/>
        <v/>
      </c>
    </row>
    <row r="707" spans="3:5">
      <c r="C707" s="177" t="s">
        <v>149</v>
      </c>
      <c r="D707" s="177" t="s">
        <v>149</v>
      </c>
      <c r="E707" s="177" t="str">
        <f t="shared" si="23"/>
        <v/>
      </c>
    </row>
    <row r="708" spans="3:5">
      <c r="C708" s="177" t="s">
        <v>149</v>
      </c>
      <c r="D708" s="177" t="s">
        <v>149</v>
      </c>
      <c r="E708" s="177" t="str">
        <f t="shared" ref="E708:E771" si="24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4"/>
        <v/>
      </c>
    </row>
    <row r="710" spans="3:5">
      <c r="C710" s="177" t="s">
        <v>149</v>
      </c>
      <c r="D710" s="177" t="s">
        <v>149</v>
      </c>
      <c r="E710" s="177" t="str">
        <f t="shared" si="24"/>
        <v/>
      </c>
    </row>
    <row r="711" spans="3:5">
      <c r="C711" s="177" t="s">
        <v>149</v>
      </c>
      <c r="D711" s="177" t="s">
        <v>149</v>
      </c>
      <c r="E711" s="177" t="str">
        <f t="shared" si="24"/>
        <v/>
      </c>
    </row>
    <row r="712" spans="3:5">
      <c r="C712" s="177" t="s">
        <v>149</v>
      </c>
      <c r="D712" s="177" t="s">
        <v>149</v>
      </c>
      <c r="E712" s="177" t="str">
        <f t="shared" si="24"/>
        <v/>
      </c>
    </row>
    <row r="713" spans="3:5">
      <c r="C713" s="177" t="s">
        <v>149</v>
      </c>
      <c r="D713" s="177" t="s">
        <v>149</v>
      </c>
      <c r="E713" s="177" t="str">
        <f t="shared" si="24"/>
        <v/>
      </c>
    </row>
    <row r="714" spans="3:5">
      <c r="C714" s="177" t="s">
        <v>149</v>
      </c>
      <c r="D714" s="177" t="s">
        <v>149</v>
      </c>
      <c r="E714" s="177" t="str">
        <f t="shared" si="24"/>
        <v/>
      </c>
    </row>
    <row r="715" spans="3:5">
      <c r="C715" s="177" t="s">
        <v>149</v>
      </c>
      <c r="D715" s="177" t="s">
        <v>149</v>
      </c>
      <c r="E715" s="177" t="str">
        <f t="shared" si="24"/>
        <v/>
      </c>
    </row>
    <row r="716" spans="3:5">
      <c r="C716" s="177" t="s">
        <v>149</v>
      </c>
      <c r="D716" s="177" t="s">
        <v>149</v>
      </c>
      <c r="E716" s="177" t="str">
        <f t="shared" si="24"/>
        <v/>
      </c>
    </row>
    <row r="717" spans="3:5">
      <c r="C717" s="177" t="s">
        <v>149</v>
      </c>
      <c r="D717" s="177" t="s">
        <v>149</v>
      </c>
      <c r="E717" s="177" t="str">
        <f t="shared" si="24"/>
        <v/>
      </c>
    </row>
    <row r="718" spans="3:5">
      <c r="C718" s="177" t="s">
        <v>149</v>
      </c>
      <c r="D718" s="177" t="s">
        <v>149</v>
      </c>
      <c r="E718" s="177" t="str">
        <f t="shared" si="24"/>
        <v/>
      </c>
    </row>
    <row r="719" spans="3:5">
      <c r="C719" s="177" t="s">
        <v>149</v>
      </c>
      <c r="D719" s="177" t="s">
        <v>149</v>
      </c>
      <c r="E719" s="177" t="str">
        <f t="shared" si="24"/>
        <v/>
      </c>
    </row>
    <row r="720" spans="3:5">
      <c r="C720" s="177" t="s">
        <v>149</v>
      </c>
      <c r="D720" s="177" t="s">
        <v>149</v>
      </c>
      <c r="E720" s="177" t="str">
        <f t="shared" si="24"/>
        <v/>
      </c>
    </row>
    <row r="721" spans="3:5">
      <c r="C721" s="177" t="s">
        <v>149</v>
      </c>
      <c r="D721" s="177" t="s">
        <v>149</v>
      </c>
      <c r="E721" s="177" t="str">
        <f t="shared" si="24"/>
        <v/>
      </c>
    </row>
    <row r="722" spans="3:5">
      <c r="C722" s="177" t="s">
        <v>149</v>
      </c>
      <c r="D722" s="177" t="s">
        <v>149</v>
      </c>
      <c r="E722" s="177" t="str">
        <f t="shared" si="24"/>
        <v/>
      </c>
    </row>
    <row r="723" spans="3:5">
      <c r="C723" s="177" t="s">
        <v>149</v>
      </c>
      <c r="D723" s="177" t="s">
        <v>149</v>
      </c>
      <c r="E723" s="177" t="str">
        <f t="shared" si="24"/>
        <v/>
      </c>
    </row>
    <row r="724" spans="3:5">
      <c r="C724" s="177" t="s">
        <v>149</v>
      </c>
      <c r="D724" s="177" t="s">
        <v>149</v>
      </c>
      <c r="E724" s="177" t="str">
        <f t="shared" si="24"/>
        <v/>
      </c>
    </row>
    <row r="725" spans="3:5">
      <c r="C725" s="177" t="s">
        <v>149</v>
      </c>
      <c r="D725" s="177" t="s">
        <v>149</v>
      </c>
      <c r="E725" s="177" t="str">
        <f t="shared" si="24"/>
        <v/>
      </c>
    </row>
    <row r="726" spans="3:5">
      <c r="C726" s="177" t="s">
        <v>149</v>
      </c>
      <c r="D726" s="177" t="s">
        <v>149</v>
      </c>
      <c r="E726" s="177" t="str">
        <f t="shared" si="24"/>
        <v/>
      </c>
    </row>
    <row r="727" spans="3:5">
      <c r="C727" s="177" t="s">
        <v>149</v>
      </c>
      <c r="D727" s="177" t="s">
        <v>149</v>
      </c>
      <c r="E727" s="177" t="str">
        <f t="shared" si="24"/>
        <v/>
      </c>
    </row>
    <row r="728" spans="3:5">
      <c r="C728" s="177" t="s">
        <v>149</v>
      </c>
      <c r="D728" s="177" t="s">
        <v>149</v>
      </c>
      <c r="E728" s="177" t="str">
        <f t="shared" si="24"/>
        <v/>
      </c>
    </row>
    <row r="729" spans="3:5">
      <c r="C729" s="177" t="s">
        <v>149</v>
      </c>
      <c r="D729" s="177" t="s">
        <v>149</v>
      </c>
      <c r="E729" s="177" t="str">
        <f t="shared" si="24"/>
        <v/>
      </c>
    </row>
    <row r="730" spans="3:5">
      <c r="C730" s="177" t="s">
        <v>149</v>
      </c>
      <c r="D730" s="177" t="s">
        <v>149</v>
      </c>
      <c r="E730" s="177" t="str">
        <f t="shared" si="24"/>
        <v/>
      </c>
    </row>
    <row r="731" spans="3:5">
      <c r="C731" s="177" t="s">
        <v>149</v>
      </c>
      <c r="D731" s="177" t="s">
        <v>149</v>
      </c>
      <c r="E731" s="177" t="str">
        <f t="shared" si="24"/>
        <v/>
      </c>
    </row>
    <row r="732" spans="3:5">
      <c r="C732" s="177" t="s">
        <v>149</v>
      </c>
      <c r="D732" s="177" t="s">
        <v>149</v>
      </c>
      <c r="E732" s="177" t="str">
        <f t="shared" si="24"/>
        <v/>
      </c>
    </row>
    <row r="733" spans="3:5">
      <c r="C733" s="177" t="s">
        <v>149</v>
      </c>
      <c r="D733" s="177" t="s">
        <v>149</v>
      </c>
      <c r="E733" s="177" t="str">
        <f t="shared" si="24"/>
        <v/>
      </c>
    </row>
    <row r="734" spans="3:5">
      <c r="C734" s="177" t="s">
        <v>149</v>
      </c>
      <c r="D734" s="177" t="s">
        <v>149</v>
      </c>
      <c r="E734" s="177" t="str">
        <f t="shared" si="24"/>
        <v/>
      </c>
    </row>
    <row r="735" spans="3:5">
      <c r="C735" s="177" t="s">
        <v>149</v>
      </c>
      <c r="D735" s="177" t="s">
        <v>149</v>
      </c>
      <c r="E735" s="177" t="str">
        <f t="shared" si="24"/>
        <v/>
      </c>
    </row>
    <row r="736" spans="3:5">
      <c r="C736" s="177" t="s">
        <v>149</v>
      </c>
      <c r="D736" s="177" t="s">
        <v>149</v>
      </c>
      <c r="E736" s="177" t="str">
        <f t="shared" si="24"/>
        <v/>
      </c>
    </row>
    <row r="737" spans="3:5">
      <c r="C737" s="177" t="s">
        <v>149</v>
      </c>
      <c r="D737" s="177" t="s">
        <v>149</v>
      </c>
      <c r="E737" s="177" t="str">
        <f t="shared" si="24"/>
        <v/>
      </c>
    </row>
    <row r="738" spans="3:5">
      <c r="C738" s="177" t="s">
        <v>149</v>
      </c>
      <c r="D738" s="177" t="s">
        <v>149</v>
      </c>
      <c r="E738" s="177" t="str">
        <f t="shared" si="24"/>
        <v/>
      </c>
    </row>
    <row r="739" spans="3:5">
      <c r="C739" s="177" t="s">
        <v>149</v>
      </c>
      <c r="D739" s="177" t="s">
        <v>149</v>
      </c>
      <c r="E739" s="177" t="str">
        <f t="shared" si="24"/>
        <v/>
      </c>
    </row>
    <row r="740" spans="3:5">
      <c r="C740" s="177" t="s">
        <v>149</v>
      </c>
      <c r="D740" s="177" t="s">
        <v>149</v>
      </c>
      <c r="E740" s="177" t="str">
        <f t="shared" si="24"/>
        <v/>
      </c>
    </row>
    <row r="741" spans="3:5">
      <c r="C741" s="177" t="s">
        <v>149</v>
      </c>
      <c r="D741" s="177" t="s">
        <v>149</v>
      </c>
      <c r="E741" s="177" t="str">
        <f t="shared" si="24"/>
        <v/>
      </c>
    </row>
    <row r="742" spans="3:5">
      <c r="C742" s="177" t="s">
        <v>149</v>
      </c>
      <c r="D742" s="177" t="s">
        <v>149</v>
      </c>
      <c r="E742" s="177" t="str">
        <f t="shared" si="24"/>
        <v/>
      </c>
    </row>
    <row r="743" spans="3:5">
      <c r="C743" s="177" t="s">
        <v>149</v>
      </c>
      <c r="D743" s="177" t="s">
        <v>149</v>
      </c>
      <c r="E743" s="177" t="str">
        <f t="shared" si="24"/>
        <v/>
      </c>
    </row>
    <row r="744" spans="3:5">
      <c r="C744" s="177" t="s">
        <v>149</v>
      </c>
      <c r="D744" s="177" t="s">
        <v>149</v>
      </c>
      <c r="E744" s="177" t="str">
        <f t="shared" si="24"/>
        <v/>
      </c>
    </row>
    <row r="745" spans="3:5">
      <c r="C745" s="177" t="s">
        <v>149</v>
      </c>
      <c r="D745" s="177" t="s">
        <v>149</v>
      </c>
      <c r="E745" s="177" t="str">
        <f t="shared" si="24"/>
        <v/>
      </c>
    </row>
    <row r="746" spans="3:5">
      <c r="C746" s="177" t="s">
        <v>149</v>
      </c>
      <c r="D746" s="177" t="s">
        <v>149</v>
      </c>
      <c r="E746" s="177" t="str">
        <f t="shared" si="24"/>
        <v/>
      </c>
    </row>
    <row r="747" spans="3:5">
      <c r="C747" s="177" t="s">
        <v>149</v>
      </c>
      <c r="D747" s="177" t="s">
        <v>149</v>
      </c>
      <c r="E747" s="177" t="str">
        <f t="shared" si="24"/>
        <v/>
      </c>
    </row>
    <row r="748" spans="3:5">
      <c r="C748" s="177" t="s">
        <v>149</v>
      </c>
      <c r="D748" s="177" t="s">
        <v>149</v>
      </c>
      <c r="E748" s="177" t="str">
        <f t="shared" si="24"/>
        <v/>
      </c>
    </row>
    <row r="749" spans="3:5">
      <c r="C749" s="177" t="s">
        <v>149</v>
      </c>
      <c r="D749" s="177" t="s">
        <v>149</v>
      </c>
      <c r="E749" s="177" t="str">
        <f t="shared" si="24"/>
        <v/>
      </c>
    </row>
    <row r="750" spans="3:5">
      <c r="C750" s="177" t="s">
        <v>149</v>
      </c>
      <c r="D750" s="177" t="s">
        <v>149</v>
      </c>
      <c r="E750" s="177" t="str">
        <f t="shared" si="24"/>
        <v/>
      </c>
    </row>
    <row r="751" spans="3:5">
      <c r="C751" s="177" t="s">
        <v>149</v>
      </c>
      <c r="D751" s="177" t="s">
        <v>149</v>
      </c>
      <c r="E751" s="177" t="str">
        <f t="shared" si="24"/>
        <v/>
      </c>
    </row>
    <row r="752" spans="3:5">
      <c r="C752" s="177" t="s">
        <v>149</v>
      </c>
      <c r="D752" s="177" t="s">
        <v>149</v>
      </c>
      <c r="E752" s="177" t="str">
        <f t="shared" si="24"/>
        <v/>
      </c>
    </row>
    <row r="753" spans="3:5">
      <c r="C753" s="177" t="s">
        <v>149</v>
      </c>
      <c r="D753" s="177" t="s">
        <v>149</v>
      </c>
      <c r="E753" s="177" t="str">
        <f t="shared" si="24"/>
        <v/>
      </c>
    </row>
    <row r="754" spans="3:5">
      <c r="C754" s="177" t="s">
        <v>149</v>
      </c>
      <c r="D754" s="177" t="s">
        <v>149</v>
      </c>
      <c r="E754" s="177" t="str">
        <f t="shared" si="24"/>
        <v/>
      </c>
    </row>
    <row r="755" spans="3:5">
      <c r="C755" s="177" t="s">
        <v>149</v>
      </c>
      <c r="D755" s="177" t="s">
        <v>149</v>
      </c>
      <c r="E755" s="177" t="str">
        <f t="shared" si="24"/>
        <v/>
      </c>
    </row>
    <row r="756" spans="3:5">
      <c r="C756" s="177" t="s">
        <v>149</v>
      </c>
      <c r="D756" s="177" t="s">
        <v>149</v>
      </c>
      <c r="E756" s="177" t="str">
        <f t="shared" si="24"/>
        <v/>
      </c>
    </row>
    <row r="757" spans="3:5">
      <c r="C757" s="177" t="s">
        <v>149</v>
      </c>
      <c r="D757" s="177" t="s">
        <v>149</v>
      </c>
      <c r="E757" s="177" t="str">
        <f t="shared" si="24"/>
        <v/>
      </c>
    </row>
    <row r="758" spans="3:5">
      <c r="C758" s="177" t="s">
        <v>149</v>
      </c>
      <c r="D758" s="177" t="s">
        <v>149</v>
      </c>
      <c r="E758" s="177" t="str">
        <f t="shared" si="24"/>
        <v/>
      </c>
    </row>
    <row r="759" spans="3:5">
      <c r="C759" s="177" t="s">
        <v>149</v>
      </c>
      <c r="D759" s="177" t="s">
        <v>149</v>
      </c>
      <c r="E759" s="177" t="str">
        <f t="shared" si="24"/>
        <v/>
      </c>
    </row>
    <row r="760" spans="3:5">
      <c r="C760" s="177" t="s">
        <v>149</v>
      </c>
      <c r="D760" s="177" t="s">
        <v>149</v>
      </c>
      <c r="E760" s="177" t="str">
        <f t="shared" si="24"/>
        <v/>
      </c>
    </row>
    <row r="761" spans="3:5">
      <c r="C761" s="177" t="s">
        <v>149</v>
      </c>
      <c r="D761" s="177" t="s">
        <v>149</v>
      </c>
      <c r="E761" s="177" t="str">
        <f t="shared" si="24"/>
        <v/>
      </c>
    </row>
    <row r="762" spans="3:5">
      <c r="C762" s="177" t="s">
        <v>149</v>
      </c>
      <c r="D762" s="177" t="s">
        <v>149</v>
      </c>
      <c r="E762" s="177" t="str">
        <f t="shared" si="24"/>
        <v/>
      </c>
    </row>
    <row r="763" spans="3:5">
      <c r="C763" s="177" t="s">
        <v>149</v>
      </c>
      <c r="D763" s="177" t="s">
        <v>149</v>
      </c>
      <c r="E763" s="177" t="str">
        <f t="shared" si="24"/>
        <v/>
      </c>
    </row>
    <row r="764" spans="3:5">
      <c r="C764" s="177" t="s">
        <v>149</v>
      </c>
      <c r="D764" s="177" t="s">
        <v>149</v>
      </c>
      <c r="E764" s="177" t="str">
        <f t="shared" si="24"/>
        <v/>
      </c>
    </row>
    <row r="765" spans="3:5">
      <c r="C765" s="177" t="s">
        <v>149</v>
      </c>
      <c r="D765" s="177" t="s">
        <v>149</v>
      </c>
      <c r="E765" s="177" t="str">
        <f t="shared" si="24"/>
        <v/>
      </c>
    </row>
    <row r="766" spans="3:5">
      <c r="C766" s="177" t="s">
        <v>149</v>
      </c>
      <c r="D766" s="177" t="s">
        <v>149</v>
      </c>
      <c r="E766" s="177" t="str">
        <f t="shared" si="24"/>
        <v/>
      </c>
    </row>
    <row r="767" spans="3:5">
      <c r="C767" s="177" t="s">
        <v>149</v>
      </c>
      <c r="D767" s="177" t="s">
        <v>149</v>
      </c>
      <c r="E767" s="177" t="str">
        <f t="shared" si="24"/>
        <v/>
      </c>
    </row>
    <row r="768" spans="3:5">
      <c r="C768" s="177" t="s">
        <v>149</v>
      </c>
      <c r="D768" s="177" t="s">
        <v>149</v>
      </c>
      <c r="E768" s="177" t="str">
        <f t="shared" si="24"/>
        <v/>
      </c>
    </row>
    <row r="769" spans="3:5">
      <c r="C769" s="177" t="s">
        <v>149</v>
      </c>
      <c r="D769" s="177" t="s">
        <v>149</v>
      </c>
      <c r="E769" s="177" t="str">
        <f t="shared" si="24"/>
        <v/>
      </c>
    </row>
    <row r="770" spans="3:5">
      <c r="C770" s="177" t="s">
        <v>149</v>
      </c>
      <c r="D770" s="177" t="s">
        <v>149</v>
      </c>
      <c r="E770" s="177" t="str">
        <f t="shared" si="24"/>
        <v/>
      </c>
    </row>
    <row r="771" spans="3:5">
      <c r="C771" s="177" t="s">
        <v>149</v>
      </c>
      <c r="D771" s="177" t="s">
        <v>149</v>
      </c>
      <c r="E771" s="177" t="str">
        <f t="shared" si="24"/>
        <v/>
      </c>
    </row>
    <row r="772" spans="3:5">
      <c r="C772" s="177" t="s">
        <v>149</v>
      </c>
      <c r="D772" s="177" t="s">
        <v>149</v>
      </c>
      <c r="E772" s="177" t="str">
        <f t="shared" ref="E772:E835" si="25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5"/>
        <v/>
      </c>
    </row>
    <row r="774" spans="3:5">
      <c r="C774" s="177" t="s">
        <v>149</v>
      </c>
      <c r="D774" s="177" t="s">
        <v>149</v>
      </c>
      <c r="E774" s="177" t="str">
        <f t="shared" si="25"/>
        <v/>
      </c>
    </row>
    <row r="775" spans="3:5">
      <c r="C775" s="177" t="s">
        <v>149</v>
      </c>
      <c r="D775" s="177" t="s">
        <v>149</v>
      </c>
      <c r="E775" s="177" t="str">
        <f t="shared" si="25"/>
        <v/>
      </c>
    </row>
    <row r="776" spans="3:5">
      <c r="C776" s="177" t="s">
        <v>149</v>
      </c>
      <c r="D776" s="177" t="s">
        <v>149</v>
      </c>
      <c r="E776" s="177" t="str">
        <f t="shared" si="25"/>
        <v/>
      </c>
    </row>
    <row r="777" spans="3:5">
      <c r="C777" s="177" t="s">
        <v>149</v>
      </c>
      <c r="D777" s="177" t="s">
        <v>149</v>
      </c>
      <c r="E777" s="177" t="str">
        <f t="shared" si="25"/>
        <v/>
      </c>
    </row>
    <row r="778" spans="3:5">
      <c r="C778" s="177" t="s">
        <v>149</v>
      </c>
      <c r="D778" s="177" t="s">
        <v>149</v>
      </c>
      <c r="E778" s="177" t="str">
        <f t="shared" si="25"/>
        <v/>
      </c>
    </row>
    <row r="779" spans="3:5">
      <c r="C779" s="177" t="s">
        <v>149</v>
      </c>
      <c r="D779" s="177" t="s">
        <v>149</v>
      </c>
      <c r="E779" s="177" t="str">
        <f t="shared" si="25"/>
        <v/>
      </c>
    </row>
    <row r="780" spans="3:5">
      <c r="C780" s="177" t="s">
        <v>149</v>
      </c>
      <c r="D780" s="177" t="s">
        <v>149</v>
      </c>
      <c r="E780" s="177" t="str">
        <f t="shared" si="25"/>
        <v/>
      </c>
    </row>
    <row r="781" spans="3:5">
      <c r="C781" s="177" t="s">
        <v>149</v>
      </c>
      <c r="D781" s="177" t="s">
        <v>149</v>
      </c>
      <c r="E781" s="177" t="str">
        <f t="shared" si="25"/>
        <v/>
      </c>
    </row>
    <row r="782" spans="3:5">
      <c r="C782" s="177" t="s">
        <v>149</v>
      </c>
      <c r="D782" s="177" t="s">
        <v>149</v>
      </c>
      <c r="E782" s="177" t="str">
        <f t="shared" si="25"/>
        <v/>
      </c>
    </row>
    <row r="783" spans="3:5">
      <c r="C783" s="177" t="s">
        <v>149</v>
      </c>
      <c r="D783" s="177" t="s">
        <v>149</v>
      </c>
      <c r="E783" s="177" t="str">
        <f t="shared" si="25"/>
        <v/>
      </c>
    </row>
    <row r="784" spans="3:5">
      <c r="C784" s="177" t="s">
        <v>149</v>
      </c>
      <c r="D784" s="177" t="s">
        <v>149</v>
      </c>
      <c r="E784" s="177" t="str">
        <f t="shared" si="25"/>
        <v/>
      </c>
    </row>
    <row r="785" spans="3:5">
      <c r="C785" s="177" t="s">
        <v>149</v>
      </c>
      <c r="D785" s="177" t="s">
        <v>149</v>
      </c>
      <c r="E785" s="177" t="str">
        <f t="shared" si="25"/>
        <v/>
      </c>
    </row>
    <row r="786" spans="3:5">
      <c r="C786" s="177" t="s">
        <v>149</v>
      </c>
      <c r="D786" s="177" t="s">
        <v>149</v>
      </c>
      <c r="E786" s="177" t="str">
        <f t="shared" si="25"/>
        <v/>
      </c>
    </row>
    <row r="787" spans="3:5">
      <c r="C787" s="177" t="s">
        <v>149</v>
      </c>
      <c r="D787" s="177" t="s">
        <v>149</v>
      </c>
      <c r="E787" s="177" t="str">
        <f t="shared" si="25"/>
        <v/>
      </c>
    </row>
    <row r="788" spans="3:5">
      <c r="C788" s="177" t="s">
        <v>149</v>
      </c>
      <c r="D788" s="177" t="s">
        <v>149</v>
      </c>
      <c r="E788" s="177" t="str">
        <f t="shared" si="25"/>
        <v/>
      </c>
    </row>
    <row r="789" spans="3:5">
      <c r="C789" s="177" t="s">
        <v>149</v>
      </c>
      <c r="D789" s="177" t="s">
        <v>149</v>
      </c>
      <c r="E789" s="177" t="str">
        <f t="shared" si="25"/>
        <v/>
      </c>
    </row>
    <row r="790" spans="3:5">
      <c r="C790" s="177" t="s">
        <v>149</v>
      </c>
      <c r="D790" s="177" t="s">
        <v>149</v>
      </c>
      <c r="E790" s="177" t="str">
        <f t="shared" si="25"/>
        <v/>
      </c>
    </row>
    <row r="791" spans="3:5">
      <c r="C791" s="177" t="s">
        <v>149</v>
      </c>
      <c r="D791" s="177" t="s">
        <v>149</v>
      </c>
      <c r="E791" s="177" t="str">
        <f t="shared" si="25"/>
        <v/>
      </c>
    </row>
    <row r="792" spans="3:5">
      <c r="C792" s="177" t="s">
        <v>149</v>
      </c>
      <c r="D792" s="177" t="s">
        <v>149</v>
      </c>
      <c r="E792" s="177" t="str">
        <f t="shared" si="25"/>
        <v/>
      </c>
    </row>
    <row r="793" spans="3:5">
      <c r="C793" s="177" t="s">
        <v>149</v>
      </c>
      <c r="D793" s="177" t="s">
        <v>149</v>
      </c>
      <c r="E793" s="177" t="str">
        <f t="shared" si="25"/>
        <v/>
      </c>
    </row>
    <row r="794" spans="3:5">
      <c r="C794" s="177" t="s">
        <v>149</v>
      </c>
      <c r="D794" s="177" t="s">
        <v>149</v>
      </c>
      <c r="E794" s="177" t="str">
        <f t="shared" si="25"/>
        <v/>
      </c>
    </row>
    <row r="795" spans="3:5">
      <c r="C795" s="177" t="s">
        <v>149</v>
      </c>
      <c r="D795" s="177" t="s">
        <v>149</v>
      </c>
      <c r="E795" s="177" t="str">
        <f t="shared" si="25"/>
        <v/>
      </c>
    </row>
    <row r="796" spans="3:5">
      <c r="C796" s="177" t="s">
        <v>149</v>
      </c>
      <c r="D796" s="177" t="s">
        <v>149</v>
      </c>
      <c r="E796" s="177" t="str">
        <f t="shared" si="25"/>
        <v/>
      </c>
    </row>
    <row r="797" spans="3:5">
      <c r="C797" s="177" t="s">
        <v>149</v>
      </c>
      <c r="D797" s="177" t="s">
        <v>149</v>
      </c>
      <c r="E797" s="177" t="str">
        <f t="shared" si="25"/>
        <v/>
      </c>
    </row>
    <row r="798" spans="3:5">
      <c r="C798" s="177" t="s">
        <v>149</v>
      </c>
      <c r="D798" s="177" t="s">
        <v>149</v>
      </c>
      <c r="E798" s="177" t="str">
        <f t="shared" si="25"/>
        <v/>
      </c>
    </row>
    <row r="799" spans="3:5">
      <c r="C799" s="177" t="s">
        <v>149</v>
      </c>
      <c r="D799" s="177" t="s">
        <v>149</v>
      </c>
      <c r="E799" s="177" t="str">
        <f t="shared" si="25"/>
        <v/>
      </c>
    </row>
    <row r="800" spans="3:5">
      <c r="C800" s="177" t="s">
        <v>149</v>
      </c>
      <c r="D800" s="177" t="s">
        <v>149</v>
      </c>
      <c r="E800" s="177" t="str">
        <f t="shared" si="25"/>
        <v/>
      </c>
    </row>
    <row r="801" spans="3:5">
      <c r="C801" s="177" t="s">
        <v>149</v>
      </c>
      <c r="D801" s="177" t="s">
        <v>149</v>
      </c>
      <c r="E801" s="177" t="str">
        <f t="shared" si="25"/>
        <v/>
      </c>
    </row>
    <row r="802" spans="3:5">
      <c r="C802" s="177" t="s">
        <v>149</v>
      </c>
      <c r="D802" s="177" t="s">
        <v>149</v>
      </c>
      <c r="E802" s="177" t="str">
        <f t="shared" si="25"/>
        <v/>
      </c>
    </row>
    <row r="803" spans="3:5">
      <c r="C803" s="177" t="s">
        <v>149</v>
      </c>
      <c r="D803" s="177" t="s">
        <v>149</v>
      </c>
      <c r="E803" s="177" t="str">
        <f t="shared" si="25"/>
        <v/>
      </c>
    </row>
    <row r="804" spans="3:5">
      <c r="C804" s="177" t="s">
        <v>149</v>
      </c>
      <c r="D804" s="177" t="s">
        <v>149</v>
      </c>
      <c r="E804" s="177" t="str">
        <f t="shared" si="25"/>
        <v/>
      </c>
    </row>
    <row r="805" spans="3:5">
      <c r="C805" s="177" t="s">
        <v>149</v>
      </c>
      <c r="D805" s="177" t="s">
        <v>149</v>
      </c>
      <c r="E805" s="177" t="str">
        <f t="shared" si="25"/>
        <v/>
      </c>
    </row>
    <row r="806" spans="3:5">
      <c r="C806" s="177" t="s">
        <v>149</v>
      </c>
      <c r="D806" s="177" t="s">
        <v>149</v>
      </c>
      <c r="E806" s="177" t="str">
        <f t="shared" si="25"/>
        <v/>
      </c>
    </row>
    <row r="807" spans="3:5">
      <c r="C807" s="177" t="s">
        <v>149</v>
      </c>
      <c r="D807" s="177" t="s">
        <v>149</v>
      </c>
      <c r="E807" s="177" t="str">
        <f t="shared" si="25"/>
        <v/>
      </c>
    </row>
    <row r="808" spans="3:5">
      <c r="C808" s="177" t="s">
        <v>149</v>
      </c>
      <c r="D808" s="177" t="s">
        <v>149</v>
      </c>
      <c r="E808" s="177" t="str">
        <f t="shared" si="25"/>
        <v/>
      </c>
    </row>
    <row r="809" spans="3:5">
      <c r="C809" s="177" t="s">
        <v>149</v>
      </c>
      <c r="D809" s="177" t="s">
        <v>149</v>
      </c>
      <c r="E809" s="177" t="str">
        <f t="shared" si="25"/>
        <v/>
      </c>
    </row>
    <row r="810" spans="3:5">
      <c r="C810" s="177" t="s">
        <v>149</v>
      </c>
      <c r="D810" s="177" t="s">
        <v>149</v>
      </c>
      <c r="E810" s="177" t="str">
        <f t="shared" si="25"/>
        <v/>
      </c>
    </row>
    <row r="811" spans="3:5">
      <c r="C811" s="177" t="s">
        <v>149</v>
      </c>
      <c r="D811" s="177" t="s">
        <v>149</v>
      </c>
      <c r="E811" s="177" t="str">
        <f t="shared" si="25"/>
        <v/>
      </c>
    </row>
    <row r="812" spans="3:5">
      <c r="C812" s="177" t="s">
        <v>149</v>
      </c>
      <c r="D812" s="177" t="s">
        <v>149</v>
      </c>
      <c r="E812" s="177" t="str">
        <f t="shared" si="25"/>
        <v/>
      </c>
    </row>
    <row r="813" spans="3:5">
      <c r="C813" s="177" t="s">
        <v>149</v>
      </c>
      <c r="D813" s="177" t="s">
        <v>149</v>
      </c>
      <c r="E813" s="177" t="str">
        <f t="shared" si="25"/>
        <v/>
      </c>
    </row>
    <row r="814" spans="3:5">
      <c r="C814" s="177" t="s">
        <v>149</v>
      </c>
      <c r="D814" s="177" t="s">
        <v>149</v>
      </c>
      <c r="E814" s="177" t="str">
        <f t="shared" si="25"/>
        <v/>
      </c>
    </row>
    <row r="815" spans="3:5">
      <c r="C815" s="177" t="s">
        <v>149</v>
      </c>
      <c r="D815" s="177" t="s">
        <v>149</v>
      </c>
      <c r="E815" s="177" t="str">
        <f t="shared" si="25"/>
        <v/>
      </c>
    </row>
    <row r="816" spans="3:5">
      <c r="C816" s="177" t="s">
        <v>149</v>
      </c>
      <c r="D816" s="177" t="s">
        <v>149</v>
      </c>
      <c r="E816" s="177" t="str">
        <f t="shared" si="25"/>
        <v/>
      </c>
    </row>
    <row r="817" spans="3:5">
      <c r="C817" s="177" t="s">
        <v>149</v>
      </c>
      <c r="D817" s="177" t="s">
        <v>149</v>
      </c>
      <c r="E817" s="177" t="str">
        <f t="shared" si="25"/>
        <v/>
      </c>
    </row>
    <row r="818" spans="3:5">
      <c r="C818" s="177" t="s">
        <v>149</v>
      </c>
      <c r="D818" s="177" t="s">
        <v>149</v>
      </c>
      <c r="E818" s="177" t="str">
        <f t="shared" si="25"/>
        <v/>
      </c>
    </row>
    <row r="819" spans="3:5">
      <c r="C819" s="177" t="s">
        <v>149</v>
      </c>
      <c r="D819" s="177" t="s">
        <v>149</v>
      </c>
      <c r="E819" s="177" t="str">
        <f t="shared" si="25"/>
        <v/>
      </c>
    </row>
    <row r="820" spans="3:5">
      <c r="C820" s="177" t="s">
        <v>149</v>
      </c>
      <c r="D820" s="177" t="s">
        <v>149</v>
      </c>
      <c r="E820" s="177" t="str">
        <f t="shared" si="25"/>
        <v/>
      </c>
    </row>
    <row r="821" spans="3:5">
      <c r="C821" s="177" t="s">
        <v>149</v>
      </c>
      <c r="D821" s="177" t="s">
        <v>149</v>
      </c>
      <c r="E821" s="177" t="str">
        <f t="shared" si="25"/>
        <v/>
      </c>
    </row>
    <row r="822" spans="3:5">
      <c r="C822" s="177" t="s">
        <v>149</v>
      </c>
      <c r="D822" s="177" t="s">
        <v>149</v>
      </c>
      <c r="E822" s="177" t="str">
        <f t="shared" si="25"/>
        <v/>
      </c>
    </row>
    <row r="823" spans="3:5">
      <c r="C823" s="177" t="s">
        <v>149</v>
      </c>
      <c r="D823" s="177" t="s">
        <v>149</v>
      </c>
      <c r="E823" s="177" t="str">
        <f t="shared" si="25"/>
        <v/>
      </c>
    </row>
    <row r="824" spans="3:5">
      <c r="C824" s="177" t="s">
        <v>149</v>
      </c>
      <c r="D824" s="177" t="s">
        <v>149</v>
      </c>
      <c r="E824" s="177" t="str">
        <f t="shared" si="25"/>
        <v/>
      </c>
    </row>
    <row r="825" spans="3:5">
      <c r="C825" s="177" t="s">
        <v>149</v>
      </c>
      <c r="D825" s="177" t="s">
        <v>149</v>
      </c>
      <c r="E825" s="177" t="str">
        <f t="shared" si="25"/>
        <v/>
      </c>
    </row>
    <row r="826" spans="3:5">
      <c r="C826" s="177" t="s">
        <v>149</v>
      </c>
      <c r="D826" s="177" t="s">
        <v>149</v>
      </c>
      <c r="E826" s="177" t="str">
        <f t="shared" si="25"/>
        <v/>
      </c>
    </row>
    <row r="827" spans="3:5">
      <c r="C827" s="177" t="s">
        <v>149</v>
      </c>
      <c r="D827" s="177" t="s">
        <v>149</v>
      </c>
      <c r="E827" s="177" t="str">
        <f t="shared" si="25"/>
        <v/>
      </c>
    </row>
    <row r="828" spans="3:5">
      <c r="C828" s="177" t="s">
        <v>149</v>
      </c>
      <c r="D828" s="177" t="s">
        <v>149</v>
      </c>
      <c r="E828" s="177" t="str">
        <f t="shared" si="25"/>
        <v/>
      </c>
    </row>
    <row r="829" spans="3:5">
      <c r="C829" s="177" t="s">
        <v>149</v>
      </c>
      <c r="D829" s="177" t="s">
        <v>149</v>
      </c>
      <c r="E829" s="177" t="str">
        <f t="shared" si="25"/>
        <v/>
      </c>
    </row>
    <row r="830" spans="3:5">
      <c r="C830" s="177" t="s">
        <v>149</v>
      </c>
      <c r="D830" s="177" t="s">
        <v>149</v>
      </c>
      <c r="E830" s="177" t="str">
        <f t="shared" si="25"/>
        <v/>
      </c>
    </row>
    <row r="831" spans="3:5">
      <c r="C831" s="177" t="s">
        <v>149</v>
      </c>
      <c r="D831" s="177" t="s">
        <v>149</v>
      </c>
      <c r="E831" s="177" t="str">
        <f t="shared" si="25"/>
        <v/>
      </c>
    </row>
    <row r="832" spans="3:5">
      <c r="C832" s="177" t="s">
        <v>149</v>
      </c>
      <c r="D832" s="177" t="s">
        <v>149</v>
      </c>
      <c r="E832" s="177" t="str">
        <f t="shared" si="25"/>
        <v/>
      </c>
    </row>
    <row r="833" spans="3:5">
      <c r="C833" s="177" t="s">
        <v>149</v>
      </c>
      <c r="D833" s="177" t="s">
        <v>149</v>
      </c>
      <c r="E833" s="177" t="str">
        <f t="shared" si="25"/>
        <v/>
      </c>
    </row>
    <row r="834" spans="3:5">
      <c r="C834" s="177" t="s">
        <v>149</v>
      </c>
      <c r="D834" s="177" t="s">
        <v>149</v>
      </c>
      <c r="E834" s="177" t="str">
        <f t="shared" si="25"/>
        <v/>
      </c>
    </row>
    <row r="835" spans="3:5">
      <c r="C835" s="177" t="s">
        <v>149</v>
      </c>
      <c r="D835" s="177" t="s">
        <v>149</v>
      </c>
      <c r="E835" s="177" t="str">
        <f t="shared" si="25"/>
        <v/>
      </c>
    </row>
    <row r="836" spans="3:5">
      <c r="C836" s="177" t="s">
        <v>149</v>
      </c>
      <c r="D836" s="177" t="s">
        <v>149</v>
      </c>
      <c r="E836" s="177" t="str">
        <f t="shared" ref="E836:E899" si="26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6"/>
        <v/>
      </c>
    </row>
    <row r="838" spans="3:5">
      <c r="C838" s="177" t="s">
        <v>149</v>
      </c>
      <c r="D838" s="177" t="s">
        <v>149</v>
      </c>
      <c r="E838" s="177" t="str">
        <f t="shared" si="26"/>
        <v/>
      </c>
    </row>
    <row r="839" spans="3:5">
      <c r="C839" s="177" t="s">
        <v>149</v>
      </c>
      <c r="D839" s="177" t="s">
        <v>149</v>
      </c>
      <c r="E839" s="177" t="str">
        <f t="shared" si="26"/>
        <v/>
      </c>
    </row>
    <row r="840" spans="3:5">
      <c r="C840" s="177" t="s">
        <v>149</v>
      </c>
      <c r="D840" s="177" t="s">
        <v>149</v>
      </c>
      <c r="E840" s="177" t="str">
        <f t="shared" si="26"/>
        <v/>
      </c>
    </row>
    <row r="841" spans="3:5">
      <c r="C841" s="177" t="s">
        <v>149</v>
      </c>
      <c r="D841" s="177" t="s">
        <v>149</v>
      </c>
      <c r="E841" s="177" t="str">
        <f t="shared" si="26"/>
        <v/>
      </c>
    </row>
    <row r="842" spans="3:5">
      <c r="C842" s="177" t="s">
        <v>149</v>
      </c>
      <c r="D842" s="177" t="s">
        <v>149</v>
      </c>
      <c r="E842" s="177" t="str">
        <f t="shared" si="26"/>
        <v/>
      </c>
    </row>
    <row r="843" spans="3:5">
      <c r="C843" s="177" t="s">
        <v>149</v>
      </c>
      <c r="D843" s="177" t="s">
        <v>149</v>
      </c>
      <c r="E843" s="177" t="str">
        <f t="shared" si="26"/>
        <v/>
      </c>
    </row>
    <row r="844" spans="3:5">
      <c r="C844" s="177" t="s">
        <v>149</v>
      </c>
      <c r="D844" s="177" t="s">
        <v>149</v>
      </c>
      <c r="E844" s="177" t="str">
        <f t="shared" si="26"/>
        <v/>
      </c>
    </row>
    <row r="845" spans="3:5">
      <c r="C845" s="177" t="s">
        <v>149</v>
      </c>
      <c r="D845" s="177" t="s">
        <v>149</v>
      </c>
      <c r="E845" s="177" t="str">
        <f t="shared" si="26"/>
        <v/>
      </c>
    </row>
    <row r="846" spans="3:5">
      <c r="C846" s="177" t="s">
        <v>149</v>
      </c>
      <c r="D846" s="177" t="s">
        <v>149</v>
      </c>
      <c r="E846" s="177" t="str">
        <f t="shared" si="26"/>
        <v/>
      </c>
    </row>
    <row r="847" spans="3:5">
      <c r="C847" s="177" t="s">
        <v>149</v>
      </c>
      <c r="D847" s="177" t="s">
        <v>149</v>
      </c>
      <c r="E847" s="177" t="str">
        <f t="shared" si="26"/>
        <v/>
      </c>
    </row>
    <row r="848" spans="3:5">
      <c r="C848" s="177" t="s">
        <v>149</v>
      </c>
      <c r="D848" s="177" t="s">
        <v>149</v>
      </c>
      <c r="E848" s="177" t="str">
        <f t="shared" si="26"/>
        <v/>
      </c>
    </row>
    <row r="849" spans="3:5">
      <c r="C849" s="177" t="s">
        <v>149</v>
      </c>
      <c r="D849" s="177" t="s">
        <v>149</v>
      </c>
      <c r="E849" s="177" t="str">
        <f t="shared" si="26"/>
        <v/>
      </c>
    </row>
    <row r="850" spans="3:5">
      <c r="C850" s="177" t="s">
        <v>149</v>
      </c>
      <c r="D850" s="177" t="s">
        <v>149</v>
      </c>
      <c r="E850" s="177" t="str">
        <f t="shared" si="26"/>
        <v/>
      </c>
    </row>
    <row r="851" spans="3:5">
      <c r="C851" s="177" t="s">
        <v>149</v>
      </c>
      <c r="D851" s="177" t="s">
        <v>149</v>
      </c>
      <c r="E851" s="177" t="str">
        <f t="shared" si="26"/>
        <v/>
      </c>
    </row>
    <row r="852" spans="3:5">
      <c r="C852" s="177" t="s">
        <v>149</v>
      </c>
      <c r="D852" s="177" t="s">
        <v>149</v>
      </c>
      <c r="E852" s="177" t="str">
        <f t="shared" si="26"/>
        <v/>
      </c>
    </row>
    <row r="853" spans="3:5">
      <c r="C853" s="177" t="s">
        <v>149</v>
      </c>
      <c r="D853" s="177" t="s">
        <v>149</v>
      </c>
      <c r="E853" s="177" t="str">
        <f t="shared" si="26"/>
        <v/>
      </c>
    </row>
    <row r="854" spans="3:5">
      <c r="C854" s="177" t="s">
        <v>149</v>
      </c>
      <c r="D854" s="177" t="s">
        <v>149</v>
      </c>
      <c r="E854" s="177" t="str">
        <f t="shared" si="26"/>
        <v/>
      </c>
    </row>
    <row r="855" spans="3:5">
      <c r="C855" s="177" t="s">
        <v>149</v>
      </c>
      <c r="D855" s="177" t="s">
        <v>149</v>
      </c>
      <c r="E855" s="177" t="str">
        <f t="shared" si="26"/>
        <v/>
      </c>
    </row>
    <row r="856" spans="3:5">
      <c r="C856" s="177" t="s">
        <v>149</v>
      </c>
      <c r="D856" s="177" t="s">
        <v>149</v>
      </c>
      <c r="E856" s="177" t="str">
        <f t="shared" si="26"/>
        <v/>
      </c>
    </row>
    <row r="857" spans="3:5">
      <c r="C857" s="177" t="s">
        <v>149</v>
      </c>
      <c r="D857" s="177" t="s">
        <v>149</v>
      </c>
      <c r="E857" s="177" t="str">
        <f t="shared" si="26"/>
        <v/>
      </c>
    </row>
    <row r="858" spans="3:5">
      <c r="C858" s="177" t="s">
        <v>149</v>
      </c>
      <c r="D858" s="177" t="s">
        <v>149</v>
      </c>
      <c r="E858" s="177" t="str">
        <f t="shared" si="26"/>
        <v/>
      </c>
    </row>
    <row r="859" spans="3:5">
      <c r="C859" s="177" t="s">
        <v>149</v>
      </c>
      <c r="D859" s="177" t="s">
        <v>149</v>
      </c>
      <c r="E859" s="177" t="str">
        <f t="shared" si="26"/>
        <v/>
      </c>
    </row>
    <row r="860" spans="3:5">
      <c r="C860" s="177" t="s">
        <v>149</v>
      </c>
      <c r="D860" s="177" t="s">
        <v>149</v>
      </c>
      <c r="E860" s="177" t="str">
        <f t="shared" si="26"/>
        <v/>
      </c>
    </row>
    <row r="861" spans="3:5">
      <c r="C861" s="177" t="s">
        <v>149</v>
      </c>
      <c r="D861" s="177" t="s">
        <v>149</v>
      </c>
      <c r="E861" s="177" t="str">
        <f t="shared" si="26"/>
        <v/>
      </c>
    </row>
    <row r="862" spans="3:5">
      <c r="C862" s="177" t="s">
        <v>149</v>
      </c>
      <c r="D862" s="177" t="s">
        <v>149</v>
      </c>
      <c r="E862" s="177" t="str">
        <f t="shared" si="26"/>
        <v/>
      </c>
    </row>
    <row r="863" spans="3:5">
      <c r="C863" s="177" t="s">
        <v>149</v>
      </c>
      <c r="D863" s="177" t="s">
        <v>149</v>
      </c>
      <c r="E863" s="177" t="str">
        <f t="shared" si="26"/>
        <v/>
      </c>
    </row>
    <row r="864" spans="3:5">
      <c r="C864" s="177" t="s">
        <v>149</v>
      </c>
      <c r="D864" s="177" t="s">
        <v>149</v>
      </c>
      <c r="E864" s="177" t="str">
        <f t="shared" si="26"/>
        <v/>
      </c>
    </row>
    <row r="865" spans="3:5">
      <c r="C865" s="177" t="s">
        <v>149</v>
      </c>
      <c r="D865" s="177" t="s">
        <v>149</v>
      </c>
      <c r="E865" s="177" t="str">
        <f t="shared" si="26"/>
        <v/>
      </c>
    </row>
    <row r="866" spans="3:5">
      <c r="C866" s="177" t="s">
        <v>149</v>
      </c>
      <c r="D866" s="177" t="s">
        <v>149</v>
      </c>
      <c r="E866" s="177" t="str">
        <f t="shared" si="26"/>
        <v/>
      </c>
    </row>
    <row r="867" spans="3:5">
      <c r="C867" s="177" t="s">
        <v>149</v>
      </c>
      <c r="D867" s="177" t="s">
        <v>149</v>
      </c>
      <c r="E867" s="177" t="str">
        <f t="shared" si="26"/>
        <v/>
      </c>
    </row>
    <row r="868" spans="3:5">
      <c r="C868" s="177" t="s">
        <v>149</v>
      </c>
      <c r="D868" s="177" t="s">
        <v>149</v>
      </c>
      <c r="E868" s="177" t="str">
        <f t="shared" si="26"/>
        <v/>
      </c>
    </row>
    <row r="869" spans="3:5">
      <c r="C869" s="177" t="s">
        <v>149</v>
      </c>
      <c r="D869" s="177" t="s">
        <v>149</v>
      </c>
      <c r="E869" s="177" t="str">
        <f t="shared" si="26"/>
        <v/>
      </c>
    </row>
    <row r="870" spans="3:5">
      <c r="C870" s="177" t="s">
        <v>149</v>
      </c>
      <c r="D870" s="177" t="s">
        <v>149</v>
      </c>
      <c r="E870" s="177" t="str">
        <f t="shared" si="26"/>
        <v/>
      </c>
    </row>
    <row r="871" spans="3:5">
      <c r="C871" s="177" t="s">
        <v>149</v>
      </c>
      <c r="D871" s="177" t="s">
        <v>149</v>
      </c>
      <c r="E871" s="177" t="str">
        <f t="shared" si="26"/>
        <v/>
      </c>
    </row>
    <row r="872" spans="3:5">
      <c r="C872" s="177" t="s">
        <v>149</v>
      </c>
      <c r="D872" s="177" t="s">
        <v>149</v>
      </c>
      <c r="E872" s="177" t="str">
        <f t="shared" si="26"/>
        <v/>
      </c>
    </row>
    <row r="873" spans="3:5">
      <c r="C873" s="177" t="s">
        <v>149</v>
      </c>
      <c r="D873" s="177" t="s">
        <v>149</v>
      </c>
      <c r="E873" s="177" t="str">
        <f t="shared" si="26"/>
        <v/>
      </c>
    </row>
    <row r="874" spans="3:5">
      <c r="C874" s="177" t="s">
        <v>149</v>
      </c>
      <c r="D874" s="177" t="s">
        <v>149</v>
      </c>
      <c r="E874" s="177" t="str">
        <f t="shared" si="26"/>
        <v/>
      </c>
    </row>
    <row r="875" spans="3:5">
      <c r="C875" s="177" t="s">
        <v>149</v>
      </c>
      <c r="D875" s="177" t="s">
        <v>149</v>
      </c>
      <c r="E875" s="177" t="str">
        <f t="shared" si="26"/>
        <v/>
      </c>
    </row>
    <row r="876" spans="3:5">
      <c r="C876" s="177" t="s">
        <v>149</v>
      </c>
      <c r="D876" s="177" t="s">
        <v>149</v>
      </c>
      <c r="E876" s="177" t="str">
        <f t="shared" si="26"/>
        <v/>
      </c>
    </row>
    <row r="877" spans="3:5">
      <c r="C877" s="177" t="s">
        <v>149</v>
      </c>
      <c r="D877" s="177" t="s">
        <v>149</v>
      </c>
      <c r="E877" s="177" t="str">
        <f t="shared" si="26"/>
        <v/>
      </c>
    </row>
    <row r="878" spans="3:5">
      <c r="C878" s="177" t="s">
        <v>149</v>
      </c>
      <c r="D878" s="177" t="s">
        <v>149</v>
      </c>
      <c r="E878" s="177" t="str">
        <f t="shared" si="26"/>
        <v/>
      </c>
    </row>
    <row r="879" spans="3:5">
      <c r="C879" s="177" t="s">
        <v>149</v>
      </c>
      <c r="D879" s="177" t="s">
        <v>149</v>
      </c>
      <c r="E879" s="177" t="str">
        <f t="shared" si="26"/>
        <v/>
      </c>
    </row>
    <row r="880" spans="3:5">
      <c r="C880" s="177" t="s">
        <v>149</v>
      </c>
      <c r="D880" s="177" t="s">
        <v>149</v>
      </c>
      <c r="E880" s="177" t="str">
        <f t="shared" si="26"/>
        <v/>
      </c>
    </row>
    <row r="881" spans="3:5">
      <c r="C881" s="177" t="s">
        <v>149</v>
      </c>
      <c r="D881" s="177" t="s">
        <v>149</v>
      </c>
      <c r="E881" s="177" t="str">
        <f t="shared" si="26"/>
        <v/>
      </c>
    </row>
    <row r="882" spans="3:5">
      <c r="C882" s="177" t="s">
        <v>149</v>
      </c>
      <c r="D882" s="177" t="s">
        <v>149</v>
      </c>
      <c r="E882" s="177" t="str">
        <f t="shared" si="26"/>
        <v/>
      </c>
    </row>
    <row r="883" spans="3:5">
      <c r="C883" s="177" t="s">
        <v>149</v>
      </c>
      <c r="D883" s="177" t="s">
        <v>149</v>
      </c>
      <c r="E883" s="177" t="str">
        <f t="shared" si="26"/>
        <v/>
      </c>
    </row>
    <row r="884" spans="3:5">
      <c r="C884" s="177" t="s">
        <v>149</v>
      </c>
      <c r="D884" s="177" t="s">
        <v>149</v>
      </c>
      <c r="E884" s="177" t="str">
        <f t="shared" si="26"/>
        <v/>
      </c>
    </row>
    <row r="885" spans="3:5">
      <c r="C885" s="177" t="s">
        <v>149</v>
      </c>
      <c r="D885" s="177" t="s">
        <v>149</v>
      </c>
      <c r="E885" s="177" t="str">
        <f t="shared" si="26"/>
        <v/>
      </c>
    </row>
    <row r="886" spans="3:5">
      <c r="C886" s="177" t="s">
        <v>149</v>
      </c>
      <c r="D886" s="177" t="s">
        <v>149</v>
      </c>
      <c r="E886" s="177" t="str">
        <f t="shared" si="26"/>
        <v/>
      </c>
    </row>
    <row r="887" spans="3:5">
      <c r="C887" s="177" t="s">
        <v>149</v>
      </c>
      <c r="D887" s="177" t="s">
        <v>149</v>
      </c>
      <c r="E887" s="177" t="str">
        <f t="shared" si="26"/>
        <v/>
      </c>
    </row>
    <row r="888" spans="3:5">
      <c r="C888" s="177" t="s">
        <v>149</v>
      </c>
      <c r="D888" s="177" t="s">
        <v>149</v>
      </c>
      <c r="E888" s="177" t="str">
        <f t="shared" si="26"/>
        <v/>
      </c>
    </row>
    <row r="889" spans="3:5">
      <c r="C889" s="177" t="s">
        <v>149</v>
      </c>
      <c r="D889" s="177" t="s">
        <v>149</v>
      </c>
      <c r="E889" s="177" t="str">
        <f t="shared" si="26"/>
        <v/>
      </c>
    </row>
    <row r="890" spans="3:5">
      <c r="C890" s="177" t="s">
        <v>149</v>
      </c>
      <c r="D890" s="177" t="s">
        <v>149</v>
      </c>
      <c r="E890" s="177" t="str">
        <f t="shared" si="26"/>
        <v/>
      </c>
    </row>
    <row r="891" spans="3:5">
      <c r="C891" s="177" t="s">
        <v>149</v>
      </c>
      <c r="D891" s="177" t="s">
        <v>149</v>
      </c>
      <c r="E891" s="177" t="str">
        <f t="shared" si="26"/>
        <v/>
      </c>
    </row>
    <row r="892" spans="3:5">
      <c r="C892" s="177" t="s">
        <v>149</v>
      </c>
      <c r="D892" s="177" t="s">
        <v>149</v>
      </c>
      <c r="E892" s="177" t="str">
        <f t="shared" si="26"/>
        <v/>
      </c>
    </row>
    <row r="893" spans="3:5">
      <c r="C893" s="177" t="s">
        <v>149</v>
      </c>
      <c r="D893" s="177" t="s">
        <v>149</v>
      </c>
      <c r="E893" s="177" t="str">
        <f t="shared" si="26"/>
        <v/>
      </c>
    </row>
    <row r="894" spans="3:5">
      <c r="C894" s="177" t="s">
        <v>149</v>
      </c>
      <c r="D894" s="177" t="s">
        <v>149</v>
      </c>
      <c r="E894" s="177" t="str">
        <f t="shared" si="26"/>
        <v/>
      </c>
    </row>
    <row r="895" spans="3:5">
      <c r="C895" s="177" t="s">
        <v>149</v>
      </c>
      <c r="D895" s="177" t="s">
        <v>149</v>
      </c>
      <c r="E895" s="177" t="str">
        <f t="shared" si="26"/>
        <v/>
      </c>
    </row>
    <row r="896" spans="3:5">
      <c r="C896" s="177" t="s">
        <v>149</v>
      </c>
      <c r="D896" s="177" t="s">
        <v>149</v>
      </c>
      <c r="E896" s="177" t="str">
        <f t="shared" si="26"/>
        <v/>
      </c>
    </row>
    <row r="897" spans="3:5">
      <c r="C897" s="177" t="s">
        <v>149</v>
      </c>
      <c r="D897" s="177" t="s">
        <v>149</v>
      </c>
      <c r="E897" s="177" t="str">
        <f t="shared" si="26"/>
        <v/>
      </c>
    </row>
    <row r="898" spans="3:5">
      <c r="C898" s="177" t="s">
        <v>149</v>
      </c>
      <c r="D898" s="177" t="s">
        <v>149</v>
      </c>
      <c r="E898" s="177" t="str">
        <f t="shared" si="26"/>
        <v/>
      </c>
    </row>
    <row r="899" spans="3:5">
      <c r="C899" s="177" t="s">
        <v>149</v>
      </c>
      <c r="D899" s="177" t="s">
        <v>149</v>
      </c>
      <c r="E899" s="177" t="str">
        <f t="shared" si="26"/>
        <v/>
      </c>
    </row>
    <row r="900" spans="3:5">
      <c r="C900" s="177" t="s">
        <v>149</v>
      </c>
      <c r="D900" s="177" t="s">
        <v>149</v>
      </c>
      <c r="E900" s="177" t="str">
        <f t="shared" ref="E900:E963" si="27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7"/>
        <v/>
      </c>
    </row>
    <row r="902" spans="3:5">
      <c r="C902" s="177" t="s">
        <v>149</v>
      </c>
      <c r="D902" s="177" t="s">
        <v>149</v>
      </c>
      <c r="E902" s="177" t="str">
        <f t="shared" si="27"/>
        <v/>
      </c>
    </row>
    <row r="903" spans="3:5">
      <c r="C903" s="177" t="s">
        <v>149</v>
      </c>
      <c r="D903" s="177" t="s">
        <v>149</v>
      </c>
      <c r="E903" s="177" t="str">
        <f t="shared" si="27"/>
        <v/>
      </c>
    </row>
    <row r="904" spans="3:5">
      <c r="C904" s="177" t="s">
        <v>149</v>
      </c>
      <c r="D904" s="177" t="s">
        <v>149</v>
      </c>
      <c r="E904" s="177" t="str">
        <f t="shared" si="27"/>
        <v/>
      </c>
    </row>
    <row r="905" spans="3:5">
      <c r="C905" s="177" t="s">
        <v>149</v>
      </c>
      <c r="D905" s="177" t="s">
        <v>149</v>
      </c>
      <c r="E905" s="177" t="str">
        <f t="shared" si="27"/>
        <v/>
      </c>
    </row>
    <row r="906" spans="3:5">
      <c r="C906" s="177" t="s">
        <v>149</v>
      </c>
      <c r="D906" s="177" t="s">
        <v>149</v>
      </c>
      <c r="E906" s="177" t="str">
        <f t="shared" si="27"/>
        <v/>
      </c>
    </row>
    <row r="907" spans="3:5">
      <c r="C907" s="177" t="s">
        <v>149</v>
      </c>
      <c r="D907" s="177" t="s">
        <v>149</v>
      </c>
      <c r="E907" s="177" t="str">
        <f t="shared" si="27"/>
        <v/>
      </c>
    </row>
    <row r="908" spans="3:5">
      <c r="C908" s="177" t="s">
        <v>149</v>
      </c>
      <c r="D908" s="177" t="s">
        <v>149</v>
      </c>
      <c r="E908" s="177" t="str">
        <f t="shared" si="27"/>
        <v/>
      </c>
    </row>
    <row r="909" spans="3:5">
      <c r="C909" s="177" t="s">
        <v>149</v>
      </c>
      <c r="D909" s="177" t="s">
        <v>149</v>
      </c>
      <c r="E909" s="177" t="str">
        <f t="shared" si="27"/>
        <v/>
      </c>
    </row>
    <row r="910" spans="3:5">
      <c r="C910" s="177" t="s">
        <v>149</v>
      </c>
      <c r="D910" s="177" t="s">
        <v>149</v>
      </c>
      <c r="E910" s="177" t="str">
        <f t="shared" si="27"/>
        <v/>
      </c>
    </row>
    <row r="911" spans="3:5">
      <c r="C911" s="177" t="s">
        <v>149</v>
      </c>
      <c r="D911" s="177" t="s">
        <v>149</v>
      </c>
      <c r="E911" s="177" t="str">
        <f t="shared" si="27"/>
        <v/>
      </c>
    </row>
    <row r="912" spans="3:5">
      <c r="C912" s="177" t="s">
        <v>149</v>
      </c>
      <c r="D912" s="177" t="s">
        <v>149</v>
      </c>
      <c r="E912" s="177" t="str">
        <f t="shared" si="27"/>
        <v/>
      </c>
    </row>
    <row r="913" spans="3:5">
      <c r="C913" s="177" t="s">
        <v>149</v>
      </c>
      <c r="D913" s="177" t="s">
        <v>149</v>
      </c>
      <c r="E913" s="177" t="str">
        <f t="shared" si="27"/>
        <v/>
      </c>
    </row>
    <row r="914" spans="3:5">
      <c r="C914" s="177" t="s">
        <v>149</v>
      </c>
      <c r="D914" s="177" t="s">
        <v>149</v>
      </c>
      <c r="E914" s="177" t="str">
        <f t="shared" si="27"/>
        <v/>
      </c>
    </row>
    <row r="915" spans="3:5">
      <c r="C915" s="177" t="s">
        <v>149</v>
      </c>
      <c r="D915" s="177" t="s">
        <v>149</v>
      </c>
      <c r="E915" s="177" t="str">
        <f t="shared" si="27"/>
        <v/>
      </c>
    </row>
    <row r="916" spans="3:5">
      <c r="C916" s="177" t="s">
        <v>149</v>
      </c>
      <c r="D916" s="177" t="s">
        <v>149</v>
      </c>
      <c r="E916" s="177" t="str">
        <f t="shared" si="27"/>
        <v/>
      </c>
    </row>
    <row r="917" spans="3:5">
      <c r="C917" s="177" t="s">
        <v>149</v>
      </c>
      <c r="D917" s="177" t="s">
        <v>149</v>
      </c>
      <c r="E917" s="177" t="str">
        <f t="shared" si="27"/>
        <v/>
      </c>
    </row>
    <row r="918" spans="3:5">
      <c r="C918" s="177" t="s">
        <v>149</v>
      </c>
      <c r="D918" s="177" t="s">
        <v>149</v>
      </c>
      <c r="E918" s="177" t="str">
        <f t="shared" si="27"/>
        <v/>
      </c>
    </row>
    <row r="919" spans="3:5">
      <c r="C919" s="177" t="s">
        <v>149</v>
      </c>
      <c r="D919" s="177" t="s">
        <v>149</v>
      </c>
      <c r="E919" s="177" t="str">
        <f t="shared" si="27"/>
        <v/>
      </c>
    </row>
    <row r="920" spans="3:5">
      <c r="C920" s="177" t="s">
        <v>149</v>
      </c>
      <c r="D920" s="177" t="s">
        <v>149</v>
      </c>
      <c r="E920" s="177" t="str">
        <f t="shared" si="27"/>
        <v/>
      </c>
    </row>
    <row r="921" spans="3:5">
      <c r="C921" s="177" t="s">
        <v>149</v>
      </c>
      <c r="D921" s="177" t="s">
        <v>149</v>
      </c>
      <c r="E921" s="177" t="str">
        <f t="shared" si="27"/>
        <v/>
      </c>
    </row>
    <row r="922" spans="3:5">
      <c r="C922" s="177" t="s">
        <v>149</v>
      </c>
      <c r="D922" s="177" t="s">
        <v>149</v>
      </c>
      <c r="E922" s="177" t="str">
        <f t="shared" si="27"/>
        <v/>
      </c>
    </row>
    <row r="923" spans="3:5">
      <c r="C923" s="177" t="s">
        <v>149</v>
      </c>
      <c r="D923" s="177" t="s">
        <v>149</v>
      </c>
      <c r="E923" s="177" t="str">
        <f t="shared" si="27"/>
        <v/>
      </c>
    </row>
    <row r="924" spans="3:5">
      <c r="C924" s="177" t="s">
        <v>149</v>
      </c>
      <c r="D924" s="177" t="s">
        <v>149</v>
      </c>
      <c r="E924" s="177" t="str">
        <f t="shared" si="27"/>
        <v/>
      </c>
    </row>
    <row r="925" spans="3:5">
      <c r="C925" s="177" t="s">
        <v>149</v>
      </c>
      <c r="D925" s="177" t="s">
        <v>149</v>
      </c>
      <c r="E925" s="177" t="str">
        <f t="shared" si="27"/>
        <v/>
      </c>
    </row>
    <row r="926" spans="3:5">
      <c r="C926" s="177" t="s">
        <v>149</v>
      </c>
      <c r="D926" s="177" t="s">
        <v>149</v>
      </c>
      <c r="E926" s="177" t="str">
        <f t="shared" si="27"/>
        <v/>
      </c>
    </row>
    <row r="927" spans="3:5">
      <c r="C927" s="177" t="s">
        <v>149</v>
      </c>
      <c r="D927" s="177" t="s">
        <v>149</v>
      </c>
      <c r="E927" s="177" t="str">
        <f t="shared" si="27"/>
        <v/>
      </c>
    </row>
    <row r="928" spans="3:5">
      <c r="C928" s="177" t="s">
        <v>149</v>
      </c>
      <c r="D928" s="177" t="s">
        <v>149</v>
      </c>
      <c r="E928" s="177" t="str">
        <f t="shared" si="27"/>
        <v/>
      </c>
    </row>
    <row r="929" spans="3:5">
      <c r="C929" s="177" t="s">
        <v>149</v>
      </c>
      <c r="D929" s="177" t="s">
        <v>149</v>
      </c>
      <c r="E929" s="177" t="str">
        <f t="shared" si="27"/>
        <v/>
      </c>
    </row>
    <row r="930" spans="3:5">
      <c r="C930" s="177" t="s">
        <v>149</v>
      </c>
      <c r="D930" s="177" t="s">
        <v>149</v>
      </c>
      <c r="E930" s="177" t="str">
        <f t="shared" si="27"/>
        <v/>
      </c>
    </row>
    <row r="931" spans="3:5">
      <c r="C931" s="177" t="s">
        <v>149</v>
      </c>
      <c r="D931" s="177" t="s">
        <v>149</v>
      </c>
      <c r="E931" s="177" t="str">
        <f t="shared" si="27"/>
        <v/>
      </c>
    </row>
    <row r="932" spans="3:5">
      <c r="C932" s="177" t="s">
        <v>149</v>
      </c>
      <c r="D932" s="177" t="s">
        <v>149</v>
      </c>
      <c r="E932" s="177" t="str">
        <f t="shared" si="27"/>
        <v/>
      </c>
    </row>
    <row r="933" spans="3:5">
      <c r="C933" s="177" t="s">
        <v>149</v>
      </c>
      <c r="D933" s="177" t="s">
        <v>149</v>
      </c>
      <c r="E933" s="177" t="str">
        <f t="shared" si="27"/>
        <v/>
      </c>
    </row>
    <row r="934" spans="3:5">
      <c r="C934" s="177" t="s">
        <v>149</v>
      </c>
      <c r="D934" s="177" t="s">
        <v>149</v>
      </c>
      <c r="E934" s="177" t="str">
        <f t="shared" si="27"/>
        <v/>
      </c>
    </row>
    <row r="935" spans="3:5">
      <c r="C935" s="177" t="s">
        <v>149</v>
      </c>
      <c r="D935" s="177" t="s">
        <v>149</v>
      </c>
      <c r="E935" s="177" t="str">
        <f t="shared" si="27"/>
        <v/>
      </c>
    </row>
    <row r="936" spans="3:5">
      <c r="C936" s="177" t="s">
        <v>149</v>
      </c>
      <c r="D936" s="177" t="s">
        <v>149</v>
      </c>
      <c r="E936" s="177" t="str">
        <f t="shared" si="27"/>
        <v/>
      </c>
    </row>
    <row r="937" spans="3:5">
      <c r="C937" s="177" t="s">
        <v>149</v>
      </c>
      <c r="D937" s="177" t="s">
        <v>149</v>
      </c>
      <c r="E937" s="177" t="str">
        <f t="shared" si="27"/>
        <v/>
      </c>
    </row>
    <row r="938" spans="3:5">
      <c r="C938" s="177" t="s">
        <v>149</v>
      </c>
      <c r="D938" s="177" t="s">
        <v>149</v>
      </c>
      <c r="E938" s="177" t="str">
        <f t="shared" si="27"/>
        <v/>
      </c>
    </row>
    <row r="939" spans="3:5">
      <c r="C939" s="177" t="s">
        <v>149</v>
      </c>
      <c r="D939" s="177" t="s">
        <v>149</v>
      </c>
      <c r="E939" s="177" t="str">
        <f t="shared" si="27"/>
        <v/>
      </c>
    </row>
    <row r="940" spans="3:5">
      <c r="C940" s="177" t="s">
        <v>149</v>
      </c>
      <c r="D940" s="177" t="s">
        <v>149</v>
      </c>
      <c r="E940" s="177" t="str">
        <f t="shared" si="27"/>
        <v/>
      </c>
    </row>
    <row r="941" spans="3:5">
      <c r="C941" s="177" t="s">
        <v>149</v>
      </c>
      <c r="D941" s="177" t="s">
        <v>149</v>
      </c>
      <c r="E941" s="177" t="str">
        <f t="shared" si="27"/>
        <v/>
      </c>
    </row>
    <row r="942" spans="3:5">
      <c r="C942" s="177" t="s">
        <v>149</v>
      </c>
      <c r="D942" s="177" t="s">
        <v>149</v>
      </c>
      <c r="E942" s="177" t="str">
        <f t="shared" si="27"/>
        <v/>
      </c>
    </row>
    <row r="943" spans="3:5">
      <c r="C943" s="177" t="s">
        <v>149</v>
      </c>
      <c r="D943" s="177" t="s">
        <v>149</v>
      </c>
      <c r="E943" s="177" t="str">
        <f t="shared" si="27"/>
        <v/>
      </c>
    </row>
    <row r="944" spans="3:5">
      <c r="C944" s="177" t="s">
        <v>149</v>
      </c>
      <c r="D944" s="177" t="s">
        <v>149</v>
      </c>
      <c r="E944" s="177" t="str">
        <f t="shared" si="27"/>
        <v/>
      </c>
    </row>
    <row r="945" spans="3:5">
      <c r="C945" s="177" t="s">
        <v>149</v>
      </c>
      <c r="D945" s="177" t="s">
        <v>149</v>
      </c>
      <c r="E945" s="177" t="str">
        <f t="shared" si="27"/>
        <v/>
      </c>
    </row>
    <row r="946" spans="3:5">
      <c r="C946" s="177" t="s">
        <v>149</v>
      </c>
      <c r="D946" s="177" t="s">
        <v>149</v>
      </c>
      <c r="E946" s="177" t="str">
        <f t="shared" si="27"/>
        <v/>
      </c>
    </row>
    <row r="947" spans="3:5">
      <c r="C947" s="177" t="s">
        <v>149</v>
      </c>
      <c r="D947" s="177" t="s">
        <v>149</v>
      </c>
      <c r="E947" s="177" t="str">
        <f t="shared" si="27"/>
        <v/>
      </c>
    </row>
    <row r="948" spans="3:5">
      <c r="C948" s="177" t="s">
        <v>149</v>
      </c>
      <c r="D948" s="177" t="s">
        <v>149</v>
      </c>
      <c r="E948" s="177" t="str">
        <f t="shared" si="27"/>
        <v/>
      </c>
    </row>
    <row r="949" spans="3:5">
      <c r="C949" s="177" t="s">
        <v>149</v>
      </c>
      <c r="D949" s="177" t="s">
        <v>149</v>
      </c>
      <c r="E949" s="177" t="str">
        <f t="shared" si="27"/>
        <v/>
      </c>
    </row>
    <row r="950" spans="3:5">
      <c r="C950" s="177" t="s">
        <v>149</v>
      </c>
      <c r="D950" s="177" t="s">
        <v>149</v>
      </c>
      <c r="E950" s="177" t="str">
        <f t="shared" si="27"/>
        <v/>
      </c>
    </row>
    <row r="951" spans="3:5">
      <c r="C951" s="177" t="s">
        <v>149</v>
      </c>
      <c r="D951" s="177" t="s">
        <v>149</v>
      </c>
      <c r="E951" s="177" t="str">
        <f t="shared" si="27"/>
        <v/>
      </c>
    </row>
    <row r="952" spans="3:5">
      <c r="C952" s="177" t="s">
        <v>149</v>
      </c>
      <c r="D952" s="177" t="s">
        <v>149</v>
      </c>
      <c r="E952" s="177" t="str">
        <f t="shared" si="27"/>
        <v/>
      </c>
    </row>
    <row r="953" spans="3:5">
      <c r="C953" s="177" t="s">
        <v>149</v>
      </c>
      <c r="D953" s="177" t="s">
        <v>149</v>
      </c>
      <c r="E953" s="177" t="str">
        <f t="shared" si="27"/>
        <v/>
      </c>
    </row>
    <row r="954" spans="3:5">
      <c r="C954" s="177" t="s">
        <v>149</v>
      </c>
      <c r="D954" s="177" t="s">
        <v>149</v>
      </c>
      <c r="E954" s="177" t="str">
        <f t="shared" si="27"/>
        <v/>
      </c>
    </row>
    <row r="955" spans="3:5">
      <c r="C955" s="177" t="s">
        <v>149</v>
      </c>
      <c r="D955" s="177" t="s">
        <v>149</v>
      </c>
      <c r="E955" s="177" t="str">
        <f t="shared" si="27"/>
        <v/>
      </c>
    </row>
    <row r="956" spans="3:5">
      <c r="C956" s="177" t="s">
        <v>149</v>
      </c>
      <c r="D956" s="177" t="s">
        <v>149</v>
      </c>
      <c r="E956" s="177" t="str">
        <f t="shared" si="27"/>
        <v/>
      </c>
    </row>
    <row r="957" spans="3:5">
      <c r="C957" s="177" t="s">
        <v>149</v>
      </c>
      <c r="D957" s="177" t="s">
        <v>149</v>
      </c>
      <c r="E957" s="177" t="str">
        <f t="shared" si="27"/>
        <v/>
      </c>
    </row>
    <row r="958" spans="3:5">
      <c r="C958" s="177" t="s">
        <v>149</v>
      </c>
      <c r="D958" s="177" t="s">
        <v>149</v>
      </c>
      <c r="E958" s="177" t="str">
        <f t="shared" si="27"/>
        <v/>
      </c>
    </row>
    <row r="959" spans="3:5">
      <c r="C959" s="177" t="s">
        <v>149</v>
      </c>
      <c r="D959" s="177" t="s">
        <v>149</v>
      </c>
      <c r="E959" s="177" t="str">
        <f t="shared" si="27"/>
        <v/>
      </c>
    </row>
    <row r="960" spans="3:5">
      <c r="C960" s="177" t="s">
        <v>149</v>
      </c>
      <c r="D960" s="177" t="s">
        <v>149</v>
      </c>
      <c r="E960" s="177" t="str">
        <f t="shared" si="27"/>
        <v/>
      </c>
    </row>
    <row r="961" spans="3:5">
      <c r="C961" s="177" t="s">
        <v>149</v>
      </c>
      <c r="D961" s="177" t="s">
        <v>149</v>
      </c>
      <c r="E961" s="177" t="str">
        <f t="shared" si="27"/>
        <v/>
      </c>
    </row>
    <row r="962" spans="3:5">
      <c r="C962" s="177" t="s">
        <v>149</v>
      </c>
      <c r="D962" s="177" t="s">
        <v>149</v>
      </c>
      <c r="E962" s="177" t="str">
        <f t="shared" si="27"/>
        <v/>
      </c>
    </row>
    <row r="963" spans="3:5">
      <c r="C963" s="177" t="s">
        <v>149</v>
      </c>
      <c r="D963" s="177" t="s">
        <v>149</v>
      </c>
      <c r="E963" s="177" t="str">
        <f t="shared" si="27"/>
        <v/>
      </c>
    </row>
    <row r="964" spans="3:5">
      <c r="C964" s="177" t="s">
        <v>149</v>
      </c>
      <c r="D964" s="177" t="s">
        <v>149</v>
      </c>
      <c r="E964" s="177" t="str">
        <f t="shared" ref="E964:E1027" si="28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8"/>
        <v/>
      </c>
    </row>
    <row r="966" spans="3:5">
      <c r="C966" s="177" t="s">
        <v>149</v>
      </c>
      <c r="D966" s="177" t="s">
        <v>149</v>
      </c>
      <c r="E966" s="177" t="str">
        <f t="shared" si="28"/>
        <v/>
      </c>
    </row>
    <row r="967" spans="3:5">
      <c r="C967" s="177" t="s">
        <v>149</v>
      </c>
      <c r="D967" s="177" t="s">
        <v>149</v>
      </c>
      <c r="E967" s="177" t="str">
        <f t="shared" si="28"/>
        <v/>
      </c>
    </row>
    <row r="968" spans="3:5">
      <c r="C968" s="177" t="s">
        <v>149</v>
      </c>
      <c r="D968" s="177" t="s">
        <v>149</v>
      </c>
      <c r="E968" s="177" t="str">
        <f t="shared" si="28"/>
        <v/>
      </c>
    </row>
    <row r="969" spans="3:5">
      <c r="C969" s="177" t="s">
        <v>149</v>
      </c>
      <c r="D969" s="177" t="s">
        <v>149</v>
      </c>
      <c r="E969" s="177" t="str">
        <f t="shared" si="28"/>
        <v/>
      </c>
    </row>
    <row r="970" spans="3:5">
      <c r="C970" s="177" t="s">
        <v>149</v>
      </c>
      <c r="D970" s="177" t="s">
        <v>149</v>
      </c>
      <c r="E970" s="177" t="str">
        <f t="shared" si="28"/>
        <v/>
      </c>
    </row>
    <row r="971" spans="3:5">
      <c r="C971" s="177" t="s">
        <v>149</v>
      </c>
      <c r="D971" s="177" t="s">
        <v>149</v>
      </c>
      <c r="E971" s="177" t="str">
        <f t="shared" si="28"/>
        <v/>
      </c>
    </row>
    <row r="972" spans="3:5">
      <c r="C972" s="177" t="s">
        <v>149</v>
      </c>
      <c r="D972" s="177" t="s">
        <v>149</v>
      </c>
      <c r="E972" s="177" t="str">
        <f t="shared" si="28"/>
        <v/>
      </c>
    </row>
    <row r="973" spans="3:5">
      <c r="C973" s="177" t="s">
        <v>149</v>
      </c>
      <c r="D973" s="177" t="s">
        <v>149</v>
      </c>
      <c r="E973" s="177" t="str">
        <f t="shared" si="28"/>
        <v/>
      </c>
    </row>
    <row r="974" spans="3:5">
      <c r="C974" s="177" t="s">
        <v>149</v>
      </c>
      <c r="D974" s="177" t="s">
        <v>149</v>
      </c>
      <c r="E974" s="177" t="str">
        <f t="shared" si="28"/>
        <v/>
      </c>
    </row>
    <row r="975" spans="3:5">
      <c r="C975" s="177" t="s">
        <v>149</v>
      </c>
      <c r="D975" s="177" t="s">
        <v>149</v>
      </c>
      <c r="E975" s="177" t="str">
        <f t="shared" si="28"/>
        <v/>
      </c>
    </row>
    <row r="976" spans="3:5">
      <c r="C976" s="177" t="s">
        <v>149</v>
      </c>
      <c r="D976" s="177" t="s">
        <v>149</v>
      </c>
      <c r="E976" s="177" t="str">
        <f t="shared" si="28"/>
        <v/>
      </c>
    </row>
    <row r="977" spans="3:5">
      <c r="C977" s="177" t="s">
        <v>149</v>
      </c>
      <c r="D977" s="177" t="s">
        <v>149</v>
      </c>
      <c r="E977" s="177" t="str">
        <f t="shared" si="28"/>
        <v/>
      </c>
    </row>
    <row r="978" spans="3:5">
      <c r="C978" s="177" t="s">
        <v>149</v>
      </c>
      <c r="D978" s="177" t="s">
        <v>149</v>
      </c>
      <c r="E978" s="177" t="str">
        <f t="shared" si="28"/>
        <v/>
      </c>
    </row>
    <row r="979" spans="3:5">
      <c r="C979" s="177" t="s">
        <v>149</v>
      </c>
      <c r="D979" s="177" t="s">
        <v>149</v>
      </c>
      <c r="E979" s="177" t="str">
        <f t="shared" si="28"/>
        <v/>
      </c>
    </row>
    <row r="980" spans="3:5">
      <c r="C980" s="177" t="s">
        <v>149</v>
      </c>
      <c r="D980" s="177" t="s">
        <v>149</v>
      </c>
      <c r="E980" s="177" t="str">
        <f t="shared" si="28"/>
        <v/>
      </c>
    </row>
    <row r="981" spans="3:5">
      <c r="C981" s="177" t="s">
        <v>149</v>
      </c>
      <c r="D981" s="177" t="s">
        <v>149</v>
      </c>
      <c r="E981" s="177" t="str">
        <f t="shared" si="28"/>
        <v/>
      </c>
    </row>
    <row r="982" spans="3:5">
      <c r="C982" s="177" t="s">
        <v>149</v>
      </c>
      <c r="D982" s="177" t="s">
        <v>149</v>
      </c>
      <c r="E982" s="177" t="str">
        <f t="shared" si="28"/>
        <v/>
      </c>
    </row>
    <row r="983" spans="3:5">
      <c r="C983" s="177" t="s">
        <v>149</v>
      </c>
      <c r="D983" s="177" t="s">
        <v>149</v>
      </c>
      <c r="E983" s="177" t="str">
        <f t="shared" si="28"/>
        <v/>
      </c>
    </row>
    <row r="984" spans="3:5">
      <c r="C984" s="177" t="s">
        <v>149</v>
      </c>
      <c r="D984" s="177" t="s">
        <v>149</v>
      </c>
      <c r="E984" s="177" t="str">
        <f t="shared" si="28"/>
        <v/>
      </c>
    </row>
    <row r="985" spans="3:5">
      <c r="C985" s="177" t="s">
        <v>149</v>
      </c>
      <c r="D985" s="177" t="s">
        <v>149</v>
      </c>
      <c r="E985" s="177" t="str">
        <f t="shared" si="28"/>
        <v/>
      </c>
    </row>
    <row r="986" spans="3:5">
      <c r="C986" s="177" t="s">
        <v>149</v>
      </c>
      <c r="D986" s="177" t="s">
        <v>149</v>
      </c>
      <c r="E986" s="177" t="str">
        <f t="shared" si="28"/>
        <v/>
      </c>
    </row>
    <row r="987" spans="3:5">
      <c r="C987" s="177" t="s">
        <v>149</v>
      </c>
      <c r="D987" s="177" t="s">
        <v>149</v>
      </c>
      <c r="E987" s="177" t="str">
        <f t="shared" si="28"/>
        <v/>
      </c>
    </row>
    <row r="988" spans="3:5">
      <c r="C988" s="177" t="s">
        <v>149</v>
      </c>
      <c r="D988" s="177" t="s">
        <v>149</v>
      </c>
      <c r="E988" s="177" t="str">
        <f t="shared" si="28"/>
        <v/>
      </c>
    </row>
    <row r="989" spans="3:5">
      <c r="C989" s="177" t="s">
        <v>149</v>
      </c>
      <c r="D989" s="177" t="s">
        <v>149</v>
      </c>
      <c r="E989" s="177" t="str">
        <f t="shared" si="28"/>
        <v/>
      </c>
    </row>
    <row r="990" spans="3:5">
      <c r="C990" s="177" t="s">
        <v>149</v>
      </c>
      <c r="D990" s="177" t="s">
        <v>149</v>
      </c>
      <c r="E990" s="177" t="str">
        <f t="shared" si="28"/>
        <v/>
      </c>
    </row>
    <row r="991" spans="3:5">
      <c r="C991" s="177" t="s">
        <v>149</v>
      </c>
      <c r="D991" s="177" t="s">
        <v>149</v>
      </c>
      <c r="E991" s="177" t="str">
        <f t="shared" si="28"/>
        <v/>
      </c>
    </row>
    <row r="992" spans="3:5">
      <c r="C992" s="177" t="s">
        <v>149</v>
      </c>
      <c r="D992" s="177" t="s">
        <v>149</v>
      </c>
      <c r="E992" s="177" t="str">
        <f t="shared" si="28"/>
        <v/>
      </c>
    </row>
    <row r="993" spans="3:5">
      <c r="C993" s="177" t="s">
        <v>149</v>
      </c>
      <c r="D993" s="177" t="s">
        <v>149</v>
      </c>
      <c r="E993" s="177" t="str">
        <f t="shared" si="28"/>
        <v/>
      </c>
    </row>
    <row r="994" spans="3:5">
      <c r="C994" s="177" t="s">
        <v>149</v>
      </c>
      <c r="D994" s="177" t="s">
        <v>149</v>
      </c>
      <c r="E994" s="177" t="str">
        <f t="shared" si="28"/>
        <v/>
      </c>
    </row>
    <row r="995" spans="3:5">
      <c r="C995" s="177" t="s">
        <v>149</v>
      </c>
      <c r="D995" s="177" t="s">
        <v>149</v>
      </c>
      <c r="E995" s="177" t="str">
        <f t="shared" si="28"/>
        <v/>
      </c>
    </row>
    <row r="996" spans="3:5">
      <c r="C996" s="177" t="s">
        <v>149</v>
      </c>
      <c r="D996" s="177" t="s">
        <v>149</v>
      </c>
      <c r="E996" s="177" t="str">
        <f t="shared" si="28"/>
        <v/>
      </c>
    </row>
    <row r="997" spans="3:5">
      <c r="C997" s="177" t="s">
        <v>149</v>
      </c>
      <c r="D997" s="177" t="s">
        <v>149</v>
      </c>
      <c r="E997" s="177" t="str">
        <f t="shared" si="28"/>
        <v/>
      </c>
    </row>
    <row r="998" spans="3:5">
      <c r="C998" s="177" t="s">
        <v>149</v>
      </c>
      <c r="D998" s="177" t="s">
        <v>149</v>
      </c>
      <c r="E998" s="177" t="str">
        <f t="shared" si="28"/>
        <v/>
      </c>
    </row>
    <row r="999" spans="3:5">
      <c r="C999" s="177" t="s">
        <v>149</v>
      </c>
      <c r="D999" s="177" t="s">
        <v>149</v>
      </c>
      <c r="E999" s="177" t="str">
        <f t="shared" si="28"/>
        <v/>
      </c>
    </row>
    <row r="1000" spans="3:5">
      <c r="C1000" s="177" t="s">
        <v>149</v>
      </c>
      <c r="D1000" s="177" t="s">
        <v>149</v>
      </c>
      <c r="E1000" s="177" t="str">
        <f t="shared" si="28"/>
        <v/>
      </c>
    </row>
    <row r="1001" spans="3:5">
      <c r="C1001" s="177" t="s">
        <v>149</v>
      </c>
      <c r="D1001" s="177" t="s">
        <v>149</v>
      </c>
      <c r="E1001" s="177" t="str">
        <f t="shared" si="28"/>
        <v/>
      </c>
    </row>
    <row r="1002" spans="3:5">
      <c r="C1002" s="177" t="s">
        <v>149</v>
      </c>
      <c r="D1002" s="177" t="s">
        <v>149</v>
      </c>
      <c r="E1002" s="177" t="str">
        <f t="shared" si="28"/>
        <v/>
      </c>
    </row>
    <row r="1003" spans="3:5">
      <c r="C1003" s="177" t="s">
        <v>149</v>
      </c>
      <c r="D1003" s="177" t="s">
        <v>149</v>
      </c>
      <c r="E1003" s="177" t="str">
        <f t="shared" si="28"/>
        <v/>
      </c>
    </row>
    <row r="1004" spans="3:5">
      <c r="C1004" s="177" t="s">
        <v>149</v>
      </c>
      <c r="D1004" s="177" t="s">
        <v>149</v>
      </c>
      <c r="E1004" s="177" t="str">
        <f t="shared" si="28"/>
        <v/>
      </c>
    </row>
    <row r="1005" spans="3:5">
      <c r="C1005" s="177" t="s">
        <v>149</v>
      </c>
      <c r="D1005" s="177" t="s">
        <v>149</v>
      </c>
      <c r="E1005" s="177" t="str">
        <f t="shared" si="28"/>
        <v/>
      </c>
    </row>
    <row r="1006" spans="3:5">
      <c r="C1006" s="177" t="s">
        <v>149</v>
      </c>
      <c r="D1006" s="177" t="s">
        <v>149</v>
      </c>
      <c r="E1006" s="177" t="str">
        <f t="shared" si="28"/>
        <v/>
      </c>
    </row>
    <row r="1007" spans="3:5">
      <c r="C1007" s="177" t="s">
        <v>149</v>
      </c>
      <c r="D1007" s="177" t="s">
        <v>149</v>
      </c>
      <c r="E1007" s="177" t="str">
        <f t="shared" si="28"/>
        <v/>
      </c>
    </row>
    <row r="1008" spans="3:5">
      <c r="C1008" s="177" t="s">
        <v>149</v>
      </c>
      <c r="D1008" s="177" t="s">
        <v>149</v>
      </c>
      <c r="E1008" s="177" t="str">
        <f t="shared" si="28"/>
        <v/>
      </c>
    </row>
    <row r="1009" spans="3:5">
      <c r="C1009" s="177" t="s">
        <v>149</v>
      </c>
      <c r="D1009" s="177" t="s">
        <v>149</v>
      </c>
      <c r="E1009" s="177" t="str">
        <f t="shared" si="28"/>
        <v/>
      </c>
    </row>
    <row r="1010" spans="3:5">
      <c r="C1010" s="177" t="s">
        <v>149</v>
      </c>
      <c r="D1010" s="177" t="s">
        <v>149</v>
      </c>
      <c r="E1010" s="177" t="str">
        <f t="shared" si="28"/>
        <v/>
      </c>
    </row>
    <row r="1011" spans="3:5">
      <c r="C1011" s="177" t="s">
        <v>149</v>
      </c>
      <c r="D1011" s="177" t="s">
        <v>149</v>
      </c>
      <c r="E1011" s="177" t="str">
        <f t="shared" si="28"/>
        <v/>
      </c>
    </row>
    <row r="1012" spans="3:5">
      <c r="C1012" s="177" t="s">
        <v>149</v>
      </c>
      <c r="D1012" s="177" t="s">
        <v>149</v>
      </c>
      <c r="E1012" s="177" t="str">
        <f t="shared" si="28"/>
        <v/>
      </c>
    </row>
    <row r="1013" spans="3:5">
      <c r="C1013" s="177" t="s">
        <v>149</v>
      </c>
      <c r="D1013" s="177" t="s">
        <v>149</v>
      </c>
      <c r="E1013" s="177" t="str">
        <f t="shared" si="28"/>
        <v/>
      </c>
    </row>
    <row r="1014" spans="3:5">
      <c r="C1014" s="177" t="s">
        <v>149</v>
      </c>
      <c r="D1014" s="177" t="s">
        <v>149</v>
      </c>
      <c r="E1014" s="177" t="str">
        <f t="shared" si="28"/>
        <v/>
      </c>
    </row>
    <row r="1015" spans="3:5">
      <c r="C1015" s="177" t="s">
        <v>149</v>
      </c>
      <c r="D1015" s="177" t="s">
        <v>149</v>
      </c>
      <c r="E1015" s="177" t="str">
        <f t="shared" si="28"/>
        <v/>
      </c>
    </row>
    <row r="1016" spans="3:5">
      <c r="C1016" s="177" t="s">
        <v>149</v>
      </c>
      <c r="D1016" s="177" t="s">
        <v>149</v>
      </c>
      <c r="E1016" s="177" t="str">
        <f t="shared" si="28"/>
        <v/>
      </c>
    </row>
    <row r="1017" spans="3:5">
      <c r="C1017" s="177" t="s">
        <v>149</v>
      </c>
      <c r="D1017" s="177" t="s">
        <v>149</v>
      </c>
      <c r="E1017" s="177" t="str">
        <f t="shared" si="28"/>
        <v/>
      </c>
    </row>
    <row r="1018" spans="3:5">
      <c r="C1018" s="177" t="s">
        <v>149</v>
      </c>
      <c r="D1018" s="177" t="s">
        <v>149</v>
      </c>
      <c r="E1018" s="177" t="str">
        <f t="shared" si="28"/>
        <v/>
      </c>
    </row>
    <row r="1019" spans="3:5">
      <c r="C1019" s="177" t="s">
        <v>149</v>
      </c>
      <c r="D1019" s="177" t="s">
        <v>149</v>
      </c>
      <c r="E1019" s="177" t="str">
        <f t="shared" si="28"/>
        <v/>
      </c>
    </row>
    <row r="1020" spans="3:5">
      <c r="C1020" s="177" t="s">
        <v>149</v>
      </c>
      <c r="D1020" s="177" t="s">
        <v>149</v>
      </c>
      <c r="E1020" s="177" t="str">
        <f t="shared" si="28"/>
        <v/>
      </c>
    </row>
    <row r="1021" spans="3:5">
      <c r="C1021" s="177" t="s">
        <v>149</v>
      </c>
      <c r="D1021" s="177" t="s">
        <v>149</v>
      </c>
      <c r="E1021" s="177" t="str">
        <f t="shared" si="28"/>
        <v/>
      </c>
    </row>
    <row r="1022" spans="3:5">
      <c r="C1022" s="177" t="s">
        <v>149</v>
      </c>
      <c r="D1022" s="177" t="s">
        <v>149</v>
      </c>
      <c r="E1022" s="177" t="str">
        <f t="shared" si="28"/>
        <v/>
      </c>
    </row>
    <row r="1023" spans="3:5">
      <c r="C1023" s="177" t="s">
        <v>149</v>
      </c>
      <c r="D1023" s="177" t="s">
        <v>149</v>
      </c>
      <c r="E1023" s="177" t="str">
        <f t="shared" si="28"/>
        <v/>
      </c>
    </row>
    <row r="1024" spans="3:5">
      <c r="C1024" s="177" t="s">
        <v>149</v>
      </c>
      <c r="D1024" s="177" t="s">
        <v>149</v>
      </c>
      <c r="E1024" s="177" t="str">
        <f t="shared" si="28"/>
        <v/>
      </c>
    </row>
    <row r="1025" spans="3:5">
      <c r="C1025" s="177" t="s">
        <v>149</v>
      </c>
      <c r="D1025" s="177" t="s">
        <v>149</v>
      </c>
      <c r="E1025" s="177" t="str">
        <f t="shared" si="28"/>
        <v/>
      </c>
    </row>
    <row r="1026" spans="3:5">
      <c r="C1026" s="177" t="s">
        <v>149</v>
      </c>
      <c r="D1026" s="177" t="s">
        <v>149</v>
      </c>
      <c r="E1026" s="177" t="str">
        <f t="shared" si="28"/>
        <v/>
      </c>
    </row>
    <row r="1027" spans="3:5">
      <c r="C1027" s="177" t="s">
        <v>149</v>
      </c>
      <c r="D1027" s="177" t="s">
        <v>149</v>
      </c>
      <c r="E1027" s="177" t="str">
        <f t="shared" si="28"/>
        <v/>
      </c>
    </row>
    <row r="1028" spans="3:5">
      <c r="C1028" s="177" t="s">
        <v>149</v>
      </c>
      <c r="D1028" s="177" t="s">
        <v>149</v>
      </c>
      <c r="E1028" s="177" t="str">
        <f t="shared" ref="E1028:E1091" si="29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9"/>
        <v/>
      </c>
    </row>
    <row r="1030" spans="3:5">
      <c r="C1030" s="177" t="s">
        <v>149</v>
      </c>
      <c r="D1030" s="177" t="s">
        <v>149</v>
      </c>
      <c r="E1030" s="177" t="str">
        <f t="shared" si="29"/>
        <v/>
      </c>
    </row>
    <row r="1031" spans="3:5">
      <c r="C1031" s="177" t="s">
        <v>149</v>
      </c>
      <c r="D1031" s="177" t="s">
        <v>149</v>
      </c>
      <c r="E1031" s="177" t="str">
        <f t="shared" si="29"/>
        <v/>
      </c>
    </row>
    <row r="1032" spans="3:5">
      <c r="C1032" s="177" t="s">
        <v>149</v>
      </c>
      <c r="D1032" s="177" t="s">
        <v>149</v>
      </c>
      <c r="E1032" s="177" t="str">
        <f t="shared" si="29"/>
        <v/>
      </c>
    </row>
    <row r="1033" spans="3:5">
      <c r="C1033" s="177" t="s">
        <v>149</v>
      </c>
      <c r="D1033" s="177" t="s">
        <v>149</v>
      </c>
      <c r="E1033" s="177" t="str">
        <f t="shared" si="29"/>
        <v/>
      </c>
    </row>
    <row r="1034" spans="3:5">
      <c r="C1034" s="177" t="s">
        <v>149</v>
      </c>
      <c r="D1034" s="177" t="s">
        <v>149</v>
      </c>
      <c r="E1034" s="177" t="str">
        <f t="shared" si="29"/>
        <v/>
      </c>
    </row>
    <row r="1035" spans="3:5">
      <c r="C1035" s="177" t="s">
        <v>149</v>
      </c>
      <c r="D1035" s="177" t="s">
        <v>149</v>
      </c>
      <c r="E1035" s="177" t="str">
        <f t="shared" si="29"/>
        <v/>
      </c>
    </row>
    <row r="1036" spans="3:5">
      <c r="C1036" s="177" t="s">
        <v>149</v>
      </c>
      <c r="D1036" s="177" t="s">
        <v>149</v>
      </c>
      <c r="E1036" s="177" t="str">
        <f t="shared" si="29"/>
        <v/>
      </c>
    </row>
    <row r="1037" spans="3:5">
      <c r="C1037" s="177" t="s">
        <v>149</v>
      </c>
      <c r="D1037" s="177" t="s">
        <v>149</v>
      </c>
      <c r="E1037" s="177" t="str">
        <f t="shared" si="29"/>
        <v/>
      </c>
    </row>
    <row r="1038" spans="3:5">
      <c r="C1038" s="177" t="s">
        <v>149</v>
      </c>
      <c r="D1038" s="177" t="s">
        <v>149</v>
      </c>
      <c r="E1038" s="177" t="str">
        <f t="shared" si="29"/>
        <v/>
      </c>
    </row>
    <row r="1039" spans="3:5">
      <c r="C1039" s="177" t="s">
        <v>149</v>
      </c>
      <c r="D1039" s="177" t="s">
        <v>149</v>
      </c>
      <c r="E1039" s="177" t="str">
        <f t="shared" si="29"/>
        <v/>
      </c>
    </row>
    <row r="1040" spans="3:5">
      <c r="C1040" s="177" t="s">
        <v>149</v>
      </c>
      <c r="D1040" s="177" t="s">
        <v>149</v>
      </c>
      <c r="E1040" s="177" t="str">
        <f t="shared" si="29"/>
        <v/>
      </c>
    </row>
    <row r="1041" spans="3:5">
      <c r="C1041" s="177" t="s">
        <v>149</v>
      </c>
      <c r="D1041" s="177" t="s">
        <v>149</v>
      </c>
      <c r="E1041" s="177" t="str">
        <f t="shared" si="29"/>
        <v/>
      </c>
    </row>
    <row r="1042" spans="3:5">
      <c r="C1042" s="177" t="s">
        <v>149</v>
      </c>
      <c r="D1042" s="177" t="s">
        <v>149</v>
      </c>
      <c r="E1042" s="177" t="str">
        <f t="shared" si="29"/>
        <v/>
      </c>
    </row>
    <row r="1043" spans="3:5">
      <c r="C1043" s="177" t="s">
        <v>149</v>
      </c>
      <c r="D1043" s="177" t="s">
        <v>149</v>
      </c>
      <c r="E1043" s="177" t="str">
        <f t="shared" si="29"/>
        <v/>
      </c>
    </row>
    <row r="1044" spans="3:5">
      <c r="C1044" s="177" t="s">
        <v>149</v>
      </c>
      <c r="D1044" s="177" t="s">
        <v>149</v>
      </c>
      <c r="E1044" s="177" t="str">
        <f t="shared" si="29"/>
        <v/>
      </c>
    </row>
    <row r="1045" spans="3:5">
      <c r="C1045" s="177" t="s">
        <v>149</v>
      </c>
      <c r="D1045" s="177" t="s">
        <v>149</v>
      </c>
      <c r="E1045" s="177" t="str">
        <f t="shared" si="29"/>
        <v/>
      </c>
    </row>
    <row r="1046" spans="3:5">
      <c r="C1046" s="177" t="s">
        <v>149</v>
      </c>
      <c r="D1046" s="177" t="s">
        <v>149</v>
      </c>
      <c r="E1046" s="177" t="str">
        <f t="shared" si="29"/>
        <v/>
      </c>
    </row>
    <row r="1047" spans="3:5">
      <c r="C1047" s="177" t="s">
        <v>149</v>
      </c>
      <c r="D1047" s="177" t="s">
        <v>149</v>
      </c>
      <c r="E1047" s="177" t="str">
        <f t="shared" si="29"/>
        <v/>
      </c>
    </row>
    <row r="1048" spans="3:5">
      <c r="C1048" s="177" t="s">
        <v>149</v>
      </c>
      <c r="D1048" s="177" t="s">
        <v>149</v>
      </c>
      <c r="E1048" s="177" t="str">
        <f t="shared" si="29"/>
        <v/>
      </c>
    </row>
    <row r="1049" spans="3:5">
      <c r="C1049" s="177" t="s">
        <v>149</v>
      </c>
      <c r="D1049" s="177" t="s">
        <v>149</v>
      </c>
      <c r="E1049" s="177" t="str">
        <f t="shared" si="29"/>
        <v/>
      </c>
    </row>
    <row r="1050" spans="3:5">
      <c r="C1050" s="177" t="s">
        <v>149</v>
      </c>
      <c r="D1050" s="177" t="s">
        <v>149</v>
      </c>
      <c r="E1050" s="177" t="str">
        <f t="shared" si="29"/>
        <v/>
      </c>
    </row>
    <row r="1051" spans="3:5">
      <c r="C1051" s="177" t="s">
        <v>149</v>
      </c>
      <c r="D1051" s="177" t="s">
        <v>149</v>
      </c>
      <c r="E1051" s="177" t="str">
        <f t="shared" si="29"/>
        <v/>
      </c>
    </row>
    <row r="1052" spans="3:5">
      <c r="C1052" s="177" t="s">
        <v>149</v>
      </c>
      <c r="D1052" s="177" t="s">
        <v>149</v>
      </c>
      <c r="E1052" s="177" t="str">
        <f t="shared" si="29"/>
        <v/>
      </c>
    </row>
    <row r="1053" spans="3:5">
      <c r="C1053" s="177" t="s">
        <v>149</v>
      </c>
      <c r="D1053" s="177" t="s">
        <v>149</v>
      </c>
      <c r="E1053" s="177" t="str">
        <f t="shared" si="29"/>
        <v/>
      </c>
    </row>
    <row r="1054" spans="3:5">
      <c r="C1054" s="177" t="s">
        <v>149</v>
      </c>
      <c r="D1054" s="177" t="s">
        <v>149</v>
      </c>
      <c r="E1054" s="177" t="str">
        <f t="shared" si="29"/>
        <v/>
      </c>
    </row>
    <row r="1055" spans="3:5">
      <c r="C1055" s="177" t="s">
        <v>149</v>
      </c>
      <c r="D1055" s="177" t="s">
        <v>149</v>
      </c>
      <c r="E1055" s="177" t="str">
        <f t="shared" si="29"/>
        <v/>
      </c>
    </row>
    <row r="1056" spans="3:5">
      <c r="C1056" s="177" t="s">
        <v>149</v>
      </c>
      <c r="D1056" s="177" t="s">
        <v>149</v>
      </c>
      <c r="E1056" s="177" t="str">
        <f t="shared" si="29"/>
        <v/>
      </c>
    </row>
    <row r="1057" spans="3:5">
      <c r="C1057" s="177" t="s">
        <v>149</v>
      </c>
      <c r="D1057" s="177" t="s">
        <v>149</v>
      </c>
      <c r="E1057" s="177" t="str">
        <f t="shared" si="29"/>
        <v/>
      </c>
    </row>
    <row r="1058" spans="3:5">
      <c r="C1058" s="177" t="s">
        <v>149</v>
      </c>
      <c r="D1058" s="177" t="s">
        <v>149</v>
      </c>
      <c r="E1058" s="177" t="str">
        <f t="shared" si="29"/>
        <v/>
      </c>
    </row>
    <row r="1059" spans="3:5">
      <c r="C1059" s="177" t="s">
        <v>149</v>
      </c>
      <c r="D1059" s="177" t="s">
        <v>149</v>
      </c>
      <c r="E1059" s="177" t="str">
        <f t="shared" si="29"/>
        <v/>
      </c>
    </row>
    <row r="1060" spans="3:5">
      <c r="C1060" s="177" t="s">
        <v>149</v>
      </c>
      <c r="D1060" s="177" t="s">
        <v>149</v>
      </c>
      <c r="E1060" s="177" t="str">
        <f t="shared" si="29"/>
        <v/>
      </c>
    </row>
    <row r="1061" spans="3:5">
      <c r="C1061" s="177" t="s">
        <v>149</v>
      </c>
      <c r="D1061" s="177" t="s">
        <v>149</v>
      </c>
      <c r="E1061" s="177" t="str">
        <f t="shared" si="29"/>
        <v/>
      </c>
    </row>
    <row r="1062" spans="3:5">
      <c r="C1062" s="177" t="s">
        <v>149</v>
      </c>
      <c r="D1062" s="177" t="s">
        <v>149</v>
      </c>
      <c r="E1062" s="177" t="str">
        <f t="shared" si="29"/>
        <v/>
      </c>
    </row>
    <row r="1063" spans="3:5">
      <c r="C1063" s="177" t="s">
        <v>149</v>
      </c>
      <c r="D1063" s="177" t="s">
        <v>149</v>
      </c>
      <c r="E1063" s="177" t="str">
        <f t="shared" si="29"/>
        <v/>
      </c>
    </row>
    <row r="1064" spans="3:5">
      <c r="C1064" s="177" t="s">
        <v>149</v>
      </c>
      <c r="D1064" s="177" t="s">
        <v>149</v>
      </c>
      <c r="E1064" s="177" t="str">
        <f t="shared" si="29"/>
        <v/>
      </c>
    </row>
    <row r="1065" spans="3:5">
      <c r="C1065" s="177" t="s">
        <v>149</v>
      </c>
      <c r="D1065" s="177" t="s">
        <v>149</v>
      </c>
      <c r="E1065" s="177" t="str">
        <f t="shared" si="29"/>
        <v/>
      </c>
    </row>
    <row r="1066" spans="3:5">
      <c r="C1066" s="177" t="s">
        <v>149</v>
      </c>
      <c r="D1066" s="177" t="s">
        <v>149</v>
      </c>
      <c r="E1066" s="177" t="str">
        <f t="shared" si="29"/>
        <v/>
      </c>
    </row>
    <row r="1067" spans="3:5">
      <c r="C1067" s="177" t="s">
        <v>149</v>
      </c>
      <c r="D1067" s="177" t="s">
        <v>149</v>
      </c>
      <c r="E1067" s="177" t="str">
        <f t="shared" si="29"/>
        <v/>
      </c>
    </row>
    <row r="1068" spans="3:5">
      <c r="C1068" s="177" t="s">
        <v>149</v>
      </c>
      <c r="D1068" s="177" t="s">
        <v>149</v>
      </c>
      <c r="E1068" s="177" t="str">
        <f t="shared" si="29"/>
        <v/>
      </c>
    </row>
    <row r="1069" spans="3:5">
      <c r="C1069" s="177" t="s">
        <v>149</v>
      </c>
      <c r="D1069" s="177" t="s">
        <v>149</v>
      </c>
      <c r="E1069" s="177" t="str">
        <f t="shared" si="29"/>
        <v/>
      </c>
    </row>
    <row r="1070" spans="3:5">
      <c r="C1070" s="177" t="s">
        <v>149</v>
      </c>
      <c r="D1070" s="177" t="s">
        <v>149</v>
      </c>
      <c r="E1070" s="177" t="str">
        <f t="shared" si="29"/>
        <v/>
      </c>
    </row>
    <row r="1071" spans="3:5">
      <c r="C1071" s="177" t="s">
        <v>149</v>
      </c>
      <c r="D1071" s="177" t="s">
        <v>149</v>
      </c>
      <c r="E1071" s="177" t="str">
        <f t="shared" si="29"/>
        <v/>
      </c>
    </row>
    <row r="1072" spans="3:5">
      <c r="C1072" s="177" t="s">
        <v>149</v>
      </c>
      <c r="D1072" s="177" t="s">
        <v>149</v>
      </c>
      <c r="E1072" s="177" t="str">
        <f t="shared" si="29"/>
        <v/>
      </c>
    </row>
    <row r="1073" spans="3:5">
      <c r="C1073" s="177" t="s">
        <v>149</v>
      </c>
      <c r="D1073" s="177" t="s">
        <v>149</v>
      </c>
      <c r="E1073" s="177" t="str">
        <f t="shared" si="29"/>
        <v/>
      </c>
    </row>
    <row r="1074" spans="3:5">
      <c r="C1074" s="177" t="s">
        <v>149</v>
      </c>
      <c r="D1074" s="177" t="s">
        <v>149</v>
      </c>
      <c r="E1074" s="177" t="str">
        <f t="shared" si="29"/>
        <v/>
      </c>
    </row>
    <row r="1075" spans="3:5">
      <c r="C1075" s="177" t="s">
        <v>149</v>
      </c>
      <c r="D1075" s="177" t="s">
        <v>149</v>
      </c>
      <c r="E1075" s="177" t="str">
        <f t="shared" si="29"/>
        <v/>
      </c>
    </row>
    <row r="1076" spans="3:5">
      <c r="C1076" s="177" t="s">
        <v>149</v>
      </c>
      <c r="D1076" s="177" t="s">
        <v>149</v>
      </c>
      <c r="E1076" s="177" t="str">
        <f t="shared" si="29"/>
        <v/>
      </c>
    </row>
    <row r="1077" spans="3:5">
      <c r="C1077" s="177" t="s">
        <v>149</v>
      </c>
      <c r="D1077" s="177" t="s">
        <v>149</v>
      </c>
      <c r="E1077" s="177" t="str">
        <f t="shared" si="29"/>
        <v/>
      </c>
    </row>
    <row r="1078" spans="3:5">
      <c r="C1078" s="177" t="s">
        <v>149</v>
      </c>
      <c r="D1078" s="177" t="s">
        <v>149</v>
      </c>
      <c r="E1078" s="177" t="str">
        <f t="shared" si="29"/>
        <v/>
      </c>
    </row>
    <row r="1079" spans="3:5">
      <c r="C1079" s="177" t="s">
        <v>149</v>
      </c>
      <c r="D1079" s="177" t="s">
        <v>149</v>
      </c>
      <c r="E1079" s="177" t="str">
        <f t="shared" si="29"/>
        <v/>
      </c>
    </row>
    <row r="1080" spans="3:5">
      <c r="C1080" s="177" t="s">
        <v>149</v>
      </c>
      <c r="D1080" s="177" t="s">
        <v>149</v>
      </c>
      <c r="E1080" s="177" t="str">
        <f t="shared" si="29"/>
        <v/>
      </c>
    </row>
    <row r="1081" spans="3:5">
      <c r="C1081" s="177" t="s">
        <v>149</v>
      </c>
      <c r="D1081" s="177" t="s">
        <v>149</v>
      </c>
      <c r="E1081" s="177" t="str">
        <f t="shared" si="29"/>
        <v/>
      </c>
    </row>
    <row r="1082" spans="3:5">
      <c r="C1082" s="177" t="s">
        <v>149</v>
      </c>
      <c r="D1082" s="177" t="s">
        <v>149</v>
      </c>
      <c r="E1082" s="177" t="str">
        <f t="shared" si="29"/>
        <v/>
      </c>
    </row>
    <row r="1083" spans="3:5">
      <c r="C1083" s="177" t="s">
        <v>149</v>
      </c>
      <c r="D1083" s="177" t="s">
        <v>149</v>
      </c>
      <c r="E1083" s="177" t="str">
        <f t="shared" si="29"/>
        <v/>
      </c>
    </row>
    <row r="1084" spans="3:5">
      <c r="C1084" s="177" t="s">
        <v>149</v>
      </c>
      <c r="D1084" s="177" t="s">
        <v>149</v>
      </c>
      <c r="E1084" s="177" t="str">
        <f t="shared" si="29"/>
        <v/>
      </c>
    </row>
    <row r="1085" spans="3:5">
      <c r="C1085" s="177" t="s">
        <v>149</v>
      </c>
      <c r="D1085" s="177" t="s">
        <v>149</v>
      </c>
      <c r="E1085" s="177" t="str">
        <f t="shared" si="29"/>
        <v/>
      </c>
    </row>
    <row r="1086" spans="3:5">
      <c r="C1086" s="177" t="s">
        <v>149</v>
      </c>
      <c r="D1086" s="177" t="s">
        <v>149</v>
      </c>
      <c r="E1086" s="177" t="str">
        <f t="shared" si="29"/>
        <v/>
      </c>
    </row>
    <row r="1087" spans="3:5">
      <c r="C1087" s="177" t="s">
        <v>149</v>
      </c>
      <c r="D1087" s="177" t="s">
        <v>149</v>
      </c>
      <c r="E1087" s="177" t="str">
        <f t="shared" si="29"/>
        <v/>
      </c>
    </row>
    <row r="1088" spans="3:5">
      <c r="C1088" s="177" t="s">
        <v>149</v>
      </c>
      <c r="D1088" s="177" t="s">
        <v>149</v>
      </c>
      <c r="E1088" s="177" t="str">
        <f t="shared" si="29"/>
        <v/>
      </c>
    </row>
    <row r="1089" spans="3:5">
      <c r="C1089" s="177" t="s">
        <v>149</v>
      </c>
      <c r="D1089" s="177" t="s">
        <v>149</v>
      </c>
      <c r="E1089" s="177" t="str">
        <f t="shared" si="29"/>
        <v/>
      </c>
    </row>
    <row r="1090" spans="3:5">
      <c r="C1090" s="177" t="s">
        <v>149</v>
      </c>
      <c r="D1090" s="177" t="s">
        <v>149</v>
      </c>
      <c r="E1090" s="177" t="str">
        <f t="shared" si="29"/>
        <v/>
      </c>
    </row>
    <row r="1091" spans="3:5">
      <c r="C1091" s="177" t="s">
        <v>149</v>
      </c>
      <c r="D1091" s="177" t="s">
        <v>149</v>
      </c>
      <c r="E1091" s="177" t="str">
        <f t="shared" si="29"/>
        <v/>
      </c>
    </row>
    <row r="1092" spans="3:5">
      <c r="C1092" s="177" t="s">
        <v>149</v>
      </c>
      <c r="D1092" s="177" t="s">
        <v>149</v>
      </c>
      <c r="E1092" s="177" t="str">
        <f t="shared" ref="E1092:E1155" si="30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30"/>
        <v/>
      </c>
    </row>
    <row r="1094" spans="3:5">
      <c r="C1094" s="177" t="s">
        <v>149</v>
      </c>
      <c r="D1094" s="177" t="s">
        <v>149</v>
      </c>
      <c r="E1094" s="177" t="str">
        <f t="shared" si="30"/>
        <v/>
      </c>
    </row>
    <row r="1095" spans="3:5">
      <c r="C1095" s="177" t="s">
        <v>149</v>
      </c>
      <c r="D1095" s="177" t="s">
        <v>149</v>
      </c>
      <c r="E1095" s="177" t="str">
        <f t="shared" si="30"/>
        <v/>
      </c>
    </row>
    <row r="1096" spans="3:5">
      <c r="C1096" s="177" t="s">
        <v>149</v>
      </c>
      <c r="D1096" s="177" t="s">
        <v>149</v>
      </c>
      <c r="E1096" s="177" t="str">
        <f t="shared" si="30"/>
        <v/>
      </c>
    </row>
    <row r="1097" spans="3:5">
      <c r="C1097" s="177" t="s">
        <v>149</v>
      </c>
      <c r="D1097" s="177" t="s">
        <v>149</v>
      </c>
      <c r="E1097" s="177" t="str">
        <f t="shared" si="30"/>
        <v/>
      </c>
    </row>
    <row r="1098" spans="3:5">
      <c r="C1098" s="177" t="s">
        <v>149</v>
      </c>
      <c r="D1098" s="177" t="s">
        <v>149</v>
      </c>
      <c r="E1098" s="177" t="str">
        <f t="shared" si="30"/>
        <v/>
      </c>
    </row>
    <row r="1099" spans="3:5">
      <c r="C1099" s="177" t="s">
        <v>149</v>
      </c>
      <c r="D1099" s="177" t="s">
        <v>149</v>
      </c>
      <c r="E1099" s="177" t="str">
        <f t="shared" si="30"/>
        <v/>
      </c>
    </row>
    <row r="1100" spans="3:5">
      <c r="C1100" s="177" t="s">
        <v>149</v>
      </c>
      <c r="D1100" s="177" t="s">
        <v>149</v>
      </c>
      <c r="E1100" s="177" t="str">
        <f t="shared" si="30"/>
        <v/>
      </c>
    </row>
    <row r="1101" spans="3:5">
      <c r="C1101" s="177" t="s">
        <v>149</v>
      </c>
      <c r="D1101" s="177" t="s">
        <v>149</v>
      </c>
      <c r="E1101" s="177" t="str">
        <f t="shared" si="30"/>
        <v/>
      </c>
    </row>
    <row r="1102" spans="3:5">
      <c r="C1102" s="177" t="s">
        <v>149</v>
      </c>
      <c r="D1102" s="177" t="s">
        <v>149</v>
      </c>
      <c r="E1102" s="177" t="str">
        <f t="shared" si="30"/>
        <v/>
      </c>
    </row>
    <row r="1103" spans="3:5">
      <c r="C1103" s="177" t="s">
        <v>149</v>
      </c>
      <c r="D1103" s="177" t="s">
        <v>149</v>
      </c>
      <c r="E1103" s="177" t="str">
        <f t="shared" si="30"/>
        <v/>
      </c>
    </row>
    <row r="1104" spans="3:5">
      <c r="C1104" s="177" t="s">
        <v>149</v>
      </c>
      <c r="D1104" s="177" t="s">
        <v>149</v>
      </c>
      <c r="E1104" s="177" t="str">
        <f t="shared" si="30"/>
        <v/>
      </c>
    </row>
    <row r="1105" spans="3:5">
      <c r="C1105" s="177" t="s">
        <v>149</v>
      </c>
      <c r="D1105" s="177" t="s">
        <v>149</v>
      </c>
      <c r="E1105" s="177" t="str">
        <f t="shared" si="30"/>
        <v/>
      </c>
    </row>
    <row r="1106" spans="3:5">
      <c r="C1106" s="177" t="s">
        <v>149</v>
      </c>
      <c r="D1106" s="177" t="s">
        <v>149</v>
      </c>
      <c r="E1106" s="177" t="str">
        <f t="shared" si="30"/>
        <v/>
      </c>
    </row>
    <row r="1107" spans="3:5">
      <c r="C1107" s="177" t="s">
        <v>149</v>
      </c>
      <c r="D1107" s="177" t="s">
        <v>149</v>
      </c>
      <c r="E1107" s="177" t="str">
        <f t="shared" si="30"/>
        <v/>
      </c>
    </row>
    <row r="1108" spans="3:5">
      <c r="C1108" s="177" t="s">
        <v>149</v>
      </c>
      <c r="D1108" s="177" t="s">
        <v>149</v>
      </c>
      <c r="E1108" s="177" t="str">
        <f t="shared" si="30"/>
        <v/>
      </c>
    </row>
    <row r="1109" spans="3:5">
      <c r="C1109" s="177" t="s">
        <v>149</v>
      </c>
      <c r="D1109" s="177" t="s">
        <v>149</v>
      </c>
      <c r="E1109" s="177" t="str">
        <f t="shared" si="30"/>
        <v/>
      </c>
    </row>
    <row r="1110" spans="3:5">
      <c r="C1110" s="177" t="s">
        <v>149</v>
      </c>
      <c r="D1110" s="177" t="s">
        <v>149</v>
      </c>
      <c r="E1110" s="177" t="str">
        <f t="shared" si="30"/>
        <v/>
      </c>
    </row>
    <row r="1111" spans="3:5">
      <c r="C1111" s="177" t="s">
        <v>149</v>
      </c>
      <c r="D1111" s="177" t="s">
        <v>149</v>
      </c>
      <c r="E1111" s="177" t="str">
        <f t="shared" si="30"/>
        <v/>
      </c>
    </row>
    <row r="1112" spans="3:5">
      <c r="C1112" s="177" t="s">
        <v>149</v>
      </c>
      <c r="D1112" s="177" t="s">
        <v>149</v>
      </c>
      <c r="E1112" s="177" t="str">
        <f t="shared" si="30"/>
        <v/>
      </c>
    </row>
    <row r="1113" spans="3:5">
      <c r="C1113" s="177" t="s">
        <v>149</v>
      </c>
      <c r="D1113" s="177" t="s">
        <v>149</v>
      </c>
      <c r="E1113" s="177" t="str">
        <f t="shared" si="30"/>
        <v/>
      </c>
    </row>
    <row r="1114" spans="3:5">
      <c r="C1114" s="177" t="s">
        <v>149</v>
      </c>
      <c r="D1114" s="177" t="s">
        <v>149</v>
      </c>
      <c r="E1114" s="177" t="str">
        <f t="shared" si="30"/>
        <v/>
      </c>
    </row>
    <row r="1115" spans="3:5">
      <c r="C1115" s="177" t="s">
        <v>149</v>
      </c>
      <c r="D1115" s="177" t="s">
        <v>149</v>
      </c>
      <c r="E1115" s="177" t="str">
        <f t="shared" si="30"/>
        <v/>
      </c>
    </row>
    <row r="1116" spans="3:5">
      <c r="C1116" s="177" t="s">
        <v>149</v>
      </c>
      <c r="D1116" s="177" t="s">
        <v>149</v>
      </c>
      <c r="E1116" s="177" t="str">
        <f t="shared" si="30"/>
        <v/>
      </c>
    </row>
    <row r="1117" spans="3:5">
      <c r="C1117" s="177" t="s">
        <v>149</v>
      </c>
      <c r="D1117" s="177" t="s">
        <v>149</v>
      </c>
      <c r="E1117" s="177" t="str">
        <f t="shared" si="30"/>
        <v/>
      </c>
    </row>
    <row r="1118" spans="3:5">
      <c r="C1118" s="177" t="s">
        <v>149</v>
      </c>
      <c r="D1118" s="177" t="s">
        <v>149</v>
      </c>
      <c r="E1118" s="177" t="str">
        <f t="shared" si="30"/>
        <v/>
      </c>
    </row>
    <row r="1119" spans="3:5">
      <c r="C1119" s="177" t="s">
        <v>149</v>
      </c>
      <c r="D1119" s="177" t="s">
        <v>149</v>
      </c>
      <c r="E1119" s="177" t="str">
        <f t="shared" si="30"/>
        <v/>
      </c>
    </row>
    <row r="1120" spans="3:5">
      <c r="C1120" s="177" t="s">
        <v>149</v>
      </c>
      <c r="D1120" s="177" t="s">
        <v>149</v>
      </c>
      <c r="E1120" s="177" t="str">
        <f t="shared" si="30"/>
        <v/>
      </c>
    </row>
    <row r="1121" spans="3:5">
      <c r="C1121" s="177" t="s">
        <v>149</v>
      </c>
      <c r="D1121" s="177" t="s">
        <v>149</v>
      </c>
      <c r="E1121" s="177" t="str">
        <f t="shared" si="30"/>
        <v/>
      </c>
    </row>
    <row r="1122" spans="3:5">
      <c r="C1122" s="177" t="s">
        <v>149</v>
      </c>
      <c r="D1122" s="177" t="s">
        <v>149</v>
      </c>
      <c r="E1122" s="177" t="str">
        <f t="shared" si="30"/>
        <v/>
      </c>
    </row>
    <row r="1123" spans="3:5">
      <c r="C1123" s="177" t="s">
        <v>149</v>
      </c>
      <c r="D1123" s="177" t="s">
        <v>149</v>
      </c>
      <c r="E1123" s="177" t="str">
        <f t="shared" si="30"/>
        <v/>
      </c>
    </row>
    <row r="1124" spans="3:5">
      <c r="C1124" s="177" t="s">
        <v>149</v>
      </c>
      <c r="D1124" s="177" t="s">
        <v>149</v>
      </c>
      <c r="E1124" s="177" t="str">
        <f t="shared" si="30"/>
        <v/>
      </c>
    </row>
    <row r="1125" spans="3:5">
      <c r="C1125" s="177" t="s">
        <v>149</v>
      </c>
      <c r="D1125" s="177" t="s">
        <v>149</v>
      </c>
      <c r="E1125" s="177" t="str">
        <f t="shared" si="30"/>
        <v/>
      </c>
    </row>
    <row r="1126" spans="3:5">
      <c r="C1126" s="177" t="s">
        <v>149</v>
      </c>
      <c r="D1126" s="177" t="s">
        <v>149</v>
      </c>
      <c r="E1126" s="177" t="str">
        <f t="shared" si="30"/>
        <v/>
      </c>
    </row>
    <row r="1127" spans="3:5">
      <c r="C1127" s="177" t="s">
        <v>149</v>
      </c>
      <c r="D1127" s="177" t="s">
        <v>149</v>
      </c>
      <c r="E1127" s="177" t="str">
        <f t="shared" si="30"/>
        <v/>
      </c>
    </row>
    <row r="1128" spans="3:5">
      <c r="C1128" s="177" t="s">
        <v>149</v>
      </c>
      <c r="D1128" s="177" t="s">
        <v>149</v>
      </c>
      <c r="E1128" s="177" t="str">
        <f t="shared" si="30"/>
        <v/>
      </c>
    </row>
    <row r="1129" spans="3:5">
      <c r="C1129" s="177" t="s">
        <v>149</v>
      </c>
      <c r="D1129" s="177" t="s">
        <v>149</v>
      </c>
      <c r="E1129" s="177" t="str">
        <f t="shared" si="30"/>
        <v/>
      </c>
    </row>
    <row r="1130" spans="3:5">
      <c r="C1130" s="177" t="s">
        <v>149</v>
      </c>
      <c r="D1130" s="177" t="s">
        <v>149</v>
      </c>
      <c r="E1130" s="177" t="str">
        <f t="shared" si="30"/>
        <v/>
      </c>
    </row>
    <row r="1131" spans="3:5">
      <c r="C1131" s="177" t="s">
        <v>149</v>
      </c>
      <c r="D1131" s="177" t="s">
        <v>149</v>
      </c>
      <c r="E1131" s="177" t="str">
        <f t="shared" si="30"/>
        <v/>
      </c>
    </row>
    <row r="1132" spans="3:5">
      <c r="C1132" s="177" t="s">
        <v>149</v>
      </c>
      <c r="D1132" s="177" t="s">
        <v>149</v>
      </c>
      <c r="E1132" s="177" t="str">
        <f t="shared" si="30"/>
        <v/>
      </c>
    </row>
    <row r="1133" spans="3:5">
      <c r="C1133" s="177" t="s">
        <v>149</v>
      </c>
      <c r="D1133" s="177" t="s">
        <v>149</v>
      </c>
      <c r="E1133" s="177" t="str">
        <f t="shared" si="30"/>
        <v/>
      </c>
    </row>
    <row r="1134" spans="3:5">
      <c r="C1134" s="177" t="s">
        <v>149</v>
      </c>
      <c r="D1134" s="177" t="s">
        <v>149</v>
      </c>
      <c r="E1134" s="177" t="str">
        <f t="shared" si="30"/>
        <v/>
      </c>
    </row>
    <row r="1135" spans="3:5">
      <c r="C1135" s="177" t="s">
        <v>149</v>
      </c>
      <c r="D1135" s="177" t="s">
        <v>149</v>
      </c>
      <c r="E1135" s="177" t="str">
        <f t="shared" si="30"/>
        <v/>
      </c>
    </row>
    <row r="1136" spans="3:5">
      <c r="C1136" s="177" t="s">
        <v>149</v>
      </c>
      <c r="D1136" s="177" t="s">
        <v>149</v>
      </c>
      <c r="E1136" s="177" t="str">
        <f t="shared" si="30"/>
        <v/>
      </c>
    </row>
    <row r="1137" spans="3:5">
      <c r="C1137" s="177" t="s">
        <v>149</v>
      </c>
      <c r="D1137" s="177" t="s">
        <v>149</v>
      </c>
      <c r="E1137" s="177" t="str">
        <f t="shared" si="30"/>
        <v/>
      </c>
    </row>
    <row r="1138" spans="3:5">
      <c r="C1138" s="177" t="s">
        <v>149</v>
      </c>
      <c r="D1138" s="177" t="s">
        <v>149</v>
      </c>
      <c r="E1138" s="177" t="str">
        <f t="shared" si="30"/>
        <v/>
      </c>
    </row>
    <row r="1139" spans="3:5">
      <c r="C1139" s="177" t="s">
        <v>149</v>
      </c>
      <c r="D1139" s="177" t="s">
        <v>149</v>
      </c>
      <c r="E1139" s="177" t="str">
        <f t="shared" si="30"/>
        <v/>
      </c>
    </row>
    <row r="1140" spans="3:5">
      <c r="C1140" s="177" t="s">
        <v>149</v>
      </c>
      <c r="D1140" s="177" t="s">
        <v>149</v>
      </c>
      <c r="E1140" s="177" t="str">
        <f t="shared" si="30"/>
        <v/>
      </c>
    </row>
    <row r="1141" spans="3:5">
      <c r="C1141" s="177" t="s">
        <v>149</v>
      </c>
      <c r="D1141" s="177" t="s">
        <v>149</v>
      </c>
      <c r="E1141" s="177" t="str">
        <f t="shared" si="30"/>
        <v/>
      </c>
    </row>
    <row r="1142" spans="3:5">
      <c r="C1142" s="177" t="s">
        <v>149</v>
      </c>
      <c r="D1142" s="177" t="s">
        <v>149</v>
      </c>
      <c r="E1142" s="177" t="str">
        <f t="shared" si="30"/>
        <v/>
      </c>
    </row>
    <row r="1143" spans="3:5">
      <c r="C1143" s="177" t="s">
        <v>149</v>
      </c>
      <c r="D1143" s="177" t="s">
        <v>149</v>
      </c>
      <c r="E1143" s="177" t="str">
        <f t="shared" si="30"/>
        <v/>
      </c>
    </row>
    <row r="1144" spans="3:5">
      <c r="C1144" s="177" t="s">
        <v>149</v>
      </c>
      <c r="D1144" s="177" t="s">
        <v>149</v>
      </c>
      <c r="E1144" s="177" t="str">
        <f t="shared" si="30"/>
        <v/>
      </c>
    </row>
    <row r="1145" spans="3:5">
      <c r="C1145" s="177" t="s">
        <v>149</v>
      </c>
      <c r="D1145" s="177" t="s">
        <v>149</v>
      </c>
      <c r="E1145" s="177" t="str">
        <f t="shared" si="30"/>
        <v/>
      </c>
    </row>
    <row r="1146" spans="3:5">
      <c r="C1146" s="177" t="s">
        <v>149</v>
      </c>
      <c r="D1146" s="177" t="s">
        <v>149</v>
      </c>
      <c r="E1146" s="177" t="str">
        <f t="shared" si="30"/>
        <v/>
      </c>
    </row>
    <row r="1147" spans="3:5">
      <c r="C1147" s="177" t="s">
        <v>149</v>
      </c>
      <c r="D1147" s="177" t="s">
        <v>149</v>
      </c>
      <c r="E1147" s="177" t="str">
        <f t="shared" si="30"/>
        <v/>
      </c>
    </row>
    <row r="1148" spans="3:5">
      <c r="C1148" s="177" t="s">
        <v>149</v>
      </c>
      <c r="D1148" s="177" t="s">
        <v>149</v>
      </c>
      <c r="E1148" s="177" t="str">
        <f t="shared" si="30"/>
        <v/>
      </c>
    </row>
    <row r="1149" spans="3:5">
      <c r="C1149" s="177" t="s">
        <v>149</v>
      </c>
      <c r="D1149" s="177" t="s">
        <v>149</v>
      </c>
      <c r="E1149" s="177" t="str">
        <f t="shared" si="30"/>
        <v/>
      </c>
    </row>
    <row r="1150" spans="3:5">
      <c r="C1150" s="177" t="s">
        <v>149</v>
      </c>
      <c r="D1150" s="177" t="s">
        <v>149</v>
      </c>
      <c r="E1150" s="177" t="str">
        <f t="shared" si="30"/>
        <v/>
      </c>
    </row>
    <row r="1151" spans="3:5">
      <c r="C1151" s="177" t="s">
        <v>149</v>
      </c>
      <c r="D1151" s="177" t="s">
        <v>149</v>
      </c>
      <c r="E1151" s="177" t="str">
        <f t="shared" si="30"/>
        <v/>
      </c>
    </row>
    <row r="1152" spans="3:5">
      <c r="C1152" s="177" t="s">
        <v>149</v>
      </c>
      <c r="D1152" s="177" t="s">
        <v>149</v>
      </c>
      <c r="E1152" s="177" t="str">
        <f t="shared" si="30"/>
        <v/>
      </c>
    </row>
    <row r="1153" spans="3:5">
      <c r="C1153" s="177" t="s">
        <v>149</v>
      </c>
      <c r="D1153" s="177" t="s">
        <v>149</v>
      </c>
      <c r="E1153" s="177" t="str">
        <f t="shared" si="30"/>
        <v/>
      </c>
    </row>
    <row r="1154" spans="3:5">
      <c r="C1154" s="177" t="s">
        <v>149</v>
      </c>
      <c r="D1154" s="177" t="s">
        <v>149</v>
      </c>
      <c r="E1154" s="177" t="str">
        <f t="shared" si="30"/>
        <v/>
      </c>
    </row>
    <row r="1155" spans="3:5">
      <c r="C1155" s="177" t="s">
        <v>149</v>
      </c>
      <c r="D1155" s="177" t="s">
        <v>149</v>
      </c>
      <c r="E1155" s="177" t="str">
        <f t="shared" si="30"/>
        <v/>
      </c>
    </row>
    <row r="1156" spans="3:5">
      <c r="C1156" s="177" t="s">
        <v>149</v>
      </c>
      <c r="D1156" s="177" t="s">
        <v>149</v>
      </c>
      <c r="E1156" s="177" t="str">
        <f t="shared" ref="E1156:E1209" si="31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1"/>
        <v/>
      </c>
    </row>
    <row r="1158" spans="3:5">
      <c r="C1158" s="177" t="s">
        <v>149</v>
      </c>
      <c r="D1158" s="177" t="s">
        <v>149</v>
      </c>
      <c r="E1158" s="177" t="str">
        <f t="shared" si="31"/>
        <v/>
      </c>
    </row>
    <row r="1159" spans="3:5">
      <c r="C1159" s="177" t="s">
        <v>149</v>
      </c>
      <c r="D1159" s="177" t="s">
        <v>149</v>
      </c>
      <c r="E1159" s="177" t="str">
        <f t="shared" si="31"/>
        <v/>
      </c>
    </row>
    <row r="1160" spans="3:5">
      <c r="C1160" s="177" t="s">
        <v>149</v>
      </c>
      <c r="D1160" s="177" t="s">
        <v>149</v>
      </c>
      <c r="E1160" s="177" t="str">
        <f t="shared" si="31"/>
        <v/>
      </c>
    </row>
    <row r="1161" spans="3:5">
      <c r="C1161" s="177" t="s">
        <v>149</v>
      </c>
      <c r="D1161" s="177" t="s">
        <v>149</v>
      </c>
      <c r="E1161" s="177" t="str">
        <f t="shared" si="31"/>
        <v/>
      </c>
    </row>
    <row r="1162" spans="3:5">
      <c r="C1162" s="177" t="s">
        <v>149</v>
      </c>
      <c r="D1162" s="177" t="s">
        <v>149</v>
      </c>
      <c r="E1162" s="177" t="str">
        <f t="shared" si="31"/>
        <v/>
      </c>
    </row>
    <row r="1163" spans="3:5">
      <c r="C1163" s="177" t="s">
        <v>149</v>
      </c>
      <c r="D1163" s="177" t="s">
        <v>149</v>
      </c>
      <c r="E1163" s="177" t="str">
        <f t="shared" si="31"/>
        <v/>
      </c>
    </row>
    <row r="1164" spans="3:5">
      <c r="C1164" s="177" t="s">
        <v>149</v>
      </c>
      <c r="D1164" s="177" t="s">
        <v>149</v>
      </c>
      <c r="E1164" s="177" t="str">
        <f t="shared" si="31"/>
        <v/>
      </c>
    </row>
    <row r="1165" spans="3:5">
      <c r="C1165" s="177" t="s">
        <v>149</v>
      </c>
      <c r="D1165" s="177" t="s">
        <v>149</v>
      </c>
      <c r="E1165" s="177" t="str">
        <f t="shared" si="31"/>
        <v/>
      </c>
    </row>
    <row r="1166" spans="3:5">
      <c r="C1166" s="177" t="s">
        <v>149</v>
      </c>
      <c r="D1166" s="177" t="s">
        <v>149</v>
      </c>
      <c r="E1166" s="177" t="str">
        <f t="shared" si="31"/>
        <v/>
      </c>
    </row>
    <row r="1167" spans="3:5">
      <c r="C1167" s="177" t="s">
        <v>149</v>
      </c>
      <c r="D1167" s="177" t="s">
        <v>149</v>
      </c>
      <c r="E1167" s="177" t="str">
        <f t="shared" si="31"/>
        <v/>
      </c>
    </row>
    <row r="1168" spans="3:5">
      <c r="C1168" s="177" t="s">
        <v>149</v>
      </c>
      <c r="D1168" s="177" t="s">
        <v>149</v>
      </c>
      <c r="E1168" s="177" t="str">
        <f t="shared" si="31"/>
        <v/>
      </c>
    </row>
    <row r="1169" spans="3:5">
      <c r="C1169" s="177" t="s">
        <v>149</v>
      </c>
      <c r="D1169" s="177" t="s">
        <v>149</v>
      </c>
      <c r="E1169" s="177" t="str">
        <f t="shared" si="31"/>
        <v/>
      </c>
    </row>
    <row r="1170" spans="3:5">
      <c r="C1170" s="177" t="s">
        <v>149</v>
      </c>
      <c r="D1170" s="177" t="s">
        <v>149</v>
      </c>
      <c r="E1170" s="177" t="str">
        <f t="shared" si="31"/>
        <v/>
      </c>
    </row>
    <row r="1171" spans="3:5">
      <c r="C1171" s="177" t="s">
        <v>149</v>
      </c>
      <c r="D1171" s="177" t="s">
        <v>149</v>
      </c>
      <c r="E1171" s="177" t="str">
        <f t="shared" si="31"/>
        <v/>
      </c>
    </row>
    <row r="1172" spans="3:5">
      <c r="C1172" s="177" t="s">
        <v>149</v>
      </c>
      <c r="D1172" s="177" t="s">
        <v>149</v>
      </c>
      <c r="E1172" s="177" t="str">
        <f t="shared" si="31"/>
        <v/>
      </c>
    </row>
    <row r="1173" spans="3:5">
      <c r="C1173" s="177" t="s">
        <v>149</v>
      </c>
      <c r="D1173" s="177" t="s">
        <v>149</v>
      </c>
      <c r="E1173" s="177" t="str">
        <f t="shared" si="31"/>
        <v/>
      </c>
    </row>
    <row r="1174" spans="3:5">
      <c r="C1174" s="177" t="s">
        <v>149</v>
      </c>
      <c r="D1174" s="177" t="s">
        <v>149</v>
      </c>
      <c r="E1174" s="177" t="str">
        <f t="shared" si="31"/>
        <v/>
      </c>
    </row>
    <row r="1175" spans="3:5">
      <c r="C1175" s="177" t="s">
        <v>149</v>
      </c>
      <c r="D1175" s="177" t="s">
        <v>149</v>
      </c>
      <c r="E1175" s="177" t="str">
        <f t="shared" si="31"/>
        <v/>
      </c>
    </row>
    <row r="1176" spans="3:5">
      <c r="C1176" s="177" t="s">
        <v>149</v>
      </c>
      <c r="D1176" s="177" t="s">
        <v>149</v>
      </c>
      <c r="E1176" s="177" t="str">
        <f t="shared" si="31"/>
        <v/>
      </c>
    </row>
    <row r="1177" spans="3:5">
      <c r="C1177" s="177" t="s">
        <v>149</v>
      </c>
      <c r="D1177" s="177" t="s">
        <v>149</v>
      </c>
      <c r="E1177" s="177" t="str">
        <f t="shared" si="31"/>
        <v/>
      </c>
    </row>
    <row r="1178" spans="3:5">
      <c r="C1178" s="177" t="s">
        <v>149</v>
      </c>
      <c r="D1178" s="177" t="s">
        <v>149</v>
      </c>
      <c r="E1178" s="177" t="str">
        <f t="shared" si="31"/>
        <v/>
      </c>
    </row>
    <row r="1179" spans="3:5">
      <c r="C1179" s="177" t="s">
        <v>149</v>
      </c>
      <c r="D1179" s="177" t="s">
        <v>149</v>
      </c>
      <c r="E1179" s="177" t="str">
        <f t="shared" si="31"/>
        <v/>
      </c>
    </row>
    <row r="1180" spans="3:5">
      <c r="C1180" s="177" t="s">
        <v>149</v>
      </c>
      <c r="D1180" s="177" t="s">
        <v>149</v>
      </c>
      <c r="E1180" s="177" t="str">
        <f t="shared" si="31"/>
        <v/>
      </c>
    </row>
    <row r="1181" spans="3:5">
      <c r="C1181" s="177" t="s">
        <v>149</v>
      </c>
      <c r="D1181" s="177" t="s">
        <v>149</v>
      </c>
      <c r="E1181" s="177" t="str">
        <f t="shared" si="31"/>
        <v/>
      </c>
    </row>
    <row r="1182" spans="3:5">
      <c r="C1182" s="177" t="s">
        <v>149</v>
      </c>
      <c r="D1182" s="177" t="s">
        <v>149</v>
      </c>
      <c r="E1182" s="177" t="str">
        <f t="shared" si="31"/>
        <v/>
      </c>
    </row>
    <row r="1183" spans="3:5">
      <c r="C1183" s="177" t="s">
        <v>149</v>
      </c>
      <c r="D1183" s="177" t="s">
        <v>149</v>
      </c>
      <c r="E1183" s="177" t="str">
        <f t="shared" si="31"/>
        <v/>
      </c>
    </row>
    <row r="1184" spans="3:5">
      <c r="C1184" s="177" t="s">
        <v>149</v>
      </c>
      <c r="D1184" s="177" t="s">
        <v>149</v>
      </c>
      <c r="E1184" s="177" t="str">
        <f t="shared" si="31"/>
        <v/>
      </c>
    </row>
    <row r="1185" spans="3:5">
      <c r="C1185" s="177" t="s">
        <v>149</v>
      </c>
      <c r="D1185" s="177" t="s">
        <v>149</v>
      </c>
      <c r="E1185" s="177" t="str">
        <f t="shared" si="31"/>
        <v/>
      </c>
    </row>
    <row r="1186" spans="3:5">
      <c r="C1186" s="177" t="s">
        <v>149</v>
      </c>
      <c r="D1186" s="177" t="s">
        <v>149</v>
      </c>
      <c r="E1186" s="177" t="str">
        <f t="shared" si="31"/>
        <v/>
      </c>
    </row>
    <row r="1187" spans="3:5">
      <c r="C1187" s="177" t="s">
        <v>149</v>
      </c>
      <c r="D1187" s="177" t="s">
        <v>149</v>
      </c>
      <c r="E1187" s="177" t="str">
        <f t="shared" si="31"/>
        <v/>
      </c>
    </row>
    <row r="1188" spans="3:5">
      <c r="C1188" s="177" t="s">
        <v>149</v>
      </c>
      <c r="D1188" s="177" t="s">
        <v>149</v>
      </c>
      <c r="E1188" s="177" t="str">
        <f t="shared" si="31"/>
        <v/>
      </c>
    </row>
    <row r="1189" spans="3:5">
      <c r="C1189" s="177" t="s">
        <v>149</v>
      </c>
      <c r="D1189" s="177" t="s">
        <v>149</v>
      </c>
      <c r="E1189" s="177" t="str">
        <f t="shared" si="31"/>
        <v/>
      </c>
    </row>
    <row r="1190" spans="3:5">
      <c r="C1190" s="177" t="s">
        <v>149</v>
      </c>
      <c r="D1190" s="177" t="s">
        <v>149</v>
      </c>
      <c r="E1190" s="177" t="str">
        <f t="shared" si="31"/>
        <v/>
      </c>
    </row>
    <row r="1191" spans="3:5">
      <c r="C1191" s="177" t="s">
        <v>149</v>
      </c>
      <c r="D1191" s="177" t="s">
        <v>149</v>
      </c>
      <c r="E1191" s="177" t="str">
        <f t="shared" si="31"/>
        <v/>
      </c>
    </row>
    <row r="1192" spans="3:5">
      <c r="C1192" s="177" t="s">
        <v>149</v>
      </c>
      <c r="D1192" s="177" t="s">
        <v>149</v>
      </c>
      <c r="E1192" s="177" t="str">
        <f t="shared" si="31"/>
        <v/>
      </c>
    </row>
    <row r="1193" spans="3:5">
      <c r="C1193" s="177" t="s">
        <v>149</v>
      </c>
      <c r="D1193" s="177" t="s">
        <v>149</v>
      </c>
      <c r="E1193" s="177" t="str">
        <f t="shared" si="31"/>
        <v/>
      </c>
    </row>
    <row r="1194" spans="3:5">
      <c r="C1194" s="177" t="s">
        <v>149</v>
      </c>
      <c r="D1194" s="177" t="s">
        <v>149</v>
      </c>
      <c r="E1194" s="177" t="str">
        <f t="shared" si="31"/>
        <v/>
      </c>
    </row>
    <row r="1195" spans="3:5">
      <c r="C1195" s="177" t="s">
        <v>149</v>
      </c>
      <c r="D1195" s="177" t="s">
        <v>149</v>
      </c>
      <c r="E1195" s="177" t="str">
        <f t="shared" si="31"/>
        <v/>
      </c>
    </row>
    <row r="1196" spans="3:5">
      <c r="C1196" s="177" t="s">
        <v>149</v>
      </c>
      <c r="D1196" s="177" t="s">
        <v>149</v>
      </c>
      <c r="E1196" s="177" t="str">
        <f t="shared" si="31"/>
        <v/>
      </c>
    </row>
    <row r="1197" spans="3:5">
      <c r="C1197" s="177" t="s">
        <v>149</v>
      </c>
      <c r="D1197" s="177" t="s">
        <v>149</v>
      </c>
      <c r="E1197" s="177" t="str">
        <f t="shared" si="31"/>
        <v/>
      </c>
    </row>
    <row r="1198" spans="3:5">
      <c r="C1198" s="177" t="s">
        <v>149</v>
      </c>
      <c r="D1198" s="177" t="s">
        <v>149</v>
      </c>
      <c r="E1198" s="177" t="str">
        <f t="shared" si="31"/>
        <v/>
      </c>
    </row>
    <row r="1199" spans="3:5">
      <c r="C1199" s="177" t="s">
        <v>149</v>
      </c>
      <c r="D1199" s="177" t="s">
        <v>149</v>
      </c>
      <c r="E1199" s="177" t="str">
        <f t="shared" si="31"/>
        <v/>
      </c>
    </row>
    <row r="1200" spans="3:5">
      <c r="C1200" s="177" t="s">
        <v>149</v>
      </c>
      <c r="D1200" s="177" t="s">
        <v>149</v>
      </c>
      <c r="E1200" s="177" t="str">
        <f t="shared" si="31"/>
        <v/>
      </c>
    </row>
    <row r="1201" spans="3:5">
      <c r="C1201" s="177" t="s">
        <v>149</v>
      </c>
      <c r="D1201" s="177" t="s">
        <v>149</v>
      </c>
      <c r="E1201" s="177" t="str">
        <f t="shared" si="31"/>
        <v/>
      </c>
    </row>
    <row r="1202" spans="3:5">
      <c r="C1202" s="177" t="s">
        <v>149</v>
      </c>
      <c r="D1202" s="177" t="s">
        <v>149</v>
      </c>
      <c r="E1202" s="177" t="str">
        <f t="shared" si="31"/>
        <v/>
      </c>
    </row>
    <row r="1203" spans="3:5">
      <c r="C1203" s="177" t="s">
        <v>149</v>
      </c>
      <c r="D1203" s="177" t="s">
        <v>149</v>
      </c>
      <c r="E1203" s="177" t="str">
        <f t="shared" si="31"/>
        <v/>
      </c>
    </row>
    <row r="1204" spans="3:5">
      <c r="C1204" s="177" t="s">
        <v>149</v>
      </c>
      <c r="D1204" s="177" t="s">
        <v>149</v>
      </c>
      <c r="E1204" s="177" t="str">
        <f t="shared" si="31"/>
        <v/>
      </c>
    </row>
    <row r="1205" spans="3:5">
      <c r="C1205" s="177" t="s">
        <v>149</v>
      </c>
      <c r="D1205" s="177" t="s">
        <v>149</v>
      </c>
      <c r="E1205" s="177" t="str">
        <f t="shared" si="31"/>
        <v/>
      </c>
    </row>
    <row r="1206" spans="3:5">
      <c r="C1206" s="177" t="s">
        <v>149</v>
      </c>
      <c r="D1206" s="177" t="s">
        <v>149</v>
      </c>
      <c r="E1206" s="177" t="str">
        <f t="shared" si="31"/>
        <v/>
      </c>
    </row>
    <row r="1207" spans="3:5">
      <c r="C1207" s="177" t="s">
        <v>149</v>
      </c>
      <c r="D1207" s="177" t="s">
        <v>149</v>
      </c>
      <c r="E1207" s="177" t="str">
        <f t="shared" si="31"/>
        <v/>
      </c>
    </row>
    <row r="1208" spans="3:5">
      <c r="C1208" s="177" t="s">
        <v>149</v>
      </c>
      <c r="D1208" s="177" t="s">
        <v>149</v>
      </c>
      <c r="E1208" s="177" t="str">
        <f t="shared" si="31"/>
        <v/>
      </c>
    </row>
    <row r="1209" spans="3:5">
      <c r="C1209" s="177" t="s">
        <v>149</v>
      </c>
      <c r="D1209" s="177" t="s">
        <v>149</v>
      </c>
      <c r="E1209" s="177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248" workbookViewId="0">
      <selection activeCell="E14" sqref="E14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209</v>
      </c>
      <c r="C4" s="238">
        <f>Dat_02!B3</f>
        <v>44075</v>
      </c>
      <c r="D4" s="239"/>
      <c r="E4" s="240">
        <f>Dat_02!C3</f>
        <v>9.9157058673782661</v>
      </c>
      <c r="F4" s="240">
        <f>Dat_02!D3</f>
        <v>20.95959048014743</v>
      </c>
      <c r="G4" s="240">
        <f>Dat_02!E3</f>
        <v>9.9157058673782661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44076</v>
      </c>
      <c r="D5" s="239"/>
      <c r="E5" s="240">
        <f>Dat_02!C4</f>
        <v>20.153271213409287</v>
      </c>
      <c r="F5" s="240">
        <f>Dat_02!D4</f>
        <v>20.95959048014743</v>
      </c>
      <c r="G5" s="240">
        <f>Dat_02!E4</f>
        <v>20.153271213409287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44077</v>
      </c>
      <c r="D6" s="237"/>
      <c r="E6" s="240">
        <f>Dat_02!C5</f>
        <v>24.629811097405561</v>
      </c>
      <c r="F6" s="240">
        <f>Dat_02!D5</f>
        <v>20.95959048014743</v>
      </c>
      <c r="G6" s="240">
        <f>Dat_02!E5</f>
        <v>20.95959048014743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44078</v>
      </c>
      <c r="D7" s="237"/>
      <c r="E7" s="240">
        <f>Dat_02!C6</f>
        <v>19.219243357407425</v>
      </c>
      <c r="F7" s="240">
        <f>Dat_02!D6</f>
        <v>20.95959048014743</v>
      </c>
      <c r="G7" s="240">
        <f>Dat_02!E6</f>
        <v>19.219243357407425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44079</v>
      </c>
      <c r="D8" s="237"/>
      <c r="E8" s="240">
        <f>Dat_02!C7</f>
        <v>2.4857805174055612</v>
      </c>
      <c r="F8" s="240">
        <f>Dat_02!D7</f>
        <v>20.95959048014743</v>
      </c>
      <c r="G8" s="240">
        <f>Dat_02!E7</f>
        <v>2.4857805174055612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44080</v>
      </c>
      <c r="D9" s="237"/>
      <c r="E9" s="240">
        <f>Dat_02!C8</f>
        <v>1.1927802294074208</v>
      </c>
      <c r="F9" s="240">
        <f>Dat_02!D8</f>
        <v>20.95959048014743</v>
      </c>
      <c r="G9" s="240">
        <f>Dat_02!E8</f>
        <v>1.1927802294074208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44081</v>
      </c>
      <c r="D10" s="237"/>
      <c r="E10" s="240">
        <f>Dat_02!C9</f>
        <v>1.9528572214055602</v>
      </c>
      <c r="F10" s="240">
        <f>Dat_02!D9</f>
        <v>20.95959048014743</v>
      </c>
      <c r="G10" s="240">
        <f>Dat_02!E9</f>
        <v>1.9528572214055602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44082</v>
      </c>
      <c r="D11" s="237"/>
      <c r="E11" s="240">
        <f>Dat_02!C10</f>
        <v>10.516595965407426</v>
      </c>
      <c r="F11" s="240">
        <f>Dat_02!D10</f>
        <v>20.95959048014743</v>
      </c>
      <c r="G11" s="240">
        <f>Dat_02!E10</f>
        <v>10.516595965407426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44083</v>
      </c>
      <c r="D12" s="237"/>
      <c r="E12" s="240">
        <f>Dat_02!C11</f>
        <v>23.06971625332412</v>
      </c>
      <c r="F12" s="240">
        <f>Dat_02!D11</f>
        <v>20.95959048014743</v>
      </c>
      <c r="G12" s="240">
        <f>Dat_02!E11</f>
        <v>20.95959048014743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44084</v>
      </c>
      <c r="D13" s="237"/>
      <c r="E13" s="240">
        <f>Dat_02!C12</f>
        <v>17.835714077325989</v>
      </c>
      <c r="F13" s="240">
        <f>Dat_02!D12</f>
        <v>20.95959048014743</v>
      </c>
      <c r="G13" s="240">
        <f>Dat_02!E12</f>
        <v>17.835714077325989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44085</v>
      </c>
      <c r="D14" s="237"/>
      <c r="E14" s="240">
        <f>Dat_02!C13</f>
        <v>15.430868341322261</v>
      </c>
      <c r="F14" s="240">
        <f>Dat_02!D13</f>
        <v>20.95959048014743</v>
      </c>
      <c r="G14" s="240">
        <f>Dat_02!E13</f>
        <v>15.430868341322261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44086</v>
      </c>
      <c r="D15" s="237"/>
      <c r="E15" s="240">
        <f>Dat_02!C14</f>
        <v>1.5664787813259899</v>
      </c>
      <c r="F15" s="240">
        <f>Dat_02!D14</f>
        <v>20.95959048014743</v>
      </c>
      <c r="G15" s="240">
        <f>Dat_02!E14</f>
        <v>1.5664787813259899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44087</v>
      </c>
      <c r="D16" s="237"/>
      <c r="E16" s="240">
        <f>Dat_02!C15</f>
        <v>1.4851167173222639</v>
      </c>
      <c r="F16" s="240">
        <f>Dat_02!D15</f>
        <v>20.95959048014743</v>
      </c>
      <c r="G16" s="240">
        <f>Dat_02!E15</f>
        <v>1.4851167173222639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44088</v>
      </c>
      <c r="D17" s="237"/>
      <c r="E17" s="240">
        <f>Dat_02!C16</f>
        <v>22.501489901325986</v>
      </c>
      <c r="F17" s="240">
        <f>Dat_02!D16</f>
        <v>20.95959048014743</v>
      </c>
      <c r="G17" s="240">
        <f>Dat_02!E16</f>
        <v>20.95959048014743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44089</v>
      </c>
      <c r="D18" s="237"/>
      <c r="E18" s="240">
        <f>Dat_02!C17</f>
        <v>36.529274045324129</v>
      </c>
      <c r="F18" s="240">
        <f>Dat_02!D17</f>
        <v>20.95959048014743</v>
      </c>
      <c r="G18" s="240">
        <f>Dat_02!E17</f>
        <v>20.95959048014743</v>
      </c>
      <c r="I18" s="300">
        <f>Dat_02!G17</f>
        <v>20.95959048014743</v>
      </c>
      <c r="J18" s="251" t="str">
        <f>IF(Dat_02!H17=0,"",Dat_02!H17)</f>
        <v/>
      </c>
    </row>
    <row r="19" spans="2:10">
      <c r="B19" s="237"/>
      <c r="C19" s="238">
        <f>Dat_02!B18</f>
        <v>44090</v>
      </c>
      <c r="D19" s="237"/>
      <c r="E19" s="240">
        <f>Dat_02!C18</f>
        <v>49.211002997035102</v>
      </c>
      <c r="F19" s="240">
        <f>Dat_02!D18</f>
        <v>20.95959048014743</v>
      </c>
      <c r="G19" s="240">
        <f>Dat_02!E18</f>
        <v>20.95959048014743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44091</v>
      </c>
      <c r="D20" s="237"/>
      <c r="E20" s="240">
        <f>Dat_02!C19</f>
        <v>23.439750845033238</v>
      </c>
      <c r="F20" s="240">
        <f>Dat_02!D19</f>
        <v>20.95959048014743</v>
      </c>
      <c r="G20" s="240">
        <f>Dat_02!E19</f>
        <v>20.95959048014743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44092</v>
      </c>
      <c r="D21" s="237"/>
      <c r="E21" s="240">
        <f>Dat_02!C20</f>
        <v>17.305753081036965</v>
      </c>
      <c r="F21" s="240">
        <f>Dat_02!D20</f>
        <v>20.95959048014743</v>
      </c>
      <c r="G21" s="240">
        <f>Dat_02!E20</f>
        <v>17.305753081036965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44093</v>
      </c>
      <c r="D22" s="237"/>
      <c r="E22" s="240">
        <f>Dat_02!C21</f>
        <v>7.5177133050350964</v>
      </c>
      <c r="F22" s="240">
        <f>Dat_02!D21</f>
        <v>20.95959048014743</v>
      </c>
      <c r="G22" s="240">
        <f>Dat_02!E21</f>
        <v>7.5177133050350964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44094</v>
      </c>
      <c r="D23" s="237"/>
      <c r="E23" s="240">
        <f>Dat_02!C22</f>
        <v>6.3890751850351011</v>
      </c>
      <c r="F23" s="240">
        <f>Dat_02!D22</f>
        <v>20.95959048014743</v>
      </c>
      <c r="G23" s="240">
        <f>Dat_02!E22</f>
        <v>6.3890751850351011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44095</v>
      </c>
      <c r="D24" s="237"/>
      <c r="E24" s="240">
        <f>Dat_02!C23</f>
        <v>29.609922117035094</v>
      </c>
      <c r="F24" s="240">
        <f>Dat_02!D23</f>
        <v>20.95959048014743</v>
      </c>
      <c r="G24" s="240">
        <f>Dat_02!E23</f>
        <v>20.95959048014743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44096</v>
      </c>
      <c r="D25" s="237"/>
      <c r="E25" s="240">
        <f>Dat_02!C24</f>
        <v>41.249954653035104</v>
      </c>
      <c r="F25" s="240">
        <f>Dat_02!D24</f>
        <v>20.95959048014743</v>
      </c>
      <c r="G25" s="240">
        <f>Dat_02!E24</f>
        <v>20.95959048014743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44097</v>
      </c>
      <c r="D26" s="237"/>
      <c r="E26" s="240">
        <f>Dat_02!C25</f>
        <v>47.738555841733351</v>
      </c>
      <c r="F26" s="240">
        <f>Dat_02!D25</f>
        <v>20.95959048014743</v>
      </c>
      <c r="G26" s="240">
        <f>Dat_02!E25</f>
        <v>20.95959048014743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44098</v>
      </c>
      <c r="D27" s="237"/>
      <c r="E27" s="240">
        <f>Dat_02!C26</f>
        <v>28.364571265733343</v>
      </c>
      <c r="F27" s="240">
        <f>Dat_02!D26</f>
        <v>20.95959048014743</v>
      </c>
      <c r="G27" s="240">
        <f>Dat_02!E26</f>
        <v>20.95959048014743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44099</v>
      </c>
      <c r="D28" s="237"/>
      <c r="E28" s="240">
        <f>Dat_02!C27</f>
        <v>14.38581081373521</v>
      </c>
      <c r="F28" s="240">
        <f>Dat_02!D27</f>
        <v>20.95959048014743</v>
      </c>
      <c r="G28" s="240">
        <f>Dat_02!E27</f>
        <v>14.38581081373521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44100</v>
      </c>
      <c r="D29" s="237"/>
      <c r="E29" s="240">
        <f>Dat_02!C28</f>
        <v>9.8621068577314794</v>
      </c>
      <c r="F29" s="240">
        <f>Dat_02!D28</f>
        <v>20.95959048014743</v>
      </c>
      <c r="G29" s="240">
        <f>Dat_02!E28</f>
        <v>9.8621068577314794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44101</v>
      </c>
      <c r="D30" s="237"/>
      <c r="E30" s="240">
        <f>Dat_02!C29</f>
        <v>13.26400406973521</v>
      </c>
      <c r="F30" s="240">
        <f>Dat_02!D29</f>
        <v>20.95959048014743</v>
      </c>
      <c r="G30" s="240">
        <f>Dat_02!E29</f>
        <v>13.26400406973521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44102</v>
      </c>
      <c r="D31" s="237"/>
      <c r="E31" s="240">
        <f>Dat_02!C30</f>
        <v>20.942873981735211</v>
      </c>
      <c r="F31" s="240">
        <f>Dat_02!D30</f>
        <v>20.95959048014743</v>
      </c>
      <c r="G31" s="240">
        <f>Dat_02!E30</f>
        <v>20.942873981735211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44103</v>
      </c>
      <c r="D32" s="237"/>
      <c r="E32" s="240">
        <f>Dat_02!C31</f>
        <v>31.611556617735207</v>
      </c>
      <c r="F32" s="240">
        <f>Dat_02!D31</f>
        <v>20.95959048014743</v>
      </c>
      <c r="G32" s="240">
        <f>Dat_02!E31</f>
        <v>20.95959048014743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44104</v>
      </c>
      <c r="D33" s="237"/>
      <c r="E33" s="240">
        <f>Dat_02!C32</f>
        <v>49.582627884398121</v>
      </c>
      <c r="F33" s="240">
        <f>Dat_02!D32</f>
        <v>20.95959048014743</v>
      </c>
      <c r="G33" s="240">
        <f>Dat_02!E32</f>
        <v>20.95959048014743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44105</v>
      </c>
      <c r="D34" s="239"/>
      <c r="E34" s="240">
        <f>Dat_02!C33</f>
        <v>34.494749008399985</v>
      </c>
      <c r="F34" s="240">
        <f>Dat_02!D33</f>
        <v>41.360965957335978</v>
      </c>
      <c r="G34" s="240">
        <f>Dat_02!E33</f>
        <v>34.494749008399985</v>
      </c>
      <c r="I34" s="241">
        <f>Dat_02!G33</f>
        <v>0</v>
      </c>
      <c r="J34" s="251" t="str">
        <f>IF(Dat_02!H33=0,"",Dat_02!H33)</f>
        <v/>
      </c>
    </row>
    <row r="35" spans="2:10">
      <c r="B35" s="239" t="s">
        <v>210</v>
      </c>
      <c r="C35" s="238">
        <f>Dat_02!B34</f>
        <v>44106</v>
      </c>
      <c r="D35" s="239"/>
      <c r="E35" s="240">
        <f>Dat_02!C34</f>
        <v>33.263345404401854</v>
      </c>
      <c r="F35" s="240">
        <f>Dat_02!D34</f>
        <v>41.360965957335978</v>
      </c>
      <c r="G35" s="240">
        <f>Dat_02!E34</f>
        <v>33.263345404401854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44107</v>
      </c>
      <c r="D36" s="239"/>
      <c r="E36" s="240">
        <f>Dat_02!C35</f>
        <v>31.916821480398124</v>
      </c>
      <c r="F36" s="240">
        <f>Dat_02!D35</f>
        <v>41.360965957335978</v>
      </c>
      <c r="G36" s="240">
        <f>Dat_02!E35</f>
        <v>31.916821480398124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44108</v>
      </c>
      <c r="D37" s="237"/>
      <c r="E37" s="240">
        <f>Dat_02!C36</f>
        <v>32.320732376400919</v>
      </c>
      <c r="F37" s="240">
        <f>Dat_02!D36</f>
        <v>41.360965957335978</v>
      </c>
      <c r="G37" s="240">
        <f>Dat_02!E36</f>
        <v>32.320732376400919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44109</v>
      </c>
      <c r="D38" s="237"/>
      <c r="E38" s="240">
        <f>Dat_02!C37</f>
        <v>36.530324628400912</v>
      </c>
      <c r="F38" s="240">
        <f>Dat_02!D37</f>
        <v>41.360965957335978</v>
      </c>
      <c r="G38" s="240">
        <f>Dat_02!E37</f>
        <v>36.530324628400912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44110</v>
      </c>
      <c r="D39" s="237"/>
      <c r="E39" s="240">
        <f>Dat_02!C38</f>
        <v>44.161732320401846</v>
      </c>
      <c r="F39" s="240">
        <f>Dat_02!D38</f>
        <v>41.360965957335978</v>
      </c>
      <c r="G39" s="240">
        <f>Dat_02!E38</f>
        <v>41.360965957335978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44111</v>
      </c>
      <c r="D40" s="237"/>
      <c r="E40" s="240">
        <f>Dat_02!C39</f>
        <v>51.275678575480406</v>
      </c>
      <c r="F40" s="240">
        <f>Dat_02!D39</f>
        <v>41.360965957335978</v>
      </c>
      <c r="G40" s="240">
        <f>Dat_02!E39</f>
        <v>41.360965957335978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44112</v>
      </c>
      <c r="D41" s="237"/>
      <c r="E41" s="240">
        <f>Dat_02!C40</f>
        <v>57.804757795484143</v>
      </c>
      <c r="F41" s="240">
        <f>Dat_02!D40</f>
        <v>41.360965957335978</v>
      </c>
      <c r="G41" s="240">
        <f>Dat_02!E40</f>
        <v>41.360965957335978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44113</v>
      </c>
      <c r="D42" s="237"/>
      <c r="E42" s="240">
        <f>Dat_02!C41</f>
        <v>58.90136793548227</v>
      </c>
      <c r="F42" s="240">
        <f>Dat_02!D41</f>
        <v>41.360965957335978</v>
      </c>
      <c r="G42" s="240">
        <f>Dat_02!E41</f>
        <v>41.360965957335978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44114</v>
      </c>
      <c r="D43" s="237"/>
      <c r="E43" s="240">
        <f>Dat_02!C42</f>
        <v>31.952608363482273</v>
      </c>
      <c r="F43" s="240">
        <f>Dat_02!D42</f>
        <v>41.360965957335978</v>
      </c>
      <c r="G43" s="240">
        <f>Dat_02!E42</f>
        <v>31.952608363482273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44115</v>
      </c>
      <c r="D44" s="237"/>
      <c r="E44" s="240">
        <f>Dat_02!C43</f>
        <v>27.311554463484136</v>
      </c>
      <c r="F44" s="240">
        <f>Dat_02!D43</f>
        <v>41.360965957335978</v>
      </c>
      <c r="G44" s="240">
        <f>Dat_02!E43</f>
        <v>27.311554463484136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44116</v>
      </c>
      <c r="D45" s="237"/>
      <c r="E45" s="240">
        <f>Dat_02!C44</f>
        <v>33.411277655482273</v>
      </c>
      <c r="F45" s="240">
        <f>Dat_02!D44</f>
        <v>41.360965957335978</v>
      </c>
      <c r="G45" s="240">
        <f>Dat_02!E44</f>
        <v>33.411277655482273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44117</v>
      </c>
      <c r="D46" s="237"/>
      <c r="E46" s="240">
        <f>Dat_02!C45</f>
        <v>57.046941845482273</v>
      </c>
      <c r="F46" s="240">
        <f>Dat_02!D45</f>
        <v>41.360965957335978</v>
      </c>
      <c r="G46" s="240">
        <f>Dat_02!E45</f>
        <v>41.360965957335978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44118</v>
      </c>
      <c r="D47" s="237"/>
      <c r="E47" s="240">
        <f>Dat_02!C46</f>
        <v>40.685804836433135</v>
      </c>
      <c r="F47" s="240">
        <f>Dat_02!D46</f>
        <v>41.360965957335978</v>
      </c>
      <c r="G47" s="240">
        <f>Dat_02!E46</f>
        <v>40.685804836433135</v>
      </c>
      <c r="I47" s="301" t="str">
        <f>Dat_02!G46</f>
        <v/>
      </c>
      <c r="J47" s="251" t="str">
        <f>IF(Dat_02!H46=0,"",Dat_02!H46)</f>
        <v/>
      </c>
    </row>
    <row r="48" spans="2:10">
      <c r="B48" s="237"/>
      <c r="C48" s="238">
        <f>Dat_02!B47</f>
        <v>44119</v>
      </c>
      <c r="D48" s="237"/>
      <c r="E48" s="240">
        <f>Dat_02!C47</f>
        <v>49.477684980431263</v>
      </c>
      <c r="F48" s="240">
        <f>Dat_02!D47</f>
        <v>41.360965957335978</v>
      </c>
      <c r="G48" s="240">
        <f>Dat_02!E47</f>
        <v>41.360965957335978</v>
      </c>
      <c r="I48" s="300">
        <f>Dat_02!G47</f>
        <v>41.360965957335978</v>
      </c>
      <c r="J48" s="251" t="str">
        <f>IF(Dat_02!H47=0,"",Dat_02!H47)</f>
        <v/>
      </c>
    </row>
    <row r="49" spans="2:10">
      <c r="B49" s="237"/>
      <c r="C49" s="238">
        <f>Dat_02!B48</f>
        <v>44120</v>
      </c>
      <c r="D49" s="237"/>
      <c r="E49" s="240">
        <f>Dat_02!C48</f>
        <v>55.657722726433128</v>
      </c>
      <c r="F49" s="240">
        <f>Dat_02!D48</f>
        <v>41.360965957335978</v>
      </c>
      <c r="G49" s="240">
        <f>Dat_02!E48</f>
        <v>41.360965957335978</v>
      </c>
      <c r="I49" s="241" t="str">
        <f>Dat_02!G48</f>
        <v/>
      </c>
      <c r="J49" s="251" t="str">
        <f>IF(Dat_02!H48=0,"",Dat_02!H48)</f>
        <v/>
      </c>
    </row>
    <row r="50" spans="2:10">
      <c r="B50" s="237"/>
      <c r="C50" s="238">
        <f>Dat_02!B49</f>
        <v>44121</v>
      </c>
      <c r="D50" s="237"/>
      <c r="E50" s="240">
        <f>Dat_02!C49</f>
        <v>60.389695256433129</v>
      </c>
      <c r="F50" s="240">
        <f>Dat_02!D49</f>
        <v>41.360965957335978</v>
      </c>
      <c r="G50" s="240">
        <f>Dat_02!E49</f>
        <v>41.360965957335978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44122</v>
      </c>
      <c r="D51" s="237"/>
      <c r="E51" s="240">
        <f>Dat_02!C50</f>
        <v>50.658292656433126</v>
      </c>
      <c r="F51" s="240">
        <f>Dat_02!D50</f>
        <v>41.360965957335978</v>
      </c>
      <c r="G51" s="240">
        <f>Dat_02!E50</f>
        <v>41.360965957335978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44123</v>
      </c>
      <c r="D52" s="237"/>
      <c r="E52" s="240">
        <f>Dat_02!C51</f>
        <v>17.849682186431274</v>
      </c>
      <c r="F52" s="240">
        <f>Dat_02!D51</f>
        <v>41.360965957335978</v>
      </c>
      <c r="G52" s="240">
        <f>Dat_02!E51</f>
        <v>17.849682186431274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44124</v>
      </c>
      <c r="D53" s="237"/>
      <c r="E53" s="240">
        <f>Dat_02!C52</f>
        <v>33.288567356433134</v>
      </c>
      <c r="F53" s="240">
        <f>Dat_02!D52</f>
        <v>41.360965957335978</v>
      </c>
      <c r="G53" s="240">
        <f>Dat_02!E52</f>
        <v>33.288567356433134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44125</v>
      </c>
      <c r="D54" s="237"/>
      <c r="E54" s="240">
        <f>Dat_02!C53</f>
        <v>97.476409926170803</v>
      </c>
      <c r="F54" s="240">
        <f>Dat_02!D53</f>
        <v>41.360965957335978</v>
      </c>
      <c r="G54" s="240">
        <f>Dat_02!E53</f>
        <v>41.360965957335978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44126</v>
      </c>
      <c r="D55" s="237"/>
      <c r="E55" s="240">
        <f>Dat_02!C54</f>
        <v>126.2414094481708</v>
      </c>
      <c r="F55" s="240">
        <f>Dat_02!D54</f>
        <v>41.360965957335978</v>
      </c>
      <c r="G55" s="240">
        <f>Dat_02!E54</f>
        <v>41.360965957335978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44127</v>
      </c>
      <c r="D56" s="237"/>
      <c r="E56" s="240">
        <f>Dat_02!C55</f>
        <v>116.10034370617173</v>
      </c>
      <c r="F56" s="240">
        <f>Dat_02!D55</f>
        <v>41.360965957335978</v>
      </c>
      <c r="G56" s="240">
        <f>Dat_02!E55</f>
        <v>41.360965957335978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44128</v>
      </c>
      <c r="D57" s="237"/>
      <c r="E57" s="240">
        <f>Dat_02!C56</f>
        <v>92.92507380816987</v>
      </c>
      <c r="F57" s="240">
        <f>Dat_02!D56</f>
        <v>41.360965957335978</v>
      </c>
      <c r="G57" s="240">
        <f>Dat_02!E56</f>
        <v>41.360965957335978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44129</v>
      </c>
      <c r="D58" s="237"/>
      <c r="E58" s="240">
        <f>Dat_02!C57</f>
        <v>89.938227088171729</v>
      </c>
      <c r="F58" s="240">
        <f>Dat_02!D57</f>
        <v>41.360965957335978</v>
      </c>
      <c r="G58" s="240">
        <f>Dat_02!E57</f>
        <v>41.360965957335978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44130</v>
      </c>
      <c r="D59" s="237"/>
      <c r="E59" s="240">
        <f>Dat_02!C58</f>
        <v>109.4669571661708</v>
      </c>
      <c r="F59" s="240">
        <f>Dat_02!D58</f>
        <v>41.360965957335978</v>
      </c>
      <c r="G59" s="240">
        <f>Dat_02!E58</f>
        <v>41.360965957335978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44131</v>
      </c>
      <c r="D60" s="237"/>
      <c r="E60" s="240">
        <f>Dat_02!C59</f>
        <v>110.00145380616986</v>
      </c>
      <c r="F60" s="240">
        <f>Dat_02!D59</f>
        <v>41.360965957335978</v>
      </c>
      <c r="G60" s="240">
        <f>Dat_02!E59</f>
        <v>41.360965957335978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44132</v>
      </c>
      <c r="D61" s="237"/>
      <c r="E61" s="240">
        <f>Dat_02!C60</f>
        <v>97.71259092256328</v>
      </c>
      <c r="F61" s="240">
        <f>Dat_02!D60</f>
        <v>41.360965957335978</v>
      </c>
      <c r="G61" s="240">
        <f>Dat_02!E60</f>
        <v>41.360965957335978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44133</v>
      </c>
      <c r="D62" s="237"/>
      <c r="E62" s="240">
        <f>Dat_02!C61</f>
        <v>100.97976351856143</v>
      </c>
      <c r="F62" s="240">
        <f>Dat_02!D61</f>
        <v>41.360965957335978</v>
      </c>
      <c r="G62" s="240">
        <f>Dat_02!E61</f>
        <v>41.360965957335978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44134</v>
      </c>
      <c r="D63" s="237"/>
      <c r="E63" s="240">
        <f>Dat_02!C62</f>
        <v>95.019777810563269</v>
      </c>
      <c r="F63" s="240">
        <f>Dat_02!D62</f>
        <v>41.360965957335978</v>
      </c>
      <c r="G63" s="240">
        <f>Dat_02!E62</f>
        <v>41.360965957335978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44135</v>
      </c>
      <c r="D64" s="237"/>
      <c r="E64" s="240">
        <f>Dat_02!C63</f>
        <v>73.238647778563291</v>
      </c>
      <c r="F64" s="240">
        <f>Dat_02!D63</f>
        <v>41.360965957335978</v>
      </c>
      <c r="G64" s="240">
        <f>Dat_02!E63</f>
        <v>41.360965957335978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211</v>
      </c>
      <c r="C65" s="238">
        <f>Dat_02!B64</f>
        <v>44136</v>
      </c>
      <c r="D65" s="239"/>
      <c r="E65" s="240">
        <f>Dat_02!C64</f>
        <v>67.491461476561412</v>
      </c>
      <c r="F65" s="240">
        <f>Dat_02!D64</f>
        <v>85.678144231829236</v>
      </c>
      <c r="G65" s="240">
        <f>Dat_02!E64</f>
        <v>67.491461476561412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44137</v>
      </c>
      <c r="D66" s="239"/>
      <c r="E66" s="240">
        <f>Dat_02!C65</f>
        <v>90.539297578563279</v>
      </c>
      <c r="F66" s="240">
        <f>Dat_02!D65</f>
        <v>85.678144231829236</v>
      </c>
      <c r="G66" s="240">
        <f>Dat_02!E65</f>
        <v>85.678144231829236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44138</v>
      </c>
      <c r="D67" s="237"/>
      <c r="E67" s="240">
        <f>Dat_02!C66</f>
        <v>84.920933158563273</v>
      </c>
      <c r="F67" s="240">
        <f>Dat_02!D66</f>
        <v>85.678144231829236</v>
      </c>
      <c r="G67" s="240">
        <f>Dat_02!E66</f>
        <v>84.920933158563273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44139</v>
      </c>
      <c r="D68" s="237"/>
      <c r="E68" s="240">
        <f>Dat_02!C67</f>
        <v>92.090104163520209</v>
      </c>
      <c r="F68" s="240">
        <f>Dat_02!D67</f>
        <v>85.678144231829236</v>
      </c>
      <c r="G68" s="240">
        <f>Dat_02!E67</f>
        <v>85.678144231829236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44140</v>
      </c>
      <c r="D69" s="237"/>
      <c r="E69" s="240">
        <f>Dat_02!C68</f>
        <v>85.06945982151835</v>
      </c>
      <c r="F69" s="240">
        <f>Dat_02!D68</f>
        <v>85.678144231829236</v>
      </c>
      <c r="G69" s="240">
        <f>Dat_02!E68</f>
        <v>85.06945982151835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44141</v>
      </c>
      <c r="D70" s="237"/>
      <c r="E70" s="240">
        <f>Dat_02!C69</f>
        <v>82.499194099520196</v>
      </c>
      <c r="F70" s="240">
        <f>Dat_02!D69</f>
        <v>85.678144231829236</v>
      </c>
      <c r="G70" s="240">
        <f>Dat_02!E69</f>
        <v>82.499194099520196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44142</v>
      </c>
      <c r="D71" s="237"/>
      <c r="E71" s="240">
        <f>Dat_02!C70</f>
        <v>85.196646417518352</v>
      </c>
      <c r="F71" s="240">
        <f>Dat_02!D70</f>
        <v>85.678144231829236</v>
      </c>
      <c r="G71" s="240">
        <f>Dat_02!E70</f>
        <v>85.196646417518352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44143</v>
      </c>
      <c r="D72" s="237"/>
      <c r="E72" s="240">
        <f>Dat_02!C71</f>
        <v>88.352665449518341</v>
      </c>
      <c r="F72" s="240">
        <f>Dat_02!D71</f>
        <v>85.678144231829236</v>
      </c>
      <c r="G72" s="240">
        <f>Dat_02!E71</f>
        <v>85.678144231829236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44144</v>
      </c>
      <c r="D73" s="237"/>
      <c r="E73" s="240">
        <f>Dat_02!C72</f>
        <v>122.2032016355202</v>
      </c>
      <c r="F73" s="240">
        <f>Dat_02!D72</f>
        <v>85.678144231829236</v>
      </c>
      <c r="G73" s="240">
        <f>Dat_02!E72</f>
        <v>85.678144231829236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44145</v>
      </c>
      <c r="D74" s="237"/>
      <c r="E74" s="240">
        <f>Dat_02!C73</f>
        <v>133.2698394595202</v>
      </c>
      <c r="F74" s="240">
        <f>Dat_02!D73</f>
        <v>85.678144231829236</v>
      </c>
      <c r="G74" s="240">
        <f>Dat_02!E73</f>
        <v>85.678144231829236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44146</v>
      </c>
      <c r="D75" s="237"/>
      <c r="E75" s="240">
        <f>Dat_02!C74</f>
        <v>92.376966588720165</v>
      </c>
      <c r="F75" s="240">
        <f>Dat_02!D74</f>
        <v>85.678144231829236</v>
      </c>
      <c r="G75" s="240">
        <f>Dat_02!E74</f>
        <v>85.678144231829236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44147</v>
      </c>
      <c r="D76" s="237"/>
      <c r="E76" s="240">
        <f>Dat_02!C75</f>
        <v>96.612491752722022</v>
      </c>
      <c r="F76" s="240">
        <f>Dat_02!D75</f>
        <v>85.678144231829236</v>
      </c>
      <c r="G76" s="240">
        <f>Dat_02!E75</f>
        <v>85.678144231829236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44148</v>
      </c>
      <c r="D77" s="237"/>
      <c r="E77" s="240">
        <f>Dat_02!C76</f>
        <v>95.489208220722034</v>
      </c>
      <c r="F77" s="240">
        <f>Dat_02!D76</f>
        <v>85.678144231829236</v>
      </c>
      <c r="G77" s="240">
        <f>Dat_02!E76</f>
        <v>85.678144231829236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44149</v>
      </c>
      <c r="D78" s="237"/>
      <c r="E78" s="240">
        <f>Dat_02!C77</f>
        <v>70.060299420722032</v>
      </c>
      <c r="F78" s="240">
        <f>Dat_02!D77</f>
        <v>85.678144231829236</v>
      </c>
      <c r="G78" s="240">
        <f>Dat_02!E77</f>
        <v>70.060299420722032</v>
      </c>
      <c r="I78" s="241" t="str">
        <f>Dat_02!G77</f>
        <v/>
      </c>
      <c r="J78" s="251" t="str">
        <f>IF(Dat_02!H77=0,"",Dat_02!H77)</f>
        <v/>
      </c>
    </row>
    <row r="79" spans="2:10">
      <c r="B79" s="237"/>
      <c r="C79" s="238">
        <f>Dat_02!B78</f>
        <v>44150</v>
      </c>
      <c r="D79" s="237"/>
      <c r="E79" s="240">
        <f>Dat_02!C78</f>
        <v>48.015287764720171</v>
      </c>
      <c r="F79" s="240">
        <f>Dat_02!D78</f>
        <v>85.678144231829236</v>
      </c>
      <c r="G79" s="240">
        <f>Dat_02!E78</f>
        <v>48.015287764720171</v>
      </c>
      <c r="I79" s="300">
        <f>Dat_02!G78</f>
        <v>85.678144231829236</v>
      </c>
      <c r="J79" s="251" t="str">
        <f>IF(Dat_02!H78=0,"",Dat_02!H78)</f>
        <v/>
      </c>
    </row>
    <row r="80" spans="2:10">
      <c r="B80" s="237"/>
      <c r="C80" s="238">
        <f>Dat_02!B79</f>
        <v>44151</v>
      </c>
      <c r="D80" s="237"/>
      <c r="E80" s="240">
        <f>Dat_02!C79</f>
        <v>87.2994411447239</v>
      </c>
      <c r="F80" s="240">
        <f>Dat_02!D79</f>
        <v>85.678144231829236</v>
      </c>
      <c r="G80" s="240">
        <f>Dat_02!E79</f>
        <v>85.678144231829236</v>
      </c>
      <c r="I80" s="300" t="str">
        <f>Dat_02!G79</f>
        <v/>
      </c>
      <c r="J80" s="251" t="str">
        <f>IF(Dat_02!H79=0,"",Dat_02!H79)</f>
        <v/>
      </c>
    </row>
    <row r="81" spans="2:10">
      <c r="B81" s="237"/>
      <c r="C81" s="238">
        <f>Dat_02!B80</f>
        <v>44152</v>
      </c>
      <c r="D81" s="237"/>
      <c r="E81" s="240">
        <f>Dat_02!C80</f>
        <v>92.342187160720158</v>
      </c>
      <c r="F81" s="240">
        <f>Dat_02!D80</f>
        <v>85.678144231829236</v>
      </c>
      <c r="G81" s="240">
        <f>Dat_02!E80</f>
        <v>85.678144231829236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44153</v>
      </c>
      <c r="D82" s="237"/>
      <c r="E82" s="240">
        <f>Dat_02!C81</f>
        <v>70.111621425442806</v>
      </c>
      <c r="F82" s="240">
        <f>Dat_02!D81</f>
        <v>85.678144231829236</v>
      </c>
      <c r="G82" s="240">
        <f>Dat_02!E81</f>
        <v>70.111621425442806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44154</v>
      </c>
      <c r="D83" s="237"/>
      <c r="E83" s="240">
        <f>Dat_02!C82</f>
        <v>63.088121337444669</v>
      </c>
      <c r="F83" s="240">
        <f>Dat_02!D82</f>
        <v>85.678144231829236</v>
      </c>
      <c r="G83" s="240">
        <f>Dat_02!E82</f>
        <v>63.088121337444669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44155</v>
      </c>
      <c r="D84" s="237"/>
      <c r="E84" s="240">
        <f>Dat_02!C83</f>
        <v>55.397761157440947</v>
      </c>
      <c r="F84" s="240">
        <f>Dat_02!D83</f>
        <v>85.678144231829236</v>
      </c>
      <c r="G84" s="240">
        <f>Dat_02!E83</f>
        <v>55.397761157440947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44156</v>
      </c>
      <c r="D85" s="237"/>
      <c r="E85" s="240">
        <f>Dat_02!C84</f>
        <v>53.693995237442813</v>
      </c>
      <c r="F85" s="240">
        <f>Dat_02!D84</f>
        <v>85.678144231829236</v>
      </c>
      <c r="G85" s="240">
        <f>Dat_02!E84</f>
        <v>53.693995237442813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44157</v>
      </c>
      <c r="D86" s="237"/>
      <c r="E86" s="240">
        <f>Dat_02!C85</f>
        <v>46.526884517442817</v>
      </c>
      <c r="F86" s="240">
        <f>Dat_02!D85</f>
        <v>85.678144231829236</v>
      </c>
      <c r="G86" s="240">
        <f>Dat_02!E85</f>
        <v>46.526884517442817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44158</v>
      </c>
      <c r="D87" s="237"/>
      <c r="E87" s="240">
        <f>Dat_02!C86</f>
        <v>85.732369433442813</v>
      </c>
      <c r="F87" s="240">
        <f>Dat_02!D86</f>
        <v>85.678144231829236</v>
      </c>
      <c r="G87" s="240">
        <f>Dat_02!E86</f>
        <v>85.678144231829236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44159</v>
      </c>
      <c r="D88" s="237"/>
      <c r="E88" s="240">
        <f>Dat_02!C87</f>
        <v>88.500465897440961</v>
      </c>
      <c r="F88" s="240">
        <f>Dat_02!D87</f>
        <v>85.678144231829236</v>
      </c>
      <c r="G88" s="240">
        <f>Dat_02!E87</f>
        <v>85.678144231829236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44160</v>
      </c>
      <c r="D89" s="237"/>
      <c r="E89" s="240">
        <f>Dat_02!C88</f>
        <v>69.851458300664419</v>
      </c>
      <c r="F89" s="240">
        <f>Dat_02!D88</f>
        <v>85.678144231829236</v>
      </c>
      <c r="G89" s="240">
        <f>Dat_02!E88</f>
        <v>69.851458300664419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44161</v>
      </c>
      <c r="D90" s="237"/>
      <c r="E90" s="240">
        <f>Dat_02!C89</f>
        <v>67.886973940664419</v>
      </c>
      <c r="F90" s="240">
        <f>Dat_02!D89</f>
        <v>85.678144231829236</v>
      </c>
      <c r="G90" s="240">
        <f>Dat_02!E89</f>
        <v>67.886973940664419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44162</v>
      </c>
      <c r="D91" s="237"/>
      <c r="E91" s="240">
        <f>Dat_02!C90</f>
        <v>81.418604596664423</v>
      </c>
      <c r="F91" s="240">
        <f>Dat_02!D90</f>
        <v>85.678144231829236</v>
      </c>
      <c r="G91" s="240">
        <f>Dat_02!E90</f>
        <v>81.418604596664423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44163</v>
      </c>
      <c r="D92" s="237"/>
      <c r="E92" s="240">
        <f>Dat_02!C91</f>
        <v>64.213849756666278</v>
      </c>
      <c r="F92" s="240">
        <f>Dat_02!D91</f>
        <v>85.678144231829236</v>
      </c>
      <c r="G92" s="240">
        <f>Dat_02!E91</f>
        <v>64.213849756666278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44164</v>
      </c>
      <c r="D93" s="237"/>
      <c r="E93" s="240">
        <f>Dat_02!C92</f>
        <v>59.651142740662557</v>
      </c>
      <c r="F93" s="240">
        <f>Dat_02!D92</f>
        <v>85.678144231829236</v>
      </c>
      <c r="G93" s="240">
        <f>Dat_02!E92</f>
        <v>59.651142740662557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44165</v>
      </c>
      <c r="D94" s="237"/>
      <c r="E94" s="240">
        <f>Dat_02!C93</f>
        <v>79.045761708664415</v>
      </c>
      <c r="F94" s="240">
        <f>Dat_02!D93</f>
        <v>85.678144231829236</v>
      </c>
      <c r="G94" s="240">
        <f>Dat_02!E93</f>
        <v>79.045761708664415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44166</v>
      </c>
      <c r="D95" s="239"/>
      <c r="E95" s="240">
        <f>Dat_02!C94</f>
        <v>62.100601868663496</v>
      </c>
      <c r="F95" s="240">
        <f>Dat_02!D94</f>
        <v>109.27964473765024</v>
      </c>
      <c r="G95" s="240">
        <f>Dat_02!E94</f>
        <v>62.100601868663496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212</v>
      </c>
      <c r="C96" s="238">
        <f>Dat_02!B95</f>
        <v>44167</v>
      </c>
      <c r="D96" s="239"/>
      <c r="E96" s="240">
        <f>Dat_02!C95</f>
        <v>70.402396138760267</v>
      </c>
      <c r="F96" s="240">
        <f>Dat_02!D95</f>
        <v>109.27964473765024</v>
      </c>
      <c r="G96" s="240">
        <f>Dat_02!E95</f>
        <v>70.402396138760267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44168</v>
      </c>
      <c r="D97" s="239"/>
      <c r="E97" s="240">
        <f>Dat_02!C96</f>
        <v>82.667161910759333</v>
      </c>
      <c r="F97" s="240">
        <f>Dat_02!D96</f>
        <v>109.27964473765024</v>
      </c>
      <c r="G97" s="240">
        <f>Dat_02!E96</f>
        <v>82.667161910759333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44169</v>
      </c>
      <c r="D98" s="237"/>
      <c r="E98" s="240">
        <f>Dat_02!C97</f>
        <v>78.066907996759326</v>
      </c>
      <c r="F98" s="240">
        <f>Dat_02!D97</f>
        <v>109.27964473765024</v>
      </c>
      <c r="G98" s="240">
        <f>Dat_02!E97</f>
        <v>78.066907996759326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44170</v>
      </c>
      <c r="D99" s="237"/>
      <c r="E99" s="240">
        <f>Dat_02!C98</f>
        <v>61.534131550759327</v>
      </c>
      <c r="F99" s="240">
        <f>Dat_02!D98</f>
        <v>109.27964473765024</v>
      </c>
      <c r="G99" s="240">
        <f>Dat_02!E98</f>
        <v>61.534131550759327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44171</v>
      </c>
      <c r="D100" s="237"/>
      <c r="E100" s="240">
        <f>Dat_02!C99</f>
        <v>45.123614910761191</v>
      </c>
      <c r="F100" s="240">
        <f>Dat_02!D99</f>
        <v>109.27964473765024</v>
      </c>
      <c r="G100" s="240">
        <f>Dat_02!E99</f>
        <v>45.123614910761191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44172</v>
      </c>
      <c r="D101" s="237"/>
      <c r="E101" s="240">
        <f>Dat_02!C100</f>
        <v>40.704781300759329</v>
      </c>
      <c r="F101" s="240">
        <f>Dat_02!D100</f>
        <v>109.27964473765024</v>
      </c>
      <c r="G101" s="240">
        <f>Dat_02!E100</f>
        <v>40.704781300759329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44173</v>
      </c>
      <c r="D102" s="237"/>
      <c r="E102" s="240">
        <f>Dat_02!C101</f>
        <v>62.039171170759332</v>
      </c>
      <c r="F102" s="240">
        <f>Dat_02!D101</f>
        <v>109.27964473765024</v>
      </c>
      <c r="G102" s="240">
        <f>Dat_02!E101</f>
        <v>62.039171170759332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44174</v>
      </c>
      <c r="D103" s="237"/>
      <c r="E103" s="240">
        <f>Dat_02!C102</f>
        <v>180.84187507717817</v>
      </c>
      <c r="F103" s="240">
        <f>Dat_02!D102</f>
        <v>109.27964473765024</v>
      </c>
      <c r="G103" s="240">
        <f>Dat_02!E102</f>
        <v>109.27964473765024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44175</v>
      </c>
      <c r="D104" s="237"/>
      <c r="E104" s="240">
        <f>Dat_02!C103</f>
        <v>177.39079880117723</v>
      </c>
      <c r="F104" s="240">
        <f>Dat_02!D103</f>
        <v>109.27964473765024</v>
      </c>
      <c r="G104" s="240">
        <f>Dat_02!E103</f>
        <v>109.27964473765024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44176</v>
      </c>
      <c r="D105" s="237"/>
      <c r="E105" s="240">
        <f>Dat_02!C104</f>
        <v>170.68153854117722</v>
      </c>
      <c r="F105" s="240">
        <f>Dat_02!D104</f>
        <v>109.27964473765024</v>
      </c>
      <c r="G105" s="240">
        <f>Dat_02!E104</f>
        <v>109.27964473765024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44177</v>
      </c>
      <c r="D106" s="237"/>
      <c r="E106" s="240">
        <f>Dat_02!C105</f>
        <v>168.05536761117725</v>
      </c>
      <c r="F106" s="240">
        <f>Dat_02!D105</f>
        <v>109.27964473765024</v>
      </c>
      <c r="G106" s="240">
        <f>Dat_02!E105</f>
        <v>109.27964473765024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44178</v>
      </c>
      <c r="D107" s="237"/>
      <c r="E107" s="240">
        <f>Dat_02!C106</f>
        <v>178.62972340117724</v>
      </c>
      <c r="F107" s="240">
        <f>Dat_02!D106</f>
        <v>109.27964473765024</v>
      </c>
      <c r="G107" s="240">
        <f>Dat_02!E106</f>
        <v>109.27964473765024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44179</v>
      </c>
      <c r="D108" s="237"/>
      <c r="E108" s="240">
        <f>Dat_02!C107</f>
        <v>193.30177418717724</v>
      </c>
      <c r="F108" s="240">
        <f>Dat_02!D107</f>
        <v>109.27964473765024</v>
      </c>
      <c r="G108" s="240">
        <f>Dat_02!E107</f>
        <v>109.27964473765024</v>
      </c>
      <c r="I108" s="241" t="str">
        <f>Dat_02!G107</f>
        <v/>
      </c>
      <c r="J108" s="251" t="str">
        <f>IF(Dat_02!H107=0,"",Dat_02!H107)</f>
        <v/>
      </c>
    </row>
    <row r="109" spans="2:10">
      <c r="B109" s="237"/>
      <c r="C109" s="238">
        <f>Dat_02!B108</f>
        <v>44180</v>
      </c>
      <c r="D109" s="237"/>
      <c r="E109" s="240">
        <f>Dat_02!C108</f>
        <v>197.34683710117724</v>
      </c>
      <c r="F109" s="240">
        <f>Dat_02!D108</f>
        <v>109.27964473765024</v>
      </c>
      <c r="G109" s="240">
        <f>Dat_02!E108</f>
        <v>109.27964473765024</v>
      </c>
      <c r="I109" s="300">
        <f>Dat_02!G108</f>
        <v>109.27964473765024</v>
      </c>
      <c r="J109" s="251" t="str">
        <f>IF(Dat_02!H108=0,"",Dat_02!H108)</f>
        <v/>
      </c>
    </row>
    <row r="110" spans="2:10">
      <c r="B110" s="237"/>
      <c r="C110" s="238">
        <f>Dat_02!B109</f>
        <v>44181</v>
      </c>
      <c r="D110" s="237"/>
      <c r="E110" s="240">
        <f>Dat_02!C109</f>
        <v>189.05654969500449</v>
      </c>
      <c r="F110" s="240">
        <f>Dat_02!D109</f>
        <v>109.27964473765024</v>
      </c>
      <c r="G110" s="240">
        <f>Dat_02!E109</f>
        <v>109.27964473765024</v>
      </c>
      <c r="I110" s="241" t="str">
        <f>Dat_02!G109</f>
        <v/>
      </c>
      <c r="J110" s="251" t="str">
        <f>IF(Dat_02!H109=0,"",Dat_02!H109)</f>
        <v/>
      </c>
    </row>
    <row r="111" spans="2:10">
      <c r="B111" s="237"/>
      <c r="C111" s="238">
        <f>Dat_02!B110</f>
        <v>44182</v>
      </c>
      <c r="D111" s="237"/>
      <c r="E111" s="240">
        <f>Dat_02!C110</f>
        <v>209.45691207300081</v>
      </c>
      <c r="F111" s="240">
        <f>Dat_02!D110</f>
        <v>109.27964473765024</v>
      </c>
      <c r="G111" s="240">
        <f>Dat_02!E110</f>
        <v>109.27964473765024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44183</v>
      </c>
      <c r="D112" s="237"/>
      <c r="E112" s="240">
        <f>Dat_02!C111</f>
        <v>188.86810224900265</v>
      </c>
      <c r="F112" s="240">
        <f>Dat_02!D111</f>
        <v>109.27964473765024</v>
      </c>
      <c r="G112" s="240">
        <f>Dat_02!E111</f>
        <v>109.27964473765024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44184</v>
      </c>
      <c r="D113" s="237"/>
      <c r="E113" s="240">
        <f>Dat_02!C112</f>
        <v>170.36948992900079</v>
      </c>
      <c r="F113" s="240">
        <f>Dat_02!D112</f>
        <v>109.27964473765024</v>
      </c>
      <c r="G113" s="240">
        <f>Dat_02!E112</f>
        <v>109.27964473765024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44185</v>
      </c>
      <c r="D114" s="237"/>
      <c r="E114" s="240">
        <f>Dat_02!C113</f>
        <v>171.48715503300267</v>
      </c>
      <c r="F114" s="240">
        <f>Dat_02!D113</f>
        <v>109.27964473765024</v>
      </c>
      <c r="G114" s="240">
        <f>Dat_02!E113</f>
        <v>109.27964473765024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44186</v>
      </c>
      <c r="D115" s="237"/>
      <c r="E115" s="240">
        <f>Dat_02!C114</f>
        <v>179.30444694500451</v>
      </c>
      <c r="F115" s="240">
        <f>Dat_02!D114</f>
        <v>109.27964473765024</v>
      </c>
      <c r="G115" s="240">
        <f>Dat_02!E114</f>
        <v>109.27964473765024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44187</v>
      </c>
      <c r="D116" s="237"/>
      <c r="E116" s="240">
        <f>Dat_02!C115</f>
        <v>167.23171702900268</v>
      </c>
      <c r="F116" s="240">
        <f>Dat_02!D115</f>
        <v>109.27964473765024</v>
      </c>
      <c r="G116" s="240">
        <f>Dat_02!E115</f>
        <v>109.27964473765024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44188</v>
      </c>
      <c r="D117" s="237"/>
      <c r="E117" s="240">
        <f>Dat_02!C116</f>
        <v>154.88950531000887</v>
      </c>
      <c r="F117" s="240">
        <f>Dat_02!D116</f>
        <v>109.27964473765024</v>
      </c>
      <c r="G117" s="240">
        <f>Dat_02!E116</f>
        <v>109.27964473765024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44189</v>
      </c>
      <c r="D118" s="237"/>
      <c r="E118" s="240">
        <f>Dat_02!C117</f>
        <v>129.28449326600702</v>
      </c>
      <c r="F118" s="240">
        <f>Dat_02!D117</f>
        <v>109.27964473765024</v>
      </c>
      <c r="G118" s="240">
        <f>Dat_02!E117</f>
        <v>109.27964473765024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44190</v>
      </c>
      <c r="D119" s="237"/>
      <c r="E119" s="240">
        <f>Dat_02!C118</f>
        <v>104.61240697200887</v>
      </c>
      <c r="F119" s="240">
        <f>Dat_02!D118</f>
        <v>109.27964473765024</v>
      </c>
      <c r="G119" s="240">
        <f>Dat_02!E118</f>
        <v>104.61240697200887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44191</v>
      </c>
      <c r="D120" s="237"/>
      <c r="E120" s="240">
        <f>Dat_02!C119</f>
        <v>116.87822096001074</v>
      </c>
      <c r="F120" s="240">
        <f>Dat_02!D119</f>
        <v>109.27964473765024</v>
      </c>
      <c r="G120" s="240">
        <f>Dat_02!E119</f>
        <v>109.27964473765024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44192</v>
      </c>
      <c r="D121" s="237"/>
      <c r="E121" s="240">
        <f>Dat_02!C120</f>
        <v>109.73485186600701</v>
      </c>
      <c r="F121" s="240">
        <f>Dat_02!D120</f>
        <v>109.27964473765024</v>
      </c>
      <c r="G121" s="240">
        <f>Dat_02!E120</f>
        <v>109.27964473765024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44193</v>
      </c>
      <c r="D122" s="237"/>
      <c r="E122" s="240">
        <f>Dat_02!C121</f>
        <v>115.48806524600887</v>
      </c>
      <c r="F122" s="240">
        <f>Dat_02!D121</f>
        <v>109.27964473765024</v>
      </c>
      <c r="G122" s="240">
        <f>Dat_02!E121</f>
        <v>109.27964473765024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44194</v>
      </c>
      <c r="D123" s="237"/>
      <c r="E123" s="240">
        <f>Dat_02!C122</f>
        <v>142.79488232000887</v>
      </c>
      <c r="F123" s="240">
        <f>Dat_02!D122</f>
        <v>109.27964473765024</v>
      </c>
      <c r="G123" s="240">
        <f>Dat_02!E122</f>
        <v>109.27964473765024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44195</v>
      </c>
      <c r="D124" s="237"/>
      <c r="E124" s="240">
        <f>Dat_02!C123</f>
        <v>145.75309296089668</v>
      </c>
      <c r="F124" s="240">
        <f>Dat_02!D123</f>
        <v>109.27964473765024</v>
      </c>
      <c r="G124" s="240">
        <f>Dat_02!E123</f>
        <v>109.27964473765024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44196</v>
      </c>
      <c r="D125" s="237"/>
      <c r="E125" s="240">
        <f>Dat_02!C124</f>
        <v>138.2532446589004</v>
      </c>
      <c r="F125" s="240">
        <f>Dat_02!D124</f>
        <v>109.27964473765024</v>
      </c>
      <c r="G125" s="240">
        <f>Dat_02!E124</f>
        <v>109.27964473765024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44197</v>
      </c>
      <c r="D126" s="239"/>
      <c r="E126" s="240">
        <f>Dat_02!C125</f>
        <v>121.61256647889853</v>
      </c>
      <c r="F126" s="240">
        <f>Dat_02!D125</f>
        <v>124.46511188199077</v>
      </c>
      <c r="G126" s="240">
        <f>Dat_02!E125</f>
        <v>121.61256647889853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213</v>
      </c>
      <c r="C127" s="238">
        <f>Dat_02!B126</f>
        <v>44198</v>
      </c>
      <c r="D127" s="239"/>
      <c r="E127" s="240">
        <f>Dat_02!C126</f>
        <v>122.66184857089854</v>
      </c>
      <c r="F127" s="240">
        <f>Dat_02!D126</f>
        <v>124.46511188199077</v>
      </c>
      <c r="G127" s="240">
        <f>Dat_02!E126</f>
        <v>122.66184857089854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44199</v>
      </c>
      <c r="D128" s="239"/>
      <c r="E128" s="240">
        <f>Dat_02!C127</f>
        <v>127.50319563090041</v>
      </c>
      <c r="F128" s="240">
        <f>Dat_02!D127</f>
        <v>124.46511188199077</v>
      </c>
      <c r="G128" s="240">
        <f>Dat_02!E127</f>
        <v>124.46511188199077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44200</v>
      </c>
      <c r="D129" s="237"/>
      <c r="E129" s="240">
        <f>Dat_02!C128</f>
        <v>176.49416036089852</v>
      </c>
      <c r="F129" s="240">
        <f>Dat_02!D128</f>
        <v>124.46511188199077</v>
      </c>
      <c r="G129" s="240">
        <f>Dat_02!E128</f>
        <v>124.46511188199077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44201</v>
      </c>
      <c r="D130" s="237"/>
      <c r="E130" s="240">
        <f>Dat_02!C129</f>
        <v>186.71938942089855</v>
      </c>
      <c r="F130" s="240">
        <f>Dat_02!D129</f>
        <v>124.46511188199077</v>
      </c>
      <c r="G130" s="240">
        <f>Dat_02!E129</f>
        <v>124.46511188199077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44202</v>
      </c>
      <c r="D131" s="237"/>
      <c r="E131" s="240">
        <f>Dat_02!C130</f>
        <v>122.40887442801942</v>
      </c>
      <c r="F131" s="240">
        <f>Dat_02!D130</f>
        <v>124.46511188199077</v>
      </c>
      <c r="G131" s="240">
        <f>Dat_02!E130</f>
        <v>122.40887442801942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44203</v>
      </c>
      <c r="D132" s="237"/>
      <c r="E132" s="240">
        <f>Dat_02!C131</f>
        <v>113.46114075602128</v>
      </c>
      <c r="F132" s="240">
        <f>Dat_02!D131</f>
        <v>124.46511188199077</v>
      </c>
      <c r="G132" s="240">
        <f>Dat_02!E131</f>
        <v>113.46114075602128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44204</v>
      </c>
      <c r="D133" s="237"/>
      <c r="E133" s="240">
        <f>Dat_02!C132</f>
        <v>108.12699205602127</v>
      </c>
      <c r="F133" s="240">
        <f>Dat_02!D132</f>
        <v>124.46511188199077</v>
      </c>
      <c r="G133" s="240">
        <f>Dat_02!E132</f>
        <v>108.12699205602127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44205</v>
      </c>
      <c r="D134" s="237"/>
      <c r="E134" s="240">
        <f>Dat_02!C133</f>
        <v>79.585318456017546</v>
      </c>
      <c r="F134" s="240">
        <f>Dat_02!D133</f>
        <v>124.46511188199077</v>
      </c>
      <c r="G134" s="240">
        <f>Dat_02!E133</f>
        <v>79.585318456017546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44206</v>
      </c>
      <c r="D135" s="237"/>
      <c r="E135" s="240">
        <f>Dat_02!C134</f>
        <v>78.225685954021273</v>
      </c>
      <c r="F135" s="240">
        <f>Dat_02!D134</f>
        <v>124.46511188199077</v>
      </c>
      <c r="G135" s="240">
        <f>Dat_02!E134</f>
        <v>78.225685954021273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44207</v>
      </c>
      <c r="D136" s="237"/>
      <c r="E136" s="240">
        <f>Dat_02!C135</f>
        <v>89.220336424019408</v>
      </c>
      <c r="F136" s="240">
        <f>Dat_02!D135</f>
        <v>124.46511188199077</v>
      </c>
      <c r="G136" s="240">
        <f>Dat_02!E135</f>
        <v>89.220336424019408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44208</v>
      </c>
      <c r="D137" s="237"/>
      <c r="E137" s="240">
        <f>Dat_02!C136</f>
        <v>103.77480175601941</v>
      </c>
      <c r="F137" s="240">
        <f>Dat_02!D136</f>
        <v>124.46511188199077</v>
      </c>
      <c r="G137" s="240">
        <f>Dat_02!E136</f>
        <v>103.77480175601941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44209</v>
      </c>
      <c r="D138" s="237"/>
      <c r="E138" s="240">
        <f>Dat_02!C137</f>
        <v>65.034512115070655</v>
      </c>
      <c r="F138" s="240">
        <f>Dat_02!D137</f>
        <v>124.46511188199077</v>
      </c>
      <c r="G138" s="240">
        <f>Dat_02!E137</f>
        <v>65.034512115070655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44210</v>
      </c>
      <c r="D139" s="237"/>
      <c r="E139" s="240">
        <f>Dat_02!C138</f>
        <v>63.201680711070658</v>
      </c>
      <c r="F139" s="240">
        <f>Dat_02!D138</f>
        <v>124.46511188199077</v>
      </c>
      <c r="G139" s="240">
        <f>Dat_02!E138</f>
        <v>63.201680711070658</v>
      </c>
      <c r="I139" s="241" t="str">
        <f>Dat_02!G138</f>
        <v/>
      </c>
      <c r="J139" s="251" t="str">
        <f>IF(Dat_02!H138=0,"",Dat_02!H138)</f>
        <v/>
      </c>
    </row>
    <row r="140" spans="2:10">
      <c r="B140" s="237"/>
      <c r="C140" s="238">
        <f>Dat_02!B139</f>
        <v>44211</v>
      </c>
      <c r="D140" s="237"/>
      <c r="E140" s="240">
        <f>Dat_02!C139</f>
        <v>62.774371647068797</v>
      </c>
      <c r="F140" s="240">
        <f>Dat_02!D139</f>
        <v>124.46511188199077</v>
      </c>
      <c r="G140" s="240">
        <f>Dat_02!E139</f>
        <v>62.774371647068797</v>
      </c>
      <c r="I140" s="300">
        <f>Dat_02!G139</f>
        <v>124.46511188199077</v>
      </c>
      <c r="J140" s="251" t="str">
        <f>IF(Dat_02!H139=0,"",Dat_02!H139)</f>
        <v/>
      </c>
    </row>
    <row r="141" spans="2:10">
      <c r="B141" s="237"/>
      <c r="C141" s="238">
        <f>Dat_02!B140</f>
        <v>44212</v>
      </c>
      <c r="D141" s="237"/>
      <c r="E141" s="240">
        <f>Dat_02!C140</f>
        <v>56.383921859072522</v>
      </c>
      <c r="F141" s="240">
        <f>Dat_02!D140</f>
        <v>124.46511188199077</v>
      </c>
      <c r="G141" s="240">
        <f>Dat_02!E140</f>
        <v>56.383921859072522</v>
      </c>
      <c r="I141" s="241" t="str">
        <f>Dat_02!G140</f>
        <v/>
      </c>
      <c r="J141" s="251" t="str">
        <f>IF(Dat_02!H140=0,"",Dat_02!H140)</f>
        <v/>
      </c>
    </row>
    <row r="142" spans="2:10">
      <c r="B142" s="237"/>
      <c r="C142" s="238">
        <f>Dat_02!B141</f>
        <v>44213</v>
      </c>
      <c r="D142" s="237"/>
      <c r="E142" s="240">
        <f>Dat_02!C141</f>
        <v>38.968119675068799</v>
      </c>
      <c r="F142" s="240">
        <f>Dat_02!D141</f>
        <v>124.46511188199077</v>
      </c>
      <c r="G142" s="240">
        <f>Dat_02!E141</f>
        <v>38.968119675068799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44214</v>
      </c>
      <c r="D143" s="237"/>
      <c r="E143" s="240">
        <f>Dat_02!C142</f>
        <v>71.525197235070664</v>
      </c>
      <c r="F143" s="240">
        <f>Dat_02!D142</f>
        <v>124.46511188199077</v>
      </c>
      <c r="G143" s="240">
        <f>Dat_02!E142</f>
        <v>71.525197235070664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44215</v>
      </c>
      <c r="D144" s="237"/>
      <c r="E144" s="240">
        <f>Dat_02!C143</f>
        <v>56.168955615070651</v>
      </c>
      <c r="F144" s="240">
        <f>Dat_02!D143</f>
        <v>124.46511188199077</v>
      </c>
      <c r="G144" s="240">
        <f>Dat_02!E143</f>
        <v>56.168955615070651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44216</v>
      </c>
      <c r="D145" s="237"/>
      <c r="E145" s="240">
        <f>Dat_02!C144</f>
        <v>180.60643095807191</v>
      </c>
      <c r="F145" s="240">
        <f>Dat_02!D144</f>
        <v>124.46511188199077</v>
      </c>
      <c r="G145" s="240">
        <f>Dat_02!E144</f>
        <v>124.46511188199077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44217</v>
      </c>
      <c r="D146" s="237"/>
      <c r="E146" s="240">
        <f>Dat_02!C145</f>
        <v>169.89213577406818</v>
      </c>
      <c r="F146" s="240">
        <f>Dat_02!D145</f>
        <v>124.46511188199077</v>
      </c>
      <c r="G146" s="240">
        <f>Dat_02!E145</f>
        <v>124.46511188199077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44218</v>
      </c>
      <c r="D147" s="237"/>
      <c r="E147" s="240">
        <f>Dat_02!C146</f>
        <v>170.88705726807007</v>
      </c>
      <c r="F147" s="240">
        <f>Dat_02!D146</f>
        <v>124.46511188199077</v>
      </c>
      <c r="G147" s="240">
        <f>Dat_02!E146</f>
        <v>124.46511188199077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44219</v>
      </c>
      <c r="D148" s="237"/>
      <c r="E148" s="240">
        <f>Dat_02!C147</f>
        <v>143.72096823607004</v>
      </c>
      <c r="F148" s="240">
        <f>Dat_02!D147</f>
        <v>124.46511188199077</v>
      </c>
      <c r="G148" s="240">
        <f>Dat_02!E147</f>
        <v>124.46511188199077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44220</v>
      </c>
      <c r="D149" s="237"/>
      <c r="E149" s="240">
        <f>Dat_02!C148</f>
        <v>146.16635474007003</v>
      </c>
      <c r="F149" s="240">
        <f>Dat_02!D148</f>
        <v>124.46511188199077</v>
      </c>
      <c r="G149" s="240">
        <f>Dat_02!E148</f>
        <v>124.46511188199077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44221</v>
      </c>
      <c r="D150" s="237"/>
      <c r="E150" s="240">
        <f>Dat_02!C149</f>
        <v>197.65533248207188</v>
      </c>
      <c r="F150" s="240">
        <f>Dat_02!D149</f>
        <v>124.46511188199077</v>
      </c>
      <c r="G150" s="240">
        <f>Dat_02!E149</f>
        <v>124.46511188199077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44222</v>
      </c>
      <c r="D151" s="237"/>
      <c r="E151" s="240">
        <f>Dat_02!C150</f>
        <v>215.52559173807003</v>
      </c>
      <c r="F151" s="240">
        <f>Dat_02!D150</f>
        <v>124.46511188199077</v>
      </c>
      <c r="G151" s="240">
        <f>Dat_02!E150</f>
        <v>124.46511188199077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44223</v>
      </c>
      <c r="D152" s="237"/>
      <c r="E152" s="240">
        <f>Dat_02!C151</f>
        <v>272.77278553889727</v>
      </c>
      <c r="F152" s="240">
        <f>Dat_02!D151</f>
        <v>124.46511188199077</v>
      </c>
      <c r="G152" s="240">
        <f>Dat_02!E151</f>
        <v>124.46511188199077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44224</v>
      </c>
      <c r="D153" s="237"/>
      <c r="E153" s="240">
        <f>Dat_02!C152</f>
        <v>274.90935913289542</v>
      </c>
      <c r="F153" s="240">
        <f>Dat_02!D152</f>
        <v>124.46511188199077</v>
      </c>
      <c r="G153" s="240">
        <f>Dat_02!E152</f>
        <v>124.46511188199077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44225</v>
      </c>
      <c r="D154" s="237"/>
      <c r="E154" s="240">
        <f>Dat_02!C153</f>
        <v>270.00909163489729</v>
      </c>
      <c r="F154" s="240">
        <f>Dat_02!D153</f>
        <v>124.46511188199077</v>
      </c>
      <c r="G154" s="240">
        <f>Dat_02!E153</f>
        <v>124.46511188199077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44226</v>
      </c>
      <c r="D155" s="237"/>
      <c r="E155" s="240">
        <f>Dat_02!C154</f>
        <v>254.71119680889728</v>
      </c>
      <c r="F155" s="240">
        <f>Dat_02!D154</f>
        <v>124.46511188199077</v>
      </c>
      <c r="G155" s="240">
        <f>Dat_02!E154</f>
        <v>124.46511188199077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44227</v>
      </c>
      <c r="D156" s="239"/>
      <c r="E156" s="240">
        <f>Dat_02!C155</f>
        <v>254.40040566889539</v>
      </c>
      <c r="F156" s="240">
        <f>Dat_02!D155</f>
        <v>124.46511188199077</v>
      </c>
      <c r="G156" s="240">
        <f>Dat_02!E155</f>
        <v>124.46511188199077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44228</v>
      </c>
      <c r="D157" s="239"/>
      <c r="E157" s="240">
        <f>Dat_02!C156</f>
        <v>264.16481982089732</v>
      </c>
      <c r="F157" s="240">
        <f>Dat_02!D156</f>
        <v>125.57183874706618</v>
      </c>
      <c r="G157" s="240">
        <f>Dat_02!E156</f>
        <v>125.57183874706618</v>
      </c>
      <c r="I157" s="241">
        <f>Dat_02!G156</f>
        <v>0</v>
      </c>
      <c r="J157" s="251" t="str">
        <f>IF(Dat_02!H156=0,"",Dat_02!H156)</f>
        <v/>
      </c>
    </row>
    <row r="158" spans="2:10">
      <c r="B158" s="239" t="s">
        <v>214</v>
      </c>
      <c r="C158" s="238">
        <f>Dat_02!B157</f>
        <v>44229</v>
      </c>
      <c r="D158" s="239"/>
      <c r="E158" s="240">
        <f>Dat_02!C157</f>
        <v>271.8285615768973</v>
      </c>
      <c r="F158" s="240">
        <f>Dat_02!D157</f>
        <v>125.57183874706618</v>
      </c>
      <c r="G158" s="240">
        <f>Dat_02!E157</f>
        <v>125.57183874706618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44230</v>
      </c>
      <c r="D159" s="237"/>
      <c r="E159" s="240">
        <f>Dat_02!C158</f>
        <v>264.69917688939915</v>
      </c>
      <c r="F159" s="240">
        <f>Dat_02!D158</f>
        <v>125.57183874706618</v>
      </c>
      <c r="G159" s="240">
        <f>Dat_02!E158</f>
        <v>125.57183874706618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44231</v>
      </c>
      <c r="D160" s="237"/>
      <c r="E160" s="240">
        <f>Dat_02!C159</f>
        <v>286.15559700740289</v>
      </c>
      <c r="F160" s="240">
        <f>Dat_02!D159</f>
        <v>125.57183874706618</v>
      </c>
      <c r="G160" s="240">
        <f>Dat_02!E159</f>
        <v>125.57183874706618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44232</v>
      </c>
      <c r="D161" s="237"/>
      <c r="E161" s="240">
        <f>Dat_02!C160</f>
        <v>289.61979758139728</v>
      </c>
      <c r="F161" s="240">
        <f>Dat_02!D160</f>
        <v>125.57183874706618</v>
      </c>
      <c r="G161" s="240">
        <f>Dat_02!E160</f>
        <v>125.57183874706618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44233</v>
      </c>
      <c r="D162" s="237"/>
      <c r="E162" s="240">
        <f>Dat_02!C161</f>
        <v>278.80101450739915</v>
      </c>
      <c r="F162" s="240">
        <f>Dat_02!D161</f>
        <v>125.57183874706618</v>
      </c>
      <c r="G162" s="240">
        <f>Dat_02!E161</f>
        <v>125.57183874706618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44234</v>
      </c>
      <c r="D163" s="237"/>
      <c r="E163" s="240">
        <f>Dat_02!C162</f>
        <v>257.81252644740101</v>
      </c>
      <c r="F163" s="240">
        <f>Dat_02!D162</f>
        <v>125.57183874706618</v>
      </c>
      <c r="G163" s="240">
        <f>Dat_02!E162</f>
        <v>125.57183874706618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44235</v>
      </c>
      <c r="D164" s="237"/>
      <c r="E164" s="240">
        <f>Dat_02!C163</f>
        <v>267.98680918739916</v>
      </c>
      <c r="F164" s="240">
        <f>Dat_02!D163</f>
        <v>125.57183874706618</v>
      </c>
      <c r="G164" s="240">
        <f>Dat_02!E163</f>
        <v>125.57183874706618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44236</v>
      </c>
      <c r="D165" s="237"/>
      <c r="E165" s="240">
        <f>Dat_02!C164</f>
        <v>273.08607894139914</v>
      </c>
      <c r="F165" s="240">
        <f>Dat_02!D164</f>
        <v>125.57183874706618</v>
      </c>
      <c r="G165" s="240">
        <f>Dat_02!E164</f>
        <v>125.57183874706618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44237</v>
      </c>
      <c r="D166" s="237"/>
      <c r="E166" s="240">
        <f>Dat_02!C165</f>
        <v>328.35034569002192</v>
      </c>
      <c r="F166" s="240">
        <f>Dat_02!D165</f>
        <v>125.57183874706618</v>
      </c>
      <c r="G166" s="240">
        <f>Dat_02!E165</f>
        <v>125.57183874706618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44238</v>
      </c>
      <c r="D167" s="237"/>
      <c r="E167" s="240">
        <f>Dat_02!C166</f>
        <v>338.46690690801819</v>
      </c>
      <c r="F167" s="240">
        <f>Dat_02!D166</f>
        <v>125.57183874706618</v>
      </c>
      <c r="G167" s="240">
        <f>Dat_02!E166</f>
        <v>125.57183874706618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44239</v>
      </c>
      <c r="D168" s="237"/>
      <c r="E168" s="240">
        <f>Dat_02!C167</f>
        <v>330.21618203802012</v>
      </c>
      <c r="F168" s="240">
        <f>Dat_02!D167</f>
        <v>125.57183874706618</v>
      </c>
      <c r="G168" s="240">
        <f>Dat_02!E167</f>
        <v>125.57183874706618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44240</v>
      </c>
      <c r="D169" s="237"/>
      <c r="E169" s="240">
        <f>Dat_02!C168</f>
        <v>329.21509739802195</v>
      </c>
      <c r="F169" s="240">
        <f>Dat_02!D168</f>
        <v>125.57183874706618</v>
      </c>
      <c r="G169" s="240">
        <f>Dat_02!E168</f>
        <v>125.57183874706618</v>
      </c>
      <c r="I169" s="241" t="str">
        <f>Dat_02!G168</f>
        <v/>
      </c>
      <c r="J169" s="251" t="str">
        <f>IF(Dat_02!H168=0,"",Dat_02!H168)</f>
        <v/>
      </c>
    </row>
    <row r="170" spans="2:10">
      <c r="B170" s="237"/>
      <c r="C170" s="238">
        <f>Dat_02!B169</f>
        <v>44241</v>
      </c>
      <c r="D170" s="237"/>
      <c r="E170" s="240">
        <f>Dat_02!C169</f>
        <v>318.32656510201821</v>
      </c>
      <c r="F170" s="240">
        <f>Dat_02!D169</f>
        <v>125.57183874706618</v>
      </c>
      <c r="G170" s="240">
        <f>Dat_02!E169</f>
        <v>125.57183874706618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44242</v>
      </c>
      <c r="D171" s="237"/>
      <c r="E171" s="240">
        <f>Dat_02!C170</f>
        <v>312.74145280202379</v>
      </c>
      <c r="F171" s="240">
        <f>Dat_02!D170</f>
        <v>125.57183874706618</v>
      </c>
      <c r="G171" s="240">
        <f>Dat_02!E170</f>
        <v>125.57183874706618</v>
      </c>
      <c r="I171" s="300">
        <f>Dat_02!G170</f>
        <v>125.57183874706618</v>
      </c>
      <c r="J171" s="251" t="str">
        <f>IF(Dat_02!H170=0,"",Dat_02!H170)</f>
        <v/>
      </c>
    </row>
    <row r="172" spans="2:10">
      <c r="B172" s="237"/>
      <c r="C172" s="238">
        <f>Dat_02!B171</f>
        <v>44243</v>
      </c>
      <c r="D172" s="237"/>
      <c r="E172" s="240">
        <f>Dat_02!C171</f>
        <v>324.37305973601821</v>
      </c>
      <c r="F172" s="240">
        <f>Dat_02!D171</f>
        <v>125.57183874706618</v>
      </c>
      <c r="G172" s="240">
        <f>Dat_02!E171</f>
        <v>125.57183874706618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44244</v>
      </c>
      <c r="D173" s="237"/>
      <c r="E173" s="240">
        <f>Dat_02!C172</f>
        <v>252.24251934147989</v>
      </c>
      <c r="F173" s="240">
        <f>Dat_02!D172</f>
        <v>125.57183874706618</v>
      </c>
      <c r="G173" s="240">
        <f>Dat_02!E172</f>
        <v>125.57183874706618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44245</v>
      </c>
      <c r="D174" s="237"/>
      <c r="E174" s="240">
        <f>Dat_02!C173</f>
        <v>250.59862646548177</v>
      </c>
      <c r="F174" s="240">
        <f>Dat_02!D173</f>
        <v>125.57183874706618</v>
      </c>
      <c r="G174" s="240">
        <f>Dat_02!E173</f>
        <v>125.57183874706618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44246</v>
      </c>
      <c r="D175" s="237"/>
      <c r="E175" s="240">
        <f>Dat_02!C174</f>
        <v>245.08805602347991</v>
      </c>
      <c r="F175" s="240">
        <f>Dat_02!D174</f>
        <v>125.57183874706618</v>
      </c>
      <c r="G175" s="240">
        <f>Dat_02!E174</f>
        <v>125.57183874706618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44247</v>
      </c>
      <c r="D176" s="237"/>
      <c r="E176" s="240">
        <f>Dat_02!C175</f>
        <v>229.47553713947806</v>
      </c>
      <c r="F176" s="240">
        <f>Dat_02!D175</f>
        <v>125.57183874706618</v>
      </c>
      <c r="G176" s="240">
        <f>Dat_02!E175</f>
        <v>125.57183874706618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44248</v>
      </c>
      <c r="D177" s="237"/>
      <c r="E177" s="240">
        <f>Dat_02!C176</f>
        <v>231.64696740947988</v>
      </c>
      <c r="F177" s="240">
        <f>Dat_02!D176</f>
        <v>125.57183874706618</v>
      </c>
      <c r="G177" s="240">
        <f>Dat_02!E176</f>
        <v>125.57183874706618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44249</v>
      </c>
      <c r="D178" s="237"/>
      <c r="E178" s="240">
        <f>Dat_02!C177</f>
        <v>255.84226607347989</v>
      </c>
      <c r="F178" s="240">
        <f>Dat_02!D177</f>
        <v>125.57183874706618</v>
      </c>
      <c r="G178" s="240">
        <f>Dat_02!E177</f>
        <v>125.57183874706618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44250</v>
      </c>
      <c r="D179" s="237"/>
      <c r="E179" s="240">
        <f>Dat_02!C178</f>
        <v>251.36682380148363</v>
      </c>
      <c r="F179" s="240">
        <f>Dat_02!D178</f>
        <v>125.57183874706618</v>
      </c>
      <c r="G179" s="240">
        <f>Dat_02!E178</f>
        <v>125.57183874706618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44251</v>
      </c>
      <c r="D180" s="237"/>
      <c r="E180" s="240">
        <f>Dat_02!C179</f>
        <v>198.79457594217786</v>
      </c>
      <c r="F180" s="240">
        <f>Dat_02!D179</f>
        <v>125.57183874706618</v>
      </c>
      <c r="G180" s="240">
        <f>Dat_02!E179</f>
        <v>125.57183874706618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44252</v>
      </c>
      <c r="D181" s="237"/>
      <c r="E181" s="240">
        <f>Dat_02!C180</f>
        <v>215.04309710418343</v>
      </c>
      <c r="F181" s="240">
        <f>Dat_02!D180</f>
        <v>125.57183874706618</v>
      </c>
      <c r="G181" s="240">
        <f>Dat_02!E180</f>
        <v>125.57183874706618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44253</v>
      </c>
      <c r="D182" s="237"/>
      <c r="E182" s="240">
        <f>Dat_02!C181</f>
        <v>213.22380256817971</v>
      </c>
      <c r="F182" s="240">
        <f>Dat_02!D181</f>
        <v>125.57183874706618</v>
      </c>
      <c r="G182" s="240">
        <f>Dat_02!E181</f>
        <v>125.57183874706618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44254</v>
      </c>
      <c r="D183" s="237"/>
      <c r="E183" s="240">
        <f>Dat_02!C182</f>
        <v>180.78020914617969</v>
      </c>
      <c r="F183" s="240">
        <f>Dat_02!D182</f>
        <v>125.57183874706618</v>
      </c>
      <c r="G183" s="240">
        <f>Dat_02!E182</f>
        <v>125.57183874706618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44255</v>
      </c>
      <c r="D184" s="237"/>
      <c r="E184" s="240">
        <f>Dat_02!C183</f>
        <v>158.86039014818343</v>
      </c>
      <c r="F184" s="240">
        <f>Dat_02!D183</f>
        <v>125.57183874706618</v>
      </c>
      <c r="G184" s="240">
        <f>Dat_02!E183</f>
        <v>125.57183874706618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44256</v>
      </c>
      <c r="D185" s="237"/>
      <c r="E185" s="240">
        <f>Dat_02!C184</f>
        <v>180.43640221617972</v>
      </c>
      <c r="F185" s="240">
        <f>Dat_02!D184</f>
        <v>136.7399554485423</v>
      </c>
      <c r="G185" s="240">
        <f>Dat_02!E184</f>
        <v>136.7399554485423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44257</v>
      </c>
      <c r="D186" s="237"/>
      <c r="E186" s="240">
        <f>Dat_02!C185</f>
        <v>201.88414813417785</v>
      </c>
      <c r="F186" s="240">
        <f>Dat_02!D185</f>
        <v>136.7399554485423</v>
      </c>
      <c r="G186" s="240">
        <f>Dat_02!E185</f>
        <v>136.7399554485423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44258</v>
      </c>
      <c r="D187" s="239"/>
      <c r="E187" s="240">
        <f>Dat_02!C186</f>
        <v>170.96153258492194</v>
      </c>
      <c r="F187" s="240">
        <f>Dat_02!D186</f>
        <v>136.7399554485423</v>
      </c>
      <c r="G187" s="240">
        <f>Dat_02!E186</f>
        <v>136.7399554485423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215</v>
      </c>
      <c r="C188" s="238">
        <f>Dat_02!B187</f>
        <v>44259</v>
      </c>
      <c r="D188" s="239"/>
      <c r="E188" s="240">
        <f>Dat_02!C187</f>
        <v>157.94996440092009</v>
      </c>
      <c r="F188" s="240">
        <f>Dat_02!D187</f>
        <v>136.7399554485423</v>
      </c>
      <c r="G188" s="240">
        <f>Dat_02!E187</f>
        <v>136.7399554485423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44260</v>
      </c>
      <c r="D189" s="239"/>
      <c r="E189" s="240">
        <f>Dat_02!C188</f>
        <v>146.89804492091821</v>
      </c>
      <c r="F189" s="240">
        <f>Dat_02!D188</f>
        <v>136.7399554485423</v>
      </c>
      <c r="G189" s="240">
        <f>Dat_02!E188</f>
        <v>136.7399554485423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44261</v>
      </c>
      <c r="D190" s="237"/>
      <c r="E190" s="240">
        <f>Dat_02!C189</f>
        <v>129.02562271292007</v>
      </c>
      <c r="F190" s="240">
        <f>Dat_02!D189</f>
        <v>136.7399554485423</v>
      </c>
      <c r="G190" s="240">
        <f>Dat_02!E189</f>
        <v>129.02562271292007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44262</v>
      </c>
      <c r="D191" s="237"/>
      <c r="E191" s="240">
        <f>Dat_02!C190</f>
        <v>122.20455098892009</v>
      </c>
      <c r="F191" s="240">
        <f>Dat_02!D190</f>
        <v>136.7399554485423</v>
      </c>
      <c r="G191" s="240">
        <f>Dat_02!E190</f>
        <v>122.20455098892009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44263</v>
      </c>
      <c r="D192" s="237"/>
      <c r="E192" s="240">
        <f>Dat_02!C191</f>
        <v>153.32439297692008</v>
      </c>
      <c r="F192" s="240">
        <f>Dat_02!D191</f>
        <v>136.7399554485423</v>
      </c>
      <c r="G192" s="240">
        <f>Dat_02!E191</f>
        <v>136.7399554485423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44264</v>
      </c>
      <c r="D193" s="237"/>
      <c r="E193" s="240">
        <f>Dat_02!C192</f>
        <v>149.22961850492007</v>
      </c>
      <c r="F193" s="240">
        <f>Dat_02!D192</f>
        <v>136.7399554485423</v>
      </c>
      <c r="G193" s="240">
        <f>Dat_02!E192</f>
        <v>136.7399554485423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44265</v>
      </c>
      <c r="D194" s="237"/>
      <c r="E194" s="240">
        <f>Dat_02!C193</f>
        <v>129.11398864011255</v>
      </c>
      <c r="F194" s="240">
        <f>Dat_02!D193</f>
        <v>136.7399554485423</v>
      </c>
      <c r="G194" s="240">
        <f>Dat_02!E193</f>
        <v>129.11398864011255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44266</v>
      </c>
      <c r="D195" s="237"/>
      <c r="E195" s="240">
        <f>Dat_02!C194</f>
        <v>101.23949998610881</v>
      </c>
      <c r="F195" s="240">
        <f>Dat_02!D194</f>
        <v>136.7399554485423</v>
      </c>
      <c r="G195" s="240">
        <f>Dat_02!E194</f>
        <v>101.23949998610881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44267</v>
      </c>
      <c r="D196" s="237"/>
      <c r="E196" s="240">
        <f>Dat_02!C195</f>
        <v>100.59290683211253</v>
      </c>
      <c r="F196" s="240">
        <f>Dat_02!D195</f>
        <v>136.7399554485423</v>
      </c>
      <c r="G196" s="240">
        <f>Dat_02!E195</f>
        <v>100.59290683211253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44268</v>
      </c>
      <c r="D197" s="237"/>
      <c r="E197" s="240">
        <f>Dat_02!C196</f>
        <v>72.324729336108817</v>
      </c>
      <c r="F197" s="240">
        <f>Dat_02!D196</f>
        <v>136.7399554485423</v>
      </c>
      <c r="G197" s="240">
        <f>Dat_02!E196</f>
        <v>72.324729336108817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44269</v>
      </c>
      <c r="D198" s="237"/>
      <c r="E198" s="240">
        <f>Dat_02!C197</f>
        <v>68.548257946110681</v>
      </c>
      <c r="F198" s="240">
        <f>Dat_02!D197</f>
        <v>136.7399554485423</v>
      </c>
      <c r="G198" s="240">
        <f>Dat_02!E197</f>
        <v>68.548257946110681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44270</v>
      </c>
      <c r="D199" s="237"/>
      <c r="E199" s="240">
        <f>Dat_02!C198</f>
        <v>105.35541978611255</v>
      </c>
      <c r="F199" s="240">
        <f>Dat_02!D198</f>
        <v>136.7399554485423</v>
      </c>
      <c r="G199" s="240">
        <f>Dat_02!E198</f>
        <v>105.35541978611255</v>
      </c>
      <c r="I199" s="241">
        <f>Dat_02!G198</f>
        <v>136.7399554485423</v>
      </c>
      <c r="J199" s="251" t="str">
        <f>IF(Dat_02!H198=0,"",Dat_02!H198)</f>
        <v/>
      </c>
    </row>
    <row r="200" spans="2:10">
      <c r="B200" s="237"/>
      <c r="C200" s="238">
        <f>Dat_02!B199</f>
        <v>44271</v>
      </c>
      <c r="D200" s="237"/>
      <c r="E200" s="240">
        <f>Dat_02!C199</f>
        <v>84.458917064108817</v>
      </c>
      <c r="F200" s="240">
        <f>Dat_02!D199</f>
        <v>136.7399554485423</v>
      </c>
      <c r="G200" s="240">
        <f>Dat_02!E199</f>
        <v>84.458917064108817</v>
      </c>
      <c r="I200" s="241" t="str">
        <f>Dat_02!G199</f>
        <v/>
      </c>
      <c r="J200" s="251" t="str">
        <f>IF(Dat_02!H199=0,"",Dat_02!H199)</f>
        <v/>
      </c>
    </row>
    <row r="201" spans="2:10">
      <c r="B201" s="237"/>
      <c r="C201" s="238">
        <f>Dat_02!B200</f>
        <v>44272</v>
      </c>
      <c r="D201" s="237"/>
      <c r="E201" s="240">
        <f>Dat_02!C200</f>
        <v>78.6456522491697</v>
      </c>
      <c r="F201" s="240">
        <f>Dat_02!D200</f>
        <v>136.7399554485423</v>
      </c>
      <c r="G201" s="240">
        <f>Dat_02!E200</f>
        <v>78.6456522491697</v>
      </c>
      <c r="I201" s="300" t="str">
        <f>Dat_02!G200</f>
        <v/>
      </c>
      <c r="J201" s="251" t="str">
        <f>IF(Dat_02!H200=0,"",Dat_02!H200)</f>
        <v/>
      </c>
    </row>
    <row r="202" spans="2:10">
      <c r="B202" s="237"/>
      <c r="C202" s="238">
        <f>Dat_02!B201</f>
        <v>44273</v>
      </c>
      <c r="D202" s="237"/>
      <c r="E202" s="240">
        <f>Dat_02!C201</f>
        <v>92.181539105165967</v>
      </c>
      <c r="F202" s="240">
        <f>Dat_02!D201</f>
        <v>136.7399554485423</v>
      </c>
      <c r="G202" s="240">
        <f>Dat_02!E201</f>
        <v>92.181539105165967</v>
      </c>
      <c r="I202" s="241" t="str">
        <f>Dat_02!G201</f>
        <v/>
      </c>
      <c r="J202" s="251" t="str">
        <f>IF(Dat_02!H201=0,"",Dat_02!H201)</f>
        <v/>
      </c>
    </row>
    <row r="203" spans="2:10">
      <c r="B203" s="237"/>
      <c r="C203" s="238">
        <f>Dat_02!B202</f>
        <v>44274</v>
      </c>
      <c r="D203" s="237"/>
      <c r="E203" s="240">
        <f>Dat_02!C202</f>
        <v>86.720284863165972</v>
      </c>
      <c r="F203" s="240">
        <f>Dat_02!D202</f>
        <v>136.7399554485423</v>
      </c>
      <c r="G203" s="240">
        <f>Dat_02!E202</f>
        <v>86.720284863165972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44275</v>
      </c>
      <c r="D204" s="237"/>
      <c r="E204" s="240">
        <f>Dat_02!C203</f>
        <v>43.176069023169696</v>
      </c>
      <c r="F204" s="240">
        <f>Dat_02!D203</f>
        <v>136.7399554485423</v>
      </c>
      <c r="G204" s="240">
        <f>Dat_02!E203</f>
        <v>43.176069023169696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44276</v>
      </c>
      <c r="D205" s="237"/>
      <c r="E205" s="240">
        <f>Dat_02!C204</f>
        <v>48.579112891164108</v>
      </c>
      <c r="F205" s="240">
        <f>Dat_02!D204</f>
        <v>136.7399554485423</v>
      </c>
      <c r="G205" s="240">
        <f>Dat_02!E204</f>
        <v>48.579112891164108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44277</v>
      </c>
      <c r="D206" s="237"/>
      <c r="E206" s="240">
        <f>Dat_02!C205</f>
        <v>100.11940646116783</v>
      </c>
      <c r="F206" s="240">
        <f>Dat_02!D205</f>
        <v>136.7399554485423</v>
      </c>
      <c r="G206" s="240">
        <f>Dat_02!E205</f>
        <v>100.11940646116783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44278</v>
      </c>
      <c r="D207" s="237"/>
      <c r="E207" s="240">
        <f>Dat_02!C206</f>
        <v>123.59558988916784</v>
      </c>
      <c r="F207" s="240">
        <f>Dat_02!D206</f>
        <v>136.7399554485423</v>
      </c>
      <c r="G207" s="240">
        <f>Dat_02!E206</f>
        <v>123.59558988916784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44279</v>
      </c>
      <c r="D208" s="237"/>
      <c r="E208" s="240">
        <f>Dat_02!C207</f>
        <v>101.68231273701706</v>
      </c>
      <c r="F208" s="240">
        <f>Dat_02!D207</f>
        <v>136.7399554485423</v>
      </c>
      <c r="G208" s="240">
        <f>Dat_02!E207</f>
        <v>101.68231273701706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44280</v>
      </c>
      <c r="D209" s="237"/>
      <c r="E209" s="240">
        <f>Dat_02!C208</f>
        <v>100.98737631301704</v>
      </c>
      <c r="F209" s="240">
        <f>Dat_02!D208</f>
        <v>136.7399554485423</v>
      </c>
      <c r="G209" s="240">
        <f>Dat_02!E208</f>
        <v>100.98737631301704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44281</v>
      </c>
      <c r="D210" s="237"/>
      <c r="E210" s="240">
        <f>Dat_02!C209</f>
        <v>86.623203501018921</v>
      </c>
      <c r="F210" s="240">
        <f>Dat_02!D209</f>
        <v>136.7399554485423</v>
      </c>
      <c r="G210" s="240">
        <f>Dat_02!E209</f>
        <v>86.623203501018921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44282</v>
      </c>
      <c r="D211" s="237"/>
      <c r="E211" s="240">
        <f>Dat_02!C210</f>
        <v>52.267094185018912</v>
      </c>
      <c r="F211" s="240">
        <f>Dat_02!D210</f>
        <v>136.7399554485423</v>
      </c>
      <c r="G211" s="240">
        <f>Dat_02!E210</f>
        <v>52.267094185018912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44283</v>
      </c>
      <c r="D212" s="237"/>
      <c r="E212" s="240">
        <f>Dat_02!C211</f>
        <v>22.305643741017047</v>
      </c>
      <c r="F212" s="240">
        <f>Dat_02!D211</f>
        <v>136.7399554485423</v>
      </c>
      <c r="G212" s="240">
        <f>Dat_02!E211</f>
        <v>22.305643741017047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44284</v>
      </c>
      <c r="D213" s="237"/>
      <c r="E213" s="240">
        <f>Dat_02!C212</f>
        <v>50.199117601017058</v>
      </c>
      <c r="F213" s="240">
        <f>Dat_02!D212</f>
        <v>136.7399554485423</v>
      </c>
      <c r="G213" s="240">
        <f>Dat_02!E212</f>
        <v>50.199117601017058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44285</v>
      </c>
      <c r="D214" s="237"/>
      <c r="E214" s="240">
        <f>Dat_02!C213</f>
        <v>60.649499513017055</v>
      </c>
      <c r="F214" s="240">
        <f>Dat_02!D213</f>
        <v>136.7399554485423</v>
      </c>
      <c r="G214" s="240">
        <f>Dat_02!E213</f>
        <v>60.649499513017055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44286</v>
      </c>
      <c r="D215" s="237"/>
      <c r="E215" s="240">
        <f>Dat_02!C214</f>
        <v>75.16902626648239</v>
      </c>
      <c r="F215" s="240">
        <f>Dat_02!D214</f>
        <v>136.7399554485423</v>
      </c>
      <c r="G215" s="240">
        <f>Dat_02!E214</f>
        <v>75.16902626648239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44287</v>
      </c>
      <c r="D216" s="237"/>
      <c r="E216" s="240">
        <f>Dat_02!C215</f>
        <v>63.751534450480527</v>
      </c>
      <c r="F216" s="240">
        <f>Dat_02!D215</f>
        <v>128.52573371940508</v>
      </c>
      <c r="G216" s="240">
        <f>Dat_02!E215</f>
        <v>63.751534450480527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44288</v>
      </c>
      <c r="D217" s="239"/>
      <c r="E217" s="240">
        <f>Dat_02!C216</f>
        <v>65.469556810482388</v>
      </c>
      <c r="F217" s="240">
        <f>Dat_02!D216</f>
        <v>128.52573371940508</v>
      </c>
      <c r="G217" s="240">
        <f>Dat_02!E216</f>
        <v>65.469556810482388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216</v>
      </c>
      <c r="C218" s="238">
        <f>Dat_02!B217</f>
        <v>44289</v>
      </c>
      <c r="D218" s="239"/>
      <c r="E218" s="240">
        <f>Dat_02!C217</f>
        <v>42.394872066480531</v>
      </c>
      <c r="F218" s="240">
        <f>Dat_02!D217</f>
        <v>128.52573371940508</v>
      </c>
      <c r="G218" s="240">
        <f>Dat_02!E217</f>
        <v>42.394872066480531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44290</v>
      </c>
      <c r="D219" s="239"/>
      <c r="E219" s="240">
        <f>Dat_02!C218</f>
        <v>41.921852302478669</v>
      </c>
      <c r="F219" s="240">
        <f>Dat_02!D218</f>
        <v>128.52573371940508</v>
      </c>
      <c r="G219" s="240">
        <f>Dat_02!E218</f>
        <v>41.921852302478669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44291</v>
      </c>
      <c r="D220" s="239"/>
      <c r="E220" s="240">
        <f>Dat_02!C219</f>
        <v>57.200811402480525</v>
      </c>
      <c r="F220" s="240">
        <f>Dat_02!D219</f>
        <v>128.52573371940508</v>
      </c>
      <c r="G220" s="240">
        <f>Dat_02!E219</f>
        <v>57.200811402480525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44292</v>
      </c>
      <c r="D221" s="237"/>
      <c r="E221" s="240">
        <f>Dat_02!C220</f>
        <v>72.491779494480539</v>
      </c>
      <c r="F221" s="240">
        <f>Dat_02!D220</f>
        <v>128.52573371940508</v>
      </c>
      <c r="G221" s="240">
        <f>Dat_02!E220</f>
        <v>72.491779494480539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44293</v>
      </c>
      <c r="D222" s="237"/>
      <c r="E222" s="240">
        <f>Dat_02!C221</f>
        <v>73.096940716146577</v>
      </c>
      <c r="F222" s="240">
        <f>Dat_02!D221</f>
        <v>128.52573371940508</v>
      </c>
      <c r="G222" s="240">
        <f>Dat_02!E221</f>
        <v>73.096940716146577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44294</v>
      </c>
      <c r="D223" s="237"/>
      <c r="E223" s="240">
        <f>Dat_02!C222</f>
        <v>97.066670200148423</v>
      </c>
      <c r="F223" s="240">
        <f>Dat_02!D222</f>
        <v>128.52573371940508</v>
      </c>
      <c r="G223" s="240">
        <f>Dat_02!E222</f>
        <v>97.066670200148423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44295</v>
      </c>
      <c r="D224" s="237"/>
      <c r="E224" s="240">
        <f>Dat_02!C223</f>
        <v>89.112006520142856</v>
      </c>
      <c r="F224" s="240">
        <f>Dat_02!D223</f>
        <v>128.52573371940508</v>
      </c>
      <c r="G224" s="240">
        <f>Dat_02!E223</f>
        <v>89.112006520142856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44296</v>
      </c>
      <c r="D225" s="237"/>
      <c r="E225" s="240">
        <f>Dat_02!C224</f>
        <v>59.675219168146576</v>
      </c>
      <c r="F225" s="240">
        <f>Dat_02!D224</f>
        <v>128.52573371940508</v>
      </c>
      <c r="G225" s="240">
        <f>Dat_02!E224</f>
        <v>59.675219168146576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44297</v>
      </c>
      <c r="D226" s="237"/>
      <c r="E226" s="240">
        <f>Dat_02!C225</f>
        <v>36.012027652150294</v>
      </c>
      <c r="F226" s="240">
        <f>Dat_02!D225</f>
        <v>128.52573371940508</v>
      </c>
      <c r="G226" s="240">
        <f>Dat_02!E225</f>
        <v>36.012027652150294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44298</v>
      </c>
      <c r="D227" s="237"/>
      <c r="E227" s="240">
        <f>Dat_02!C226</f>
        <v>71.971308904144706</v>
      </c>
      <c r="F227" s="240">
        <f>Dat_02!D226</f>
        <v>128.52573371940508</v>
      </c>
      <c r="G227" s="240">
        <f>Dat_02!E226</f>
        <v>71.971308904144706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44299</v>
      </c>
      <c r="D228" s="237"/>
      <c r="E228" s="240">
        <f>Dat_02!C227</f>
        <v>87.948379396146578</v>
      </c>
      <c r="F228" s="240">
        <f>Dat_02!D227</f>
        <v>128.52573371940508</v>
      </c>
      <c r="G228" s="240">
        <f>Dat_02!E227</f>
        <v>87.948379396146578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44300</v>
      </c>
      <c r="D229" s="237"/>
      <c r="E229" s="240">
        <f>Dat_02!C228</f>
        <v>74.086402859665498</v>
      </c>
      <c r="F229" s="240">
        <f>Dat_02!D228</f>
        <v>128.52573371940508</v>
      </c>
      <c r="G229" s="240">
        <f>Dat_02!E228</f>
        <v>74.086402859665498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44301</v>
      </c>
      <c r="D230" s="237"/>
      <c r="E230" s="240">
        <f>Dat_02!C229</f>
        <v>65.578525103665498</v>
      </c>
      <c r="F230" s="240">
        <f>Dat_02!D229</f>
        <v>128.52573371940508</v>
      </c>
      <c r="G230" s="240">
        <f>Dat_02!E229</f>
        <v>65.578525103665498</v>
      </c>
      <c r="I230" s="241">
        <f>Dat_02!G229</f>
        <v>128.52573371940508</v>
      </c>
      <c r="J230" s="251" t="str">
        <f>IF(Dat_02!H229=0,"",Dat_02!H229)</f>
        <v/>
      </c>
    </row>
    <row r="231" spans="2:10">
      <c r="B231" s="237"/>
      <c r="C231" s="238">
        <f>Dat_02!B230</f>
        <v>44302</v>
      </c>
      <c r="D231" s="237"/>
      <c r="E231" s="240">
        <f>Dat_02!C230</f>
        <v>52.700916831667364</v>
      </c>
      <c r="F231" s="240">
        <f>Dat_02!D230</f>
        <v>128.52573371940508</v>
      </c>
      <c r="G231" s="240">
        <f>Dat_02!E230</f>
        <v>52.700916831667364</v>
      </c>
      <c r="I231" s="241" t="str">
        <f>Dat_02!G230</f>
        <v/>
      </c>
      <c r="J231" s="251" t="str">
        <f>IF(Dat_02!H230=0,"",Dat_02!H230)</f>
        <v/>
      </c>
    </row>
    <row r="232" spans="2:10">
      <c r="B232" s="237"/>
      <c r="C232" s="238">
        <f>Dat_02!B231</f>
        <v>44303</v>
      </c>
      <c r="D232" s="237"/>
      <c r="E232" s="240">
        <f>Dat_02!C231</f>
        <v>28.047646551661767</v>
      </c>
      <c r="F232" s="240">
        <f>Dat_02!D231</f>
        <v>128.52573371940508</v>
      </c>
      <c r="G232" s="240">
        <f>Dat_02!E231</f>
        <v>28.047646551661767</v>
      </c>
      <c r="I232" s="300" t="str">
        <f>Dat_02!G231</f>
        <v/>
      </c>
      <c r="J232" s="251" t="str">
        <f>IF(Dat_02!H231=0,"",Dat_02!H231)</f>
        <v/>
      </c>
    </row>
    <row r="233" spans="2:10">
      <c r="B233" s="237"/>
      <c r="C233" s="238">
        <f>Dat_02!B232</f>
        <v>44304</v>
      </c>
      <c r="D233" s="237"/>
      <c r="E233" s="240">
        <f>Dat_02!C232</f>
        <v>25.637126475665493</v>
      </c>
      <c r="F233" s="240">
        <f>Dat_02!D232</f>
        <v>128.52573371940508</v>
      </c>
      <c r="G233" s="240">
        <f>Dat_02!E232</f>
        <v>25.637126475665493</v>
      </c>
      <c r="I233" s="241" t="str">
        <f>Dat_02!G232</f>
        <v/>
      </c>
      <c r="J233" s="251" t="str">
        <f>IF(Dat_02!H232=0,"",Dat_02!H232)</f>
        <v/>
      </c>
    </row>
    <row r="234" spans="2:10">
      <c r="B234" s="237"/>
      <c r="C234" s="238">
        <f>Dat_02!B233</f>
        <v>44305</v>
      </c>
      <c r="D234" s="237"/>
      <c r="E234" s="240">
        <f>Dat_02!C233</f>
        <v>67.720498807665493</v>
      </c>
      <c r="F234" s="240">
        <f>Dat_02!D233</f>
        <v>128.52573371940508</v>
      </c>
      <c r="G234" s="240">
        <f>Dat_02!E233</f>
        <v>67.720498807665493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44306</v>
      </c>
      <c r="D235" s="237"/>
      <c r="E235" s="240">
        <f>Dat_02!C234</f>
        <v>64.438045755665499</v>
      </c>
      <c r="F235" s="240">
        <f>Dat_02!D234</f>
        <v>128.52573371940508</v>
      </c>
      <c r="G235" s="240">
        <f>Dat_02!E234</f>
        <v>64.438045755665499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44307</v>
      </c>
      <c r="D236" s="237"/>
      <c r="E236" s="240">
        <f>Dat_02!C235</f>
        <v>77.927893818515969</v>
      </c>
      <c r="F236" s="240">
        <f>Dat_02!D235</f>
        <v>128.52573371940508</v>
      </c>
      <c r="G236" s="240">
        <f>Dat_02!E235</f>
        <v>77.927893818515969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44308</v>
      </c>
      <c r="D237" s="237"/>
      <c r="E237" s="240">
        <f>Dat_02!C236</f>
        <v>70.428506162521543</v>
      </c>
      <c r="F237" s="240">
        <f>Dat_02!D236</f>
        <v>128.52573371940508</v>
      </c>
      <c r="G237" s="240">
        <f>Dat_02!E236</f>
        <v>70.428506162521543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44309</v>
      </c>
      <c r="D238" s="237"/>
      <c r="E238" s="240">
        <f>Dat_02!C237</f>
        <v>33.339995286519681</v>
      </c>
      <c r="F238" s="240">
        <f>Dat_02!D237</f>
        <v>128.52573371940508</v>
      </c>
      <c r="G238" s="240">
        <f>Dat_02!E237</f>
        <v>33.339995286519681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44310</v>
      </c>
      <c r="D239" s="237"/>
      <c r="E239" s="240">
        <f>Dat_02!C238</f>
        <v>20.937989170515962</v>
      </c>
      <c r="F239" s="240">
        <f>Dat_02!D238</f>
        <v>128.52573371940508</v>
      </c>
      <c r="G239" s="240">
        <f>Dat_02!E238</f>
        <v>20.937989170515962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44311</v>
      </c>
      <c r="D240" s="237"/>
      <c r="E240" s="240">
        <f>Dat_02!C239</f>
        <v>29.937314190521544</v>
      </c>
      <c r="F240" s="240">
        <f>Dat_02!D239</f>
        <v>128.52573371940508</v>
      </c>
      <c r="G240" s="240">
        <f>Dat_02!E239</f>
        <v>29.937314190521544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44312</v>
      </c>
      <c r="D241" s="237"/>
      <c r="E241" s="240">
        <f>Dat_02!C240</f>
        <v>70.082576902517815</v>
      </c>
      <c r="F241" s="240">
        <f>Dat_02!D240</f>
        <v>128.52573371940508</v>
      </c>
      <c r="G241" s="240">
        <f>Dat_02!E240</f>
        <v>70.082576902517815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44313</v>
      </c>
      <c r="D242" s="237"/>
      <c r="E242" s="240">
        <f>Dat_02!C241</f>
        <v>69.587241770521544</v>
      </c>
      <c r="F242" s="240">
        <f>Dat_02!D241</f>
        <v>128.52573371940508</v>
      </c>
      <c r="G242" s="240">
        <f>Dat_02!E241</f>
        <v>69.587241770521544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44314</v>
      </c>
      <c r="D243" s="237"/>
      <c r="E243" s="240">
        <f>Dat_02!C242</f>
        <v>94.811122895477396</v>
      </c>
      <c r="F243" s="240">
        <f>Dat_02!D242</f>
        <v>128.52573371940508</v>
      </c>
      <c r="G243" s="240">
        <f>Dat_02!E242</f>
        <v>94.811122895477396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44315</v>
      </c>
      <c r="D244" s="237"/>
      <c r="E244" s="240">
        <f>Dat_02!C243</f>
        <v>98.490954667479258</v>
      </c>
      <c r="F244" s="240">
        <f>Dat_02!D243</f>
        <v>128.52573371940508</v>
      </c>
      <c r="G244" s="240">
        <f>Dat_02!E243</f>
        <v>98.490954667479258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44316</v>
      </c>
      <c r="D245" s="237"/>
      <c r="E245" s="240">
        <f>Dat_02!C244</f>
        <v>95.389488947479265</v>
      </c>
      <c r="F245" s="240">
        <f>Dat_02!D244</f>
        <v>128.52573371940508</v>
      </c>
      <c r="G245" s="240">
        <f>Dat_02!E244</f>
        <v>95.389488947479265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44317</v>
      </c>
      <c r="D246" s="237"/>
      <c r="E246" s="240">
        <f>Dat_02!C245</f>
        <v>42.147848663479259</v>
      </c>
      <c r="F246" s="240">
        <f>Dat_02!D245</f>
        <v>101.55332277089387</v>
      </c>
      <c r="G246" s="240">
        <f>Dat_02!E245</f>
        <v>42.147848663479259</v>
      </c>
      <c r="I246" s="241">
        <f>Dat_02!G245</f>
        <v>0</v>
      </c>
      <c r="J246" s="251" t="str">
        <f>IF(Dat_02!H245=0,"",Dat_02!H245)</f>
        <v/>
      </c>
    </row>
    <row r="247" spans="2:10">
      <c r="B247" s="239"/>
      <c r="C247" s="238">
        <f>Dat_02!B246</f>
        <v>44318</v>
      </c>
      <c r="D247" s="237"/>
      <c r="E247" s="240">
        <f>Dat_02!C246</f>
        <v>37.578915619477392</v>
      </c>
      <c r="F247" s="240">
        <f>Dat_02!D246</f>
        <v>101.55332277089387</v>
      </c>
      <c r="G247" s="240">
        <f>Dat_02!E246</f>
        <v>37.578915619477392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44319</v>
      </c>
      <c r="D248" s="239"/>
      <c r="E248" s="240">
        <f>Dat_02!C247</f>
        <v>62.32738921948112</v>
      </c>
      <c r="F248" s="240">
        <f>Dat_02!D247</f>
        <v>101.55332277089387</v>
      </c>
      <c r="G248" s="240">
        <f>Dat_02!E247</f>
        <v>62.32738921948112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217</v>
      </c>
      <c r="C249" s="238">
        <f>Dat_02!B248</f>
        <v>44320</v>
      </c>
      <c r="D249" s="239"/>
      <c r="E249" s="240">
        <f>Dat_02!C248</f>
        <v>72.060014443477399</v>
      </c>
      <c r="F249" s="240">
        <f>Dat_02!D248</f>
        <v>101.55332277089387</v>
      </c>
      <c r="G249" s="240">
        <f>Dat_02!E248</f>
        <v>72.060014443477399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44321</v>
      </c>
      <c r="D250" s="239"/>
      <c r="E250" s="240">
        <f>Dat_02!C249</f>
        <v>64.883841791812969</v>
      </c>
      <c r="F250" s="240">
        <f>Dat_02!D249</f>
        <v>101.55332277089387</v>
      </c>
      <c r="G250" s="240">
        <f>Dat_02!E249</f>
        <v>64.883841791812969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44322</v>
      </c>
      <c r="D251" s="239"/>
      <c r="E251" s="240">
        <f>Dat_02!C250</f>
        <v>60.960911771811105</v>
      </c>
      <c r="F251" s="240">
        <f>Dat_02!D250</f>
        <v>101.55332277089387</v>
      </c>
      <c r="G251" s="240">
        <f>Dat_02!E250</f>
        <v>60.960911771811105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44323</v>
      </c>
      <c r="D252" s="237"/>
      <c r="E252" s="240">
        <f>Dat_02!C251</f>
        <v>70.572683851807383</v>
      </c>
      <c r="F252" s="240">
        <f>Dat_02!D251</f>
        <v>101.55332277089387</v>
      </c>
      <c r="G252" s="240">
        <f>Dat_02!E251</f>
        <v>70.572683851807383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44324</v>
      </c>
      <c r="D253" s="237"/>
      <c r="E253" s="240">
        <f>Dat_02!C252</f>
        <v>41.411578935811107</v>
      </c>
      <c r="F253" s="240">
        <f>Dat_02!D252</f>
        <v>101.55332277089387</v>
      </c>
      <c r="G253" s="240">
        <f>Dat_02!E252</f>
        <v>41.411578935811107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44325</v>
      </c>
      <c r="D254" s="237"/>
      <c r="E254" s="240">
        <f>Dat_02!C253</f>
        <v>41.354636751809245</v>
      </c>
      <c r="F254" s="240">
        <f>Dat_02!D253</f>
        <v>101.55332277089387</v>
      </c>
      <c r="G254" s="240">
        <f>Dat_02!E253</f>
        <v>41.354636751809245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44326</v>
      </c>
      <c r="D255" s="237"/>
      <c r="E255" s="240">
        <f>Dat_02!C254</f>
        <v>60.27062237980924</v>
      </c>
      <c r="F255" s="240">
        <f>Dat_02!D254</f>
        <v>101.55332277089387</v>
      </c>
      <c r="G255" s="240">
        <f>Dat_02!E254</f>
        <v>60.27062237980924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44327</v>
      </c>
      <c r="D256" s="237"/>
      <c r="E256" s="240">
        <f>Dat_02!C255</f>
        <v>56.165441323812964</v>
      </c>
      <c r="F256" s="240">
        <f>Dat_02!D255</f>
        <v>101.55332277089387</v>
      </c>
      <c r="G256" s="240">
        <f>Dat_02!E255</f>
        <v>56.165441323812964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44328</v>
      </c>
      <c r="D257" s="237"/>
      <c r="E257" s="240">
        <f>Dat_02!C256</f>
        <v>64.953505773205393</v>
      </c>
      <c r="F257" s="240">
        <f>Dat_02!D256</f>
        <v>101.55332277089387</v>
      </c>
      <c r="G257" s="240">
        <f>Dat_02!E256</f>
        <v>64.953505773205393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44329</v>
      </c>
      <c r="D258" s="237"/>
      <c r="E258" s="240">
        <f>Dat_02!C257</f>
        <v>70.248995309207274</v>
      </c>
      <c r="F258" s="240">
        <f>Dat_02!D257</f>
        <v>101.55332277089387</v>
      </c>
      <c r="G258" s="240">
        <f>Dat_02!E257</f>
        <v>70.248995309207274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44330</v>
      </c>
      <c r="D259" s="237"/>
      <c r="E259" s="240">
        <f>Dat_02!C258</f>
        <v>73.449084457207263</v>
      </c>
      <c r="F259" s="240">
        <f>Dat_02!D258</f>
        <v>101.55332277089387</v>
      </c>
      <c r="G259" s="240">
        <f>Dat_02!E258</f>
        <v>73.449084457207263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44331</v>
      </c>
      <c r="D260" s="237"/>
      <c r="E260" s="240">
        <f>Dat_02!C259</f>
        <v>61.409645237210988</v>
      </c>
      <c r="F260" s="240">
        <f>Dat_02!D259</f>
        <v>101.55332277089387</v>
      </c>
      <c r="G260" s="240">
        <f>Dat_02!E259</f>
        <v>61.409645237210988</v>
      </c>
      <c r="I260" s="241">
        <f>Dat_02!G259</f>
        <v>101.55332277089387</v>
      </c>
      <c r="J260" s="251" t="str">
        <f>IF(Dat_02!H259=0,"",Dat_02!H259)</f>
        <v/>
      </c>
    </row>
    <row r="261" spans="2:10">
      <c r="B261" s="237"/>
      <c r="C261" s="238">
        <f>Dat_02!B260</f>
        <v>44332</v>
      </c>
      <c r="D261" s="237"/>
      <c r="E261" s="240">
        <f>Dat_02!C260</f>
        <v>62.933085797205401</v>
      </c>
      <c r="F261" s="240">
        <f>Dat_02!D260</f>
        <v>101.55332277089387</v>
      </c>
      <c r="G261" s="240">
        <f>Dat_02!E260</f>
        <v>62.933085797205401</v>
      </c>
      <c r="I261" s="241" t="str">
        <f>Dat_02!G260</f>
        <v/>
      </c>
      <c r="J261" s="251" t="str">
        <f>IF(Dat_02!H260=0,"",Dat_02!H260)</f>
        <v/>
      </c>
    </row>
    <row r="262" spans="2:10">
      <c r="B262" s="237"/>
      <c r="C262" s="238">
        <f>Dat_02!B261</f>
        <v>44333</v>
      </c>
      <c r="D262" s="237"/>
      <c r="E262" s="240">
        <f>Dat_02!C261</f>
        <v>84.705796105210993</v>
      </c>
      <c r="F262" s="240">
        <f>Dat_02!D261</f>
        <v>101.55332277089387</v>
      </c>
      <c r="G262" s="240">
        <f>Dat_02!E261</f>
        <v>84.705796105210993</v>
      </c>
      <c r="I262" s="300" t="str">
        <f>Dat_02!G261</f>
        <v/>
      </c>
      <c r="J262" s="251" t="str">
        <f>IF(Dat_02!H261=0,"",Dat_02!H261)</f>
        <v/>
      </c>
    </row>
    <row r="263" spans="2:10">
      <c r="B263" s="237"/>
      <c r="C263" s="238">
        <f>Dat_02!B262</f>
        <v>44334</v>
      </c>
      <c r="D263" s="237"/>
      <c r="E263" s="240">
        <f>Dat_02!C262</f>
        <v>82.96181858520913</v>
      </c>
      <c r="F263" s="240">
        <f>Dat_02!D262</f>
        <v>101.55332277089387</v>
      </c>
      <c r="G263" s="240">
        <f>Dat_02!E262</f>
        <v>82.96181858520913</v>
      </c>
      <c r="I263" s="241" t="str">
        <f>Dat_02!G262</f>
        <v/>
      </c>
      <c r="J263" s="251" t="str">
        <f>IF(Dat_02!H262=0,"",Dat_02!H262)</f>
        <v/>
      </c>
    </row>
    <row r="264" spans="2:10">
      <c r="B264" s="237"/>
      <c r="C264" s="238">
        <f>Dat_02!B263</f>
        <v>44335</v>
      </c>
      <c r="D264" s="237"/>
      <c r="E264" s="240">
        <f>Dat_02!C263</f>
        <v>88.422067961818541</v>
      </c>
      <c r="F264" s="240">
        <f>Dat_02!D263</f>
        <v>101.55332277089387</v>
      </c>
      <c r="G264" s="240">
        <f>Dat_02!E263</f>
        <v>88.422067961818541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44336</v>
      </c>
      <c r="D265" s="237"/>
      <c r="E265" s="240">
        <f>Dat_02!C264</f>
        <v>87.487187521816665</v>
      </c>
      <c r="F265" s="240">
        <f>Dat_02!D264</f>
        <v>101.55332277089387</v>
      </c>
      <c r="G265" s="240">
        <f>Dat_02!E264</f>
        <v>87.487187521816665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44337</v>
      </c>
      <c r="D266" s="237"/>
      <c r="E266" s="240">
        <f>Dat_02!C265</f>
        <v>81.833325337818536</v>
      </c>
      <c r="F266" s="240">
        <f>Dat_02!D265</f>
        <v>101.55332277089387</v>
      </c>
      <c r="G266" s="240">
        <f>Dat_02!E265</f>
        <v>81.833325337818536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44338</v>
      </c>
      <c r="D267" s="237"/>
      <c r="E267" s="240">
        <f>Dat_02!C266</f>
        <v>85.378086121820388</v>
      </c>
      <c r="F267" s="240">
        <f>Dat_02!D266</f>
        <v>101.55332277089387</v>
      </c>
      <c r="G267" s="240">
        <f>Dat_02!E266</f>
        <v>85.378086121820388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44339</v>
      </c>
      <c r="D268" s="237"/>
      <c r="E268" s="240">
        <f>Dat_02!C267</f>
        <v>63.705421921816672</v>
      </c>
      <c r="F268" s="240">
        <f>Dat_02!D267</f>
        <v>101.55332277089387</v>
      </c>
      <c r="G268" s="240">
        <f>Dat_02!E267</f>
        <v>63.705421921816672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44340</v>
      </c>
      <c r="D269" s="237"/>
      <c r="E269" s="240">
        <f>Dat_02!C268</f>
        <v>71.866288133820404</v>
      </c>
      <c r="F269" s="240">
        <f>Dat_02!D268</f>
        <v>101.55332277089387</v>
      </c>
      <c r="G269" s="240">
        <f>Dat_02!E268</f>
        <v>71.866288133820404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44341</v>
      </c>
      <c r="D270" s="237"/>
      <c r="E270" s="240">
        <f>Dat_02!C269</f>
        <v>76.699483453822268</v>
      </c>
      <c r="F270" s="240">
        <f>Dat_02!D269</f>
        <v>101.55332277089387</v>
      </c>
      <c r="G270" s="240">
        <f>Dat_02!E269</f>
        <v>76.699483453822268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44342</v>
      </c>
      <c r="D271" s="237"/>
      <c r="E271" s="240">
        <f>Dat_02!C270</f>
        <v>44.951141361653775</v>
      </c>
      <c r="F271" s="240">
        <f>Dat_02!D270</f>
        <v>101.55332277089387</v>
      </c>
      <c r="G271" s="240">
        <f>Dat_02!E270</f>
        <v>44.951141361653775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44343</v>
      </c>
      <c r="D272" s="237"/>
      <c r="E272" s="240">
        <f>Dat_02!C271</f>
        <v>84.566878257655645</v>
      </c>
      <c r="F272" s="240">
        <f>Dat_02!D271</f>
        <v>101.55332277089387</v>
      </c>
      <c r="G272" s="240">
        <f>Dat_02!E271</f>
        <v>84.566878257655645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44344</v>
      </c>
      <c r="D273" s="237"/>
      <c r="E273" s="240">
        <f>Dat_02!C272</f>
        <v>51.342713629655641</v>
      </c>
      <c r="F273" s="240">
        <f>Dat_02!D272</f>
        <v>101.55332277089387</v>
      </c>
      <c r="G273" s="240">
        <f>Dat_02!E272</f>
        <v>51.342713629655641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44345</v>
      </c>
      <c r="D274" s="237"/>
      <c r="E274" s="240">
        <f>Dat_02!C273</f>
        <v>47.232078169655637</v>
      </c>
      <c r="F274" s="240">
        <f>Dat_02!D273</f>
        <v>101.55332277089387</v>
      </c>
      <c r="G274" s="240">
        <f>Dat_02!E273</f>
        <v>47.232078169655637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44346</v>
      </c>
      <c r="D275" s="237"/>
      <c r="E275" s="240">
        <f>Dat_02!C274</f>
        <v>30.955034121657505</v>
      </c>
      <c r="F275" s="240">
        <f>Dat_02!D274</f>
        <v>101.55332277089387</v>
      </c>
      <c r="G275" s="240">
        <f>Dat_02!E274</f>
        <v>30.955034121657505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44347</v>
      </c>
      <c r="D276" s="237"/>
      <c r="E276" s="240">
        <f>Dat_02!C275</f>
        <v>46.388749833651922</v>
      </c>
      <c r="F276" s="240">
        <f>Dat_02!D275</f>
        <v>101.55332277089387</v>
      </c>
      <c r="G276" s="240">
        <f>Dat_02!E275</f>
        <v>46.388749833651922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44348</v>
      </c>
      <c r="D277" s="237"/>
      <c r="E277" s="240">
        <f>Dat_02!C276</f>
        <v>49.7390358816575</v>
      </c>
      <c r="F277" s="240">
        <f>Dat_02!D276</f>
        <v>64.002517723929074</v>
      </c>
      <c r="G277" s="240">
        <f>Dat_02!E276</f>
        <v>49.7390358816575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44349</v>
      </c>
      <c r="D278" s="239"/>
      <c r="E278" s="240">
        <f>Dat_02!C277</f>
        <v>59.622137735076741</v>
      </c>
      <c r="F278" s="240">
        <f>Dat_02!D277</f>
        <v>64.002517723929074</v>
      </c>
      <c r="G278" s="240">
        <f>Dat_02!E277</f>
        <v>59.622137735076741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44350</v>
      </c>
      <c r="D279" s="239"/>
      <c r="E279" s="240">
        <f>Dat_02!C278</f>
        <v>43.383433879082332</v>
      </c>
      <c r="F279" s="240">
        <f>Dat_02!D278</f>
        <v>64.002517723929074</v>
      </c>
      <c r="G279" s="240">
        <f>Dat_02!E278</f>
        <v>43.383433879082332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218</v>
      </c>
      <c r="C280" s="238">
        <f>Dat_02!B279</f>
        <v>44351</v>
      </c>
      <c r="D280" s="237"/>
      <c r="E280" s="240">
        <f>Dat_02!C279</f>
        <v>51.377849187080471</v>
      </c>
      <c r="F280" s="240">
        <f>Dat_02!D279</f>
        <v>64.002517723929074</v>
      </c>
      <c r="G280" s="240">
        <f>Dat_02!E279</f>
        <v>51.377849187080471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44352</v>
      </c>
      <c r="D281" s="237"/>
      <c r="E281" s="240">
        <f>Dat_02!C280</f>
        <v>46.978688771082325</v>
      </c>
      <c r="F281" s="240">
        <f>Dat_02!D280</f>
        <v>64.002517723929074</v>
      </c>
      <c r="G281" s="240">
        <f>Dat_02!E280</f>
        <v>46.978688771082325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44353</v>
      </c>
      <c r="D282" s="237"/>
      <c r="E282" s="240">
        <f>Dat_02!C281</f>
        <v>38.849053715080466</v>
      </c>
      <c r="F282" s="240">
        <f>Dat_02!D281</f>
        <v>64.002517723929074</v>
      </c>
      <c r="G282" s="240">
        <f>Dat_02!E281</f>
        <v>38.849053715080466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44354</v>
      </c>
      <c r="D283" s="237"/>
      <c r="E283" s="240">
        <f>Dat_02!C282</f>
        <v>42.251729895078604</v>
      </c>
      <c r="F283" s="240">
        <f>Dat_02!D282</f>
        <v>64.002517723929074</v>
      </c>
      <c r="G283" s="240">
        <f>Dat_02!E282</f>
        <v>42.251729895078604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44355</v>
      </c>
      <c r="D284" s="237"/>
      <c r="E284" s="240">
        <f>Dat_02!C283</f>
        <v>48.831029183082336</v>
      </c>
      <c r="F284" s="240">
        <f>Dat_02!D283</f>
        <v>64.002517723929074</v>
      </c>
      <c r="G284" s="240">
        <f>Dat_02!E283</f>
        <v>48.831029183082336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44356</v>
      </c>
      <c r="D285" s="237"/>
      <c r="E285" s="240">
        <f>Dat_02!C284</f>
        <v>39.655213428078106</v>
      </c>
      <c r="F285" s="240">
        <f>Dat_02!D284</f>
        <v>64.002517723929074</v>
      </c>
      <c r="G285" s="240">
        <f>Dat_02!E284</f>
        <v>39.655213428078106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44357</v>
      </c>
      <c r="D286" s="237"/>
      <c r="E286" s="240">
        <f>Dat_02!C285</f>
        <v>56.533653168078104</v>
      </c>
      <c r="F286" s="240">
        <f>Dat_02!D285</f>
        <v>64.002517723929074</v>
      </c>
      <c r="G286" s="240">
        <f>Dat_02!E285</f>
        <v>56.533653168078104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44358</v>
      </c>
      <c r="D287" s="237"/>
      <c r="E287" s="240">
        <f>Dat_02!C286</f>
        <v>35.848084328079977</v>
      </c>
      <c r="F287" s="240">
        <f>Dat_02!D286</f>
        <v>64.002517723929074</v>
      </c>
      <c r="G287" s="240">
        <f>Dat_02!E286</f>
        <v>35.848084328079977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44359</v>
      </c>
      <c r="D288" s="237"/>
      <c r="E288" s="240">
        <f>Dat_02!C287</f>
        <v>39.187553216074392</v>
      </c>
      <c r="F288" s="240">
        <f>Dat_02!D287</f>
        <v>64.002517723929074</v>
      </c>
      <c r="G288" s="240">
        <f>Dat_02!E287</f>
        <v>39.187553216074392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44360</v>
      </c>
      <c r="D289" s="237"/>
      <c r="E289" s="240">
        <f>Dat_02!C288</f>
        <v>34.758196140078105</v>
      </c>
      <c r="F289" s="240">
        <f>Dat_02!D288</f>
        <v>64.002517723929074</v>
      </c>
      <c r="G289" s="240">
        <f>Dat_02!E288</f>
        <v>34.758196140078105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44361</v>
      </c>
      <c r="D290" s="237"/>
      <c r="E290" s="240">
        <f>Dat_02!C289</f>
        <v>71.697258952078101</v>
      </c>
      <c r="F290" s="240">
        <f>Dat_02!D289</f>
        <v>64.002517723929074</v>
      </c>
      <c r="G290" s="240">
        <f>Dat_02!E289</f>
        <v>64.002517723929074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44362</v>
      </c>
      <c r="D291" s="237"/>
      <c r="E291" s="240">
        <f>Dat_02!C290</f>
        <v>67.650048800076235</v>
      </c>
      <c r="F291" s="240">
        <f>Dat_02!D290</f>
        <v>64.002517723929074</v>
      </c>
      <c r="G291" s="240">
        <f>Dat_02!E290</f>
        <v>64.002517723929074</v>
      </c>
      <c r="I291" s="241">
        <f>Dat_02!G290</f>
        <v>64.002517723929074</v>
      </c>
      <c r="J291" s="251" t="str">
        <f>IF(Dat_02!H290=0,"",Dat_02!H290)</f>
        <v/>
      </c>
    </row>
    <row r="292" spans="2:10">
      <c r="B292" s="237"/>
      <c r="C292" s="238">
        <f>Dat_02!B291</f>
        <v>44363</v>
      </c>
      <c r="D292" s="237"/>
      <c r="E292" s="240">
        <f>Dat_02!C291</f>
        <v>62.759781339110461</v>
      </c>
      <c r="F292" s="240">
        <f>Dat_02!D291</f>
        <v>64.002517723929074</v>
      </c>
      <c r="G292" s="240">
        <f>Dat_02!E291</f>
        <v>62.759781339110461</v>
      </c>
      <c r="I292" s="241" t="str">
        <f>Dat_02!G291</f>
        <v/>
      </c>
      <c r="J292" s="251" t="str">
        <f>IF(Dat_02!H291=0,"",Dat_02!H291)</f>
        <v/>
      </c>
    </row>
    <row r="293" spans="2:10">
      <c r="B293" s="237"/>
      <c r="C293" s="238">
        <f>Dat_02!B292</f>
        <v>44364</v>
      </c>
      <c r="D293" s="237"/>
      <c r="E293" s="240">
        <f>Dat_02!C292</f>
        <v>64.330589743110465</v>
      </c>
      <c r="F293" s="240">
        <f>Dat_02!D292</f>
        <v>64.002517723929074</v>
      </c>
      <c r="G293" s="240">
        <f>Dat_02!E292</f>
        <v>64.002517723929074</v>
      </c>
      <c r="I293" s="300" t="str">
        <f>Dat_02!G292</f>
        <v/>
      </c>
      <c r="J293" s="251" t="str">
        <f>IF(Dat_02!H292=0,"",Dat_02!H292)</f>
        <v/>
      </c>
    </row>
    <row r="294" spans="2:10">
      <c r="B294" s="237"/>
      <c r="C294" s="238">
        <f>Dat_02!B293</f>
        <v>44365</v>
      </c>
      <c r="D294" s="237"/>
      <c r="E294" s="240">
        <f>Dat_02!C293</f>
        <v>51.741532331110456</v>
      </c>
      <c r="F294" s="240">
        <f>Dat_02!D293</f>
        <v>64.002517723929074</v>
      </c>
      <c r="G294" s="240">
        <f>Dat_02!E293</f>
        <v>51.741532331110456</v>
      </c>
      <c r="I294" s="241" t="str">
        <f>Dat_02!G293</f>
        <v/>
      </c>
      <c r="J294" s="251" t="str">
        <f>IF(Dat_02!H293=0,"",Dat_02!H293)</f>
        <v/>
      </c>
    </row>
    <row r="295" spans="2:10">
      <c r="B295" s="237"/>
      <c r="C295" s="238">
        <f>Dat_02!B294</f>
        <v>44366</v>
      </c>
      <c r="D295" s="237"/>
      <c r="E295" s="240">
        <f>Dat_02!C294</f>
        <v>42.602421635112314</v>
      </c>
      <c r="F295" s="240">
        <f>Dat_02!D294</f>
        <v>64.002517723929074</v>
      </c>
      <c r="G295" s="240">
        <f>Dat_02!E294</f>
        <v>42.602421635112314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44367</v>
      </c>
      <c r="D296" s="237"/>
      <c r="E296" s="240">
        <f>Dat_02!C295</f>
        <v>30.117633127108594</v>
      </c>
      <c r="F296" s="240">
        <f>Dat_02!D295</f>
        <v>64.002517723929074</v>
      </c>
      <c r="G296" s="240">
        <f>Dat_02!E295</f>
        <v>30.117633127108594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44368</v>
      </c>
      <c r="D297" s="237"/>
      <c r="E297" s="240">
        <f>Dat_02!C296</f>
        <v>41.492384483112325</v>
      </c>
      <c r="F297" s="240">
        <f>Dat_02!D296</f>
        <v>64.002517723929074</v>
      </c>
      <c r="G297" s="240">
        <f>Dat_02!E296</f>
        <v>41.492384483112325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44369</v>
      </c>
      <c r="D298" s="237"/>
      <c r="E298" s="240">
        <f>Dat_02!C297</f>
        <v>51.60537784311046</v>
      </c>
      <c r="F298" s="240">
        <f>Dat_02!D297</f>
        <v>64.002517723929074</v>
      </c>
      <c r="G298" s="240">
        <f>Dat_02!E297</f>
        <v>51.60537784311046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44370</v>
      </c>
      <c r="D299" s="237"/>
      <c r="E299" s="240">
        <f>Dat_02!C298</f>
        <v>56.123723707417419</v>
      </c>
      <c r="F299" s="240">
        <f>Dat_02!D298</f>
        <v>64.002517723929074</v>
      </c>
      <c r="G299" s="240">
        <f>Dat_02!E298</f>
        <v>56.123723707417419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44371</v>
      </c>
      <c r="D300" s="237"/>
      <c r="E300" s="240">
        <f>Dat_02!C299</f>
        <v>62.085323663419288</v>
      </c>
      <c r="F300" s="240">
        <f>Dat_02!D299</f>
        <v>64.002517723929074</v>
      </c>
      <c r="G300" s="240">
        <f>Dat_02!E299</f>
        <v>62.085323663419288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44372</v>
      </c>
      <c r="D301" s="237"/>
      <c r="E301" s="240">
        <f>Dat_02!C300</f>
        <v>59.580692003419287</v>
      </c>
      <c r="F301" s="240">
        <f>Dat_02!D300</f>
        <v>64.002517723929074</v>
      </c>
      <c r="G301" s="240">
        <f>Dat_02!E300</f>
        <v>59.580692003419287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44373</v>
      </c>
      <c r="D302" s="237"/>
      <c r="E302" s="240">
        <f>Dat_02!C301</f>
        <v>44.02805007541928</v>
      </c>
      <c r="F302" s="240">
        <f>Dat_02!D301</f>
        <v>64.002517723929074</v>
      </c>
      <c r="G302" s="240">
        <f>Dat_02!E301</f>
        <v>44.02805007541928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44374</v>
      </c>
      <c r="D303" s="237"/>
      <c r="E303" s="240">
        <f>Dat_02!C302</f>
        <v>35.421572939419292</v>
      </c>
      <c r="F303" s="240">
        <f>Dat_02!D302</f>
        <v>64.002517723929074</v>
      </c>
      <c r="G303" s="240">
        <f>Dat_02!E302</f>
        <v>35.421572939419292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44375</v>
      </c>
      <c r="D304" s="237"/>
      <c r="E304" s="240">
        <f>Dat_02!C303</f>
        <v>57.747371875419283</v>
      </c>
      <c r="F304" s="240">
        <f>Dat_02!D303</f>
        <v>64.002517723929074</v>
      </c>
      <c r="G304" s="240">
        <f>Dat_02!E303</f>
        <v>57.747371875419283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44376</v>
      </c>
      <c r="D305" s="237"/>
      <c r="E305" s="240">
        <f>Dat_02!C304</f>
        <v>56.617720343419293</v>
      </c>
      <c r="F305" s="240">
        <f>Dat_02!D304</f>
        <v>64.002517723929074</v>
      </c>
      <c r="G305" s="240">
        <f>Dat_02!E304</f>
        <v>56.617720343419293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44377</v>
      </c>
      <c r="D306" s="237"/>
      <c r="E306" s="240">
        <f>Dat_02!C305</f>
        <v>38.670632130302387</v>
      </c>
      <c r="F306" s="240">
        <f>Dat_02!D305</f>
        <v>64.002517723929074</v>
      </c>
      <c r="G306" s="240">
        <f>Dat_02!E305</f>
        <v>38.670632130302387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44378</v>
      </c>
      <c r="D307" s="237"/>
      <c r="E307" s="240">
        <f>Dat_02!C306</f>
        <v>44.534868314304255</v>
      </c>
      <c r="F307" s="240">
        <f>Dat_02!D306</f>
        <v>28.264017142829317</v>
      </c>
      <c r="G307" s="240">
        <f>Dat_02!E306</f>
        <v>28.264017142829317</v>
      </c>
      <c r="I307" s="241">
        <f>Dat_02!G306</f>
        <v>0</v>
      </c>
      <c r="J307" s="251" t="str">
        <f>IF(Dat_02!H306=0,"",Dat_02!H306)</f>
        <v/>
      </c>
    </row>
    <row r="308" spans="2:10">
      <c r="B308" s="239" t="s">
        <v>219</v>
      </c>
      <c r="C308" s="238">
        <f>Dat_02!B307</f>
        <v>44379</v>
      </c>
      <c r="D308" s="237"/>
      <c r="E308" s="240">
        <f>Dat_02!C307</f>
        <v>42.339254178304252</v>
      </c>
      <c r="F308" s="240">
        <f>Dat_02!D307</f>
        <v>28.264017142829317</v>
      </c>
      <c r="G308" s="240">
        <f>Dat_02!E307</f>
        <v>28.264017142829317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44380</v>
      </c>
      <c r="D309" s="239"/>
      <c r="E309" s="240">
        <f>Dat_02!C308</f>
        <v>38.478154278302391</v>
      </c>
      <c r="F309" s="240">
        <f>Dat_02!D308</f>
        <v>28.264017142829317</v>
      </c>
      <c r="G309" s="240">
        <f>Dat_02!E308</f>
        <v>28.264017142829317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44381</v>
      </c>
      <c r="D310" s="239"/>
      <c r="E310" s="240">
        <f>Dat_02!C309</f>
        <v>4.5154322943023946</v>
      </c>
      <c r="F310" s="240">
        <f>Dat_02!D309</f>
        <v>28.264017142829317</v>
      </c>
      <c r="G310" s="240">
        <f>Dat_02!E309</f>
        <v>4.5154322943023946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44382</v>
      </c>
      <c r="D311" s="237"/>
      <c r="E311" s="240">
        <f>Dat_02!C310</f>
        <v>37.397826742304254</v>
      </c>
      <c r="F311" s="240">
        <f>Dat_02!D310</f>
        <v>28.264017142829317</v>
      </c>
      <c r="G311" s="240">
        <f>Dat_02!E310</f>
        <v>28.264017142829317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44383</v>
      </c>
      <c r="D312" s="237"/>
      <c r="E312" s="240">
        <f>Dat_02!C311</f>
        <v>40.407536394304259</v>
      </c>
      <c r="F312" s="240">
        <f>Dat_02!D311</f>
        <v>28.264017142829317</v>
      </c>
      <c r="G312" s="240">
        <f>Dat_02!E311</f>
        <v>28.264017142829317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44384</v>
      </c>
      <c r="D313" s="237"/>
      <c r="E313" s="240">
        <f>Dat_02!C312</f>
        <v>37.398910876303212</v>
      </c>
      <c r="F313" s="240">
        <f>Dat_02!D312</f>
        <v>28.264017142829317</v>
      </c>
      <c r="G313" s="240">
        <f>Dat_02!E312</f>
        <v>28.264017142829317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44385</v>
      </c>
      <c r="D314" s="237"/>
      <c r="E314" s="240">
        <f>Dat_02!C313</f>
        <v>25.159698888306941</v>
      </c>
      <c r="F314" s="240">
        <f>Dat_02!D313</f>
        <v>28.264017142829317</v>
      </c>
      <c r="G314" s="240">
        <f>Dat_02!E313</f>
        <v>25.159698888306941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44386</v>
      </c>
      <c r="D315" s="237"/>
      <c r="E315" s="240">
        <f>Dat_02!C314</f>
        <v>24.742204244305075</v>
      </c>
      <c r="F315" s="240">
        <f>Dat_02!D314</f>
        <v>28.264017142829317</v>
      </c>
      <c r="G315" s="240">
        <f>Dat_02!E314</f>
        <v>24.742204244305075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44387</v>
      </c>
      <c r="D316" s="237"/>
      <c r="E316" s="240">
        <f>Dat_02!C315</f>
        <v>24.797153528305078</v>
      </c>
      <c r="F316" s="240">
        <f>Dat_02!D315</f>
        <v>28.264017142829317</v>
      </c>
      <c r="G316" s="240">
        <f>Dat_02!E315</f>
        <v>24.797153528305078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44388</v>
      </c>
      <c r="D317" s="237"/>
      <c r="E317" s="240">
        <f>Dat_02!C316</f>
        <v>24.48336876030508</v>
      </c>
      <c r="F317" s="240">
        <f>Dat_02!D316</f>
        <v>28.264017142829317</v>
      </c>
      <c r="G317" s="240">
        <f>Dat_02!E316</f>
        <v>24.48336876030508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44389</v>
      </c>
      <c r="D318" s="237"/>
      <c r="E318" s="240">
        <f>Dat_02!C317</f>
        <v>14.488888316305077</v>
      </c>
      <c r="F318" s="240">
        <f>Dat_02!D317</f>
        <v>28.264017142829317</v>
      </c>
      <c r="G318" s="240">
        <f>Dat_02!E317</f>
        <v>14.488888316305077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44390</v>
      </c>
      <c r="D319" s="237"/>
      <c r="E319" s="240">
        <f>Dat_02!C318</f>
        <v>17.369116352305078</v>
      </c>
      <c r="F319" s="240">
        <f>Dat_02!D318</f>
        <v>28.264017142829317</v>
      </c>
      <c r="G319" s="240">
        <f>Dat_02!E318</f>
        <v>17.369116352305078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44391</v>
      </c>
      <c r="D320" s="237"/>
      <c r="E320" s="240">
        <f>Dat_02!C319</f>
        <v>3.2072423586414223</v>
      </c>
      <c r="F320" s="240">
        <f>Dat_02!D319</f>
        <v>28.264017142829317</v>
      </c>
      <c r="G320" s="240">
        <f>Dat_02!E319</f>
        <v>3.2072423586414223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44392</v>
      </c>
      <c r="D321" s="237"/>
      <c r="E321" s="240">
        <f>Dat_02!C320</f>
        <v>3.4758885986414243</v>
      </c>
      <c r="F321" s="240">
        <f>Dat_02!D320</f>
        <v>28.264017142829317</v>
      </c>
      <c r="G321" s="240">
        <f>Dat_02!E320</f>
        <v>3.4758885986414243</v>
      </c>
      <c r="I321" s="241">
        <f>Dat_02!G320</f>
        <v>28.264017142829317</v>
      </c>
      <c r="J321" s="251" t="str">
        <f>IF(Dat_02!H320=0,"",Dat_02!H320)</f>
        <v/>
      </c>
    </row>
    <row r="322" spans="2:10">
      <c r="B322" s="237"/>
      <c r="C322" s="238">
        <f>Dat_02!B321</f>
        <v>44393</v>
      </c>
      <c r="D322" s="237"/>
      <c r="E322" s="240">
        <f>Dat_02!C321</f>
        <v>3.3561334426414251</v>
      </c>
      <c r="F322" s="240">
        <f>Dat_02!D321</f>
        <v>28.264017142829317</v>
      </c>
      <c r="G322" s="240">
        <f>Dat_02!E321</f>
        <v>3.3561334426414251</v>
      </c>
      <c r="I322" s="241" t="str">
        <f>Dat_02!G321</f>
        <v/>
      </c>
      <c r="J322" s="251" t="str">
        <f>IF(Dat_02!H321=0,"",Dat_02!H321)</f>
        <v/>
      </c>
    </row>
    <row r="323" spans="2:10">
      <c r="B323" s="237"/>
      <c r="C323" s="238">
        <f>Dat_02!B322</f>
        <v>44394</v>
      </c>
      <c r="D323" s="237"/>
      <c r="E323" s="240">
        <f>Dat_02!C322</f>
        <v>4.1169874026414179</v>
      </c>
      <c r="F323" s="240">
        <f>Dat_02!D322</f>
        <v>28.264017142829317</v>
      </c>
      <c r="G323" s="240">
        <f>Dat_02!E322</f>
        <v>4.1169874026414179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44395</v>
      </c>
      <c r="D324" s="237"/>
      <c r="E324" s="240">
        <f>Dat_02!C323</f>
        <v>4.8147068986432791</v>
      </c>
      <c r="F324" s="240">
        <f>Dat_02!D323</f>
        <v>28.264017142829317</v>
      </c>
      <c r="G324" s="240">
        <f>Dat_02!E323</f>
        <v>4.8147068986432791</v>
      </c>
      <c r="I324" s="300" t="str">
        <f>Dat_02!G323</f>
        <v/>
      </c>
      <c r="J324" s="251" t="str">
        <f>IF(Dat_02!H323=0,"",Dat_02!H323)</f>
        <v/>
      </c>
    </row>
    <row r="325" spans="2:10">
      <c r="B325" s="237"/>
      <c r="C325" s="238">
        <f>Dat_02!B324</f>
        <v>44396</v>
      </c>
      <c r="D325" s="237"/>
      <c r="E325" s="240">
        <f>Dat_02!C324</f>
        <v>3.6608772426414218</v>
      </c>
      <c r="F325" s="240">
        <f>Dat_02!D324</f>
        <v>28.264017142829317</v>
      </c>
      <c r="G325" s="240">
        <f>Dat_02!E324</f>
        <v>3.6608772426414218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44397</v>
      </c>
      <c r="D326" s="237"/>
      <c r="E326" s="240">
        <f>Dat_02!C325</f>
        <v>0.66537219064328379</v>
      </c>
      <c r="F326" s="240">
        <f>Dat_02!D325</f>
        <v>28.264017142829317</v>
      </c>
      <c r="G326" s="240">
        <f>Dat_02!E325</f>
        <v>0.66537219064328379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44398</v>
      </c>
      <c r="D327" s="237"/>
      <c r="E327" s="240">
        <f>Dat_02!C326</f>
        <v>19.232001297499554</v>
      </c>
      <c r="F327" s="240">
        <f>Dat_02!D326</f>
        <v>28.264017142829317</v>
      </c>
      <c r="G327" s="240">
        <f>Dat_02!E326</f>
        <v>19.232001297499554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44399</v>
      </c>
      <c r="D328" s="237"/>
      <c r="E328" s="240">
        <f>Dat_02!C327</f>
        <v>16.465821301501418</v>
      </c>
      <c r="F328" s="240">
        <f>Dat_02!D327</f>
        <v>28.264017142829317</v>
      </c>
      <c r="G328" s="240">
        <f>Dat_02!E327</f>
        <v>16.465821301501418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44400</v>
      </c>
      <c r="D329" s="237"/>
      <c r="E329" s="240">
        <f>Dat_02!C328</f>
        <v>13.174375153499554</v>
      </c>
      <c r="F329" s="240">
        <f>Dat_02!D328</f>
        <v>28.264017142829317</v>
      </c>
      <c r="G329" s="240">
        <f>Dat_02!E328</f>
        <v>13.174375153499554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44401</v>
      </c>
      <c r="D330" s="237"/>
      <c r="E330" s="240">
        <f>Dat_02!C329</f>
        <v>11.514703877501415</v>
      </c>
      <c r="F330" s="240">
        <f>Dat_02!D329</f>
        <v>28.264017142829317</v>
      </c>
      <c r="G330" s="240">
        <f>Dat_02!E329</f>
        <v>11.514703877501415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44402</v>
      </c>
      <c r="D331" s="237"/>
      <c r="E331" s="240">
        <f>Dat_02!C330</f>
        <v>7.0097984214995526</v>
      </c>
      <c r="F331" s="240">
        <f>Dat_02!D330</f>
        <v>28.264017142829317</v>
      </c>
      <c r="G331" s="240">
        <f>Dat_02!E330</f>
        <v>7.0097984214995526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44403</v>
      </c>
      <c r="D332" s="237"/>
      <c r="E332" s="240">
        <f>Dat_02!C331</f>
        <v>10.036056933501415</v>
      </c>
      <c r="F332" s="240">
        <f>Dat_02!D331</f>
        <v>28.264017142829317</v>
      </c>
      <c r="G332" s="240">
        <f>Dat_02!E331</f>
        <v>10.036056933501415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44404</v>
      </c>
      <c r="D333" s="237"/>
      <c r="E333" s="240">
        <f>Dat_02!C332</f>
        <v>9.0594030974995547</v>
      </c>
      <c r="F333" s="240">
        <f>Dat_02!D332</f>
        <v>28.264017142829317</v>
      </c>
      <c r="G333" s="240">
        <f>Dat_02!E332</f>
        <v>9.0594030974995547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44405</v>
      </c>
      <c r="D334" s="237"/>
      <c r="E334" s="240">
        <f>Dat_02!C333</f>
        <v>6.2810819010995766</v>
      </c>
      <c r="F334" s="240">
        <f>Dat_02!D333</f>
        <v>28.264017142829317</v>
      </c>
      <c r="G334" s="240">
        <f>Dat_02!E333</f>
        <v>6.2810819010995766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44406</v>
      </c>
      <c r="D335" s="237"/>
      <c r="E335" s="240">
        <f>Dat_02!C334</f>
        <v>18.516500529097712</v>
      </c>
      <c r="F335" s="240">
        <f>Dat_02!D334</f>
        <v>28.264017142829317</v>
      </c>
      <c r="G335" s="240">
        <f>Dat_02!E334</f>
        <v>18.516500529097712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44407</v>
      </c>
      <c r="D336" s="237"/>
      <c r="E336" s="240">
        <f>Dat_02!C335</f>
        <v>18.053295577097714</v>
      </c>
      <c r="F336" s="240">
        <f>Dat_02!D335</f>
        <v>28.264017142829317</v>
      </c>
      <c r="G336" s="240">
        <f>Dat_02!E335</f>
        <v>18.053295577097714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44408</v>
      </c>
      <c r="D337" s="237"/>
      <c r="E337" s="240">
        <f>Dat_02!C336</f>
        <v>3.7941773750977155</v>
      </c>
      <c r="F337" s="240">
        <f>Dat_02!D336</f>
        <v>28.264017142829317</v>
      </c>
      <c r="G337" s="240">
        <f>Dat_02!E336</f>
        <v>3.7941773750977155</v>
      </c>
      <c r="I337" s="241">
        <f>Dat_02!G336</f>
        <v>0</v>
      </c>
      <c r="J337" s="251" t="str">
        <f>IF(Dat_02!H336=0,"",Dat_02!H336)</f>
        <v/>
      </c>
    </row>
    <row r="338" spans="2:10">
      <c r="B338" s="239"/>
      <c r="C338" s="238">
        <f>Dat_02!B337</f>
        <v>44409</v>
      </c>
      <c r="D338" s="237"/>
      <c r="E338" s="240">
        <f>Dat_02!C337</f>
        <v>4.4792705870995775</v>
      </c>
      <c r="F338" s="240">
        <f>Dat_02!D337</f>
        <v>17.06077530949155</v>
      </c>
      <c r="G338" s="240">
        <f>Dat_02!E337</f>
        <v>4.4792705870995775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220</v>
      </c>
      <c r="C339" s="238">
        <f>Dat_02!B338</f>
        <v>44410</v>
      </c>
      <c r="D339" s="239"/>
      <c r="E339" s="240">
        <f>Dat_02!C338</f>
        <v>24.123671195101444</v>
      </c>
      <c r="F339" s="240">
        <f>Dat_02!D338</f>
        <v>17.06077530949155</v>
      </c>
      <c r="G339" s="240">
        <f>Dat_02!E338</f>
        <v>17.06077530949155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44411</v>
      </c>
      <c r="D340" s="239"/>
      <c r="E340" s="240">
        <f>Dat_02!C339</f>
        <v>22.841631373095851</v>
      </c>
      <c r="F340" s="240">
        <f>Dat_02!D339</f>
        <v>17.06077530949155</v>
      </c>
      <c r="G340" s="240">
        <f>Dat_02!E339</f>
        <v>17.06077530949155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44412</v>
      </c>
      <c r="D341" s="237"/>
      <c r="E341" s="240">
        <f>Dat_02!C340</f>
        <v>20.830578048340772</v>
      </c>
      <c r="F341" s="240">
        <f>Dat_02!D340</f>
        <v>17.06077530949155</v>
      </c>
      <c r="G341" s="240">
        <f>Dat_02!E340</f>
        <v>17.06077530949155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44413</v>
      </c>
      <c r="D342" s="237"/>
      <c r="E342" s="240">
        <f>Dat_02!C341</f>
        <v>20.409677116342632</v>
      </c>
      <c r="F342" s="240">
        <f>Dat_02!D341</f>
        <v>17.06077530949155</v>
      </c>
      <c r="G342" s="240">
        <f>Dat_02!E341</f>
        <v>17.06077530949155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44414</v>
      </c>
      <c r="D343" s="237"/>
      <c r="E343" s="240">
        <f>Dat_02!C342</f>
        <v>5.42220691034077</v>
      </c>
      <c r="F343" s="240">
        <f>Dat_02!D342</f>
        <v>17.06077530949155</v>
      </c>
      <c r="G343" s="240">
        <f>Dat_02!E342</f>
        <v>5.42220691034077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44415</v>
      </c>
      <c r="D344" s="237"/>
      <c r="E344" s="240">
        <f>Dat_02!C343</f>
        <v>3.9963943463426332</v>
      </c>
      <c r="F344" s="240">
        <f>Dat_02!D343</f>
        <v>17.06077530949155</v>
      </c>
      <c r="G344" s="240">
        <f>Dat_02!E343</f>
        <v>3.9963943463426332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44416</v>
      </c>
      <c r="D345" s="237"/>
      <c r="E345" s="240">
        <f>Dat_02!C344</f>
        <v>2.8785522423407675</v>
      </c>
      <c r="F345" s="240">
        <f>Dat_02!D344</f>
        <v>17.06077530949155</v>
      </c>
      <c r="G345" s="240">
        <f>Dat_02!E344</f>
        <v>2.8785522423407675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44417</v>
      </c>
      <c r="D346" s="237"/>
      <c r="E346" s="240">
        <f>Dat_02!C345</f>
        <v>16.042872728340765</v>
      </c>
      <c r="F346" s="240">
        <f>Dat_02!D345</f>
        <v>17.06077530949155</v>
      </c>
      <c r="G346" s="240">
        <f>Dat_02!E345</f>
        <v>16.042872728340765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44418</v>
      </c>
      <c r="D347" s="237"/>
      <c r="E347" s="240">
        <f>Dat_02!C346</f>
        <v>12.266544616340775</v>
      </c>
      <c r="F347" s="240">
        <f>Dat_02!D346</f>
        <v>17.06077530949155</v>
      </c>
      <c r="G347" s="240">
        <f>Dat_02!E346</f>
        <v>12.266544616340775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44419</v>
      </c>
      <c r="D348" s="237"/>
      <c r="E348" s="240">
        <f>Dat_02!C347</f>
        <v>12.804513353729009</v>
      </c>
      <c r="F348" s="240">
        <f>Dat_02!D347</f>
        <v>17.06077530949155</v>
      </c>
      <c r="G348" s="240">
        <f>Dat_02!E347</f>
        <v>12.804513353729009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44420</v>
      </c>
      <c r="D349" s="237"/>
      <c r="E349" s="240">
        <f>Dat_02!C348</f>
        <v>11.789653197727151</v>
      </c>
      <c r="F349" s="240">
        <f>Dat_02!D348</f>
        <v>17.06077530949155</v>
      </c>
      <c r="G349" s="240">
        <f>Dat_02!E348</f>
        <v>11.789653197727151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44421</v>
      </c>
      <c r="D350" s="237"/>
      <c r="E350" s="240">
        <f>Dat_02!C349</f>
        <v>10.618266341727153</v>
      </c>
      <c r="F350" s="240">
        <f>Dat_02!D349</f>
        <v>17.06077530949155</v>
      </c>
      <c r="G350" s="240">
        <f>Dat_02!E349</f>
        <v>10.618266341727153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44422</v>
      </c>
      <c r="D351" s="237"/>
      <c r="E351" s="240">
        <f>Dat_02!C350</f>
        <v>8.2967024137271501</v>
      </c>
      <c r="F351" s="240">
        <f>Dat_02!D350</f>
        <v>17.06077530949155</v>
      </c>
      <c r="G351" s="240">
        <f>Dat_02!E350</f>
        <v>8.2967024137271501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44423</v>
      </c>
      <c r="D352" s="237"/>
      <c r="E352" s="240">
        <f>Dat_02!C351</f>
        <v>2.8305311297280857</v>
      </c>
      <c r="F352" s="240">
        <f>Dat_02!D351</f>
        <v>17.06077530949155</v>
      </c>
      <c r="G352" s="240">
        <f>Dat_02!E351</f>
        <v>2.8305311297280857</v>
      </c>
      <c r="I352" s="300">
        <f>Dat_02!G351</f>
        <v>17.06077530949155</v>
      </c>
      <c r="J352" s="251" t="str">
        <f>IF(Dat_02!H351=0,"",Dat_02!H351)</f>
        <v/>
      </c>
    </row>
    <row r="353" spans="2:10">
      <c r="B353" s="237"/>
      <c r="C353" s="238">
        <f>Dat_02!B352</f>
        <v>44424</v>
      </c>
      <c r="D353" s="237"/>
      <c r="E353" s="240">
        <f>Dat_02!C352</f>
        <v>2.5193534617262192</v>
      </c>
      <c r="F353" s="240">
        <f>Dat_02!D352</f>
        <v>17.06077530949155</v>
      </c>
      <c r="G353" s="240">
        <f>Dat_02!E352</f>
        <v>2.5193534617262192</v>
      </c>
      <c r="I353" s="241" t="str">
        <f>Dat_02!G352</f>
        <v/>
      </c>
      <c r="J353" s="251" t="str">
        <f>IF(Dat_02!H352=0,"",Dat_02!H352)</f>
        <v/>
      </c>
    </row>
    <row r="354" spans="2:10">
      <c r="B354" s="237"/>
      <c r="C354" s="238">
        <f>Dat_02!B353</f>
        <v>44425</v>
      </c>
      <c r="D354" s="237"/>
      <c r="E354" s="240">
        <f>Dat_02!C353</f>
        <v>1.6410471217280864</v>
      </c>
      <c r="F354" s="240">
        <f>Dat_02!D353</f>
        <v>17.06077530949155</v>
      </c>
      <c r="G354" s="240">
        <f>Dat_02!E353</f>
        <v>1.6410471217280864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44426</v>
      </c>
      <c r="D355" s="237"/>
      <c r="E355" s="240">
        <f>Dat_02!C354</f>
        <v>1.1195935109318815</v>
      </c>
      <c r="F355" s="240">
        <f>Dat_02!D354</f>
        <v>17.06077530949155</v>
      </c>
      <c r="G355" s="240">
        <f>Dat_02!E354</f>
        <v>1.1195935109318815</v>
      </c>
      <c r="I355" s="241" t="str">
        <f>Dat_02!G354</f>
        <v/>
      </c>
      <c r="J355" s="251" t="str">
        <f>IF(Dat_02!H354=0,"",Dat_02!H354)</f>
        <v/>
      </c>
    </row>
    <row r="356" spans="2:10">
      <c r="B356" s="237"/>
      <c r="C356" s="238">
        <f>Dat_02!B355</f>
        <v>44427</v>
      </c>
      <c r="D356" s="237"/>
      <c r="E356" s="240">
        <f>Dat_02!C355</f>
        <v>12.308320820931884</v>
      </c>
      <c r="F356" s="240">
        <f>Dat_02!D355</f>
        <v>17.06077530949155</v>
      </c>
      <c r="G356" s="240">
        <f>Dat_02!E355</f>
        <v>12.308320820931884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44428</v>
      </c>
      <c r="D357" s="237"/>
      <c r="E357" s="240">
        <f>Dat_02!C356</f>
        <v>10.066089832931882</v>
      </c>
      <c r="F357" s="240">
        <f>Dat_02!D356</f>
        <v>17.06077530949155</v>
      </c>
      <c r="G357" s="240">
        <f>Dat_02!E356</f>
        <v>10.066089832931882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44429</v>
      </c>
      <c r="D358" s="237"/>
      <c r="E358" s="240">
        <f>Dat_02!C357</f>
        <v>3.8468667969328161</v>
      </c>
      <c r="F358" s="240">
        <f>Dat_02!D357</f>
        <v>17.06077530949155</v>
      </c>
      <c r="G358" s="240">
        <f>Dat_02!E357</f>
        <v>3.8468667969328161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44430</v>
      </c>
      <c r="D359" s="237"/>
      <c r="E359" s="240">
        <f>Dat_02!C358</f>
        <v>0.508441244930953</v>
      </c>
      <c r="F359" s="240">
        <f>Dat_02!D358</f>
        <v>17.06077530949155</v>
      </c>
      <c r="G359" s="240">
        <f>Dat_02!E358</f>
        <v>0.508441244930953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44431</v>
      </c>
      <c r="D360" s="237"/>
      <c r="E360" s="240">
        <f>Dat_02!C359</f>
        <v>1.0553290569318852</v>
      </c>
      <c r="F360" s="240">
        <f>Dat_02!D359</f>
        <v>17.06077530949155</v>
      </c>
      <c r="G360" s="240">
        <f>Dat_02!E359</f>
        <v>1.0553290569318852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44432</v>
      </c>
      <c r="D361" s="237"/>
      <c r="E361" s="240">
        <f>Dat_02!C360</f>
        <v>0.95153298293281119</v>
      </c>
      <c r="F361" s="240">
        <f>Dat_02!D360</f>
        <v>17.06077530949155</v>
      </c>
      <c r="G361" s="240">
        <f>Dat_02!E360</f>
        <v>0.95153298293281119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44433</v>
      </c>
      <c r="D362" s="237"/>
      <c r="E362" s="240">
        <f>Dat_02!C361</f>
        <v>7.148299117668139</v>
      </c>
      <c r="F362" s="240">
        <f>Dat_02!D361</f>
        <v>17.06077530949155</v>
      </c>
      <c r="G362" s="240">
        <f>Dat_02!E361</f>
        <v>7.148299117668139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44434</v>
      </c>
      <c r="D363" s="237"/>
      <c r="E363" s="240">
        <f>Dat_02!C362</f>
        <v>9.1900503616690692</v>
      </c>
      <c r="F363" s="240">
        <f>Dat_02!D362</f>
        <v>17.06077530949155</v>
      </c>
      <c r="G363" s="240">
        <f>Dat_02!E362</f>
        <v>9.1900503616690692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44435</v>
      </c>
      <c r="D364" s="237"/>
      <c r="E364" s="240">
        <f>Dat_02!C363</f>
        <v>4.0983882336709359</v>
      </c>
      <c r="F364" s="240">
        <f>Dat_02!D363</f>
        <v>17.06077530949155</v>
      </c>
      <c r="G364" s="240">
        <f>Dat_02!E363</f>
        <v>4.0983882336709359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44436</v>
      </c>
      <c r="D365" s="237"/>
      <c r="E365" s="240">
        <f>Dat_02!C364</f>
        <v>0.76033149366814179</v>
      </c>
      <c r="F365" s="240">
        <f>Dat_02!D364</f>
        <v>17.06077530949155</v>
      </c>
      <c r="G365" s="240">
        <f>Dat_02!E364</f>
        <v>0.76033149366814179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44437</v>
      </c>
      <c r="D366" s="237"/>
      <c r="E366" s="240">
        <f>Dat_02!C365</f>
        <v>1.0641274536700003</v>
      </c>
      <c r="F366" s="240">
        <f>Dat_02!D365</f>
        <v>17.06077530949155</v>
      </c>
      <c r="G366" s="240">
        <f>Dat_02!E365</f>
        <v>1.0641274536700003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44438</v>
      </c>
      <c r="D367" s="237"/>
      <c r="E367" s="240">
        <f>Dat_02!C366</f>
        <v>10.115708249667207</v>
      </c>
      <c r="F367" s="240">
        <f>Dat_02!D366</f>
        <v>17.06077530949155</v>
      </c>
      <c r="G367" s="240">
        <f>Dat_02!E366</f>
        <v>10.115708249667207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44439</v>
      </c>
      <c r="D368" s="237"/>
      <c r="E368" s="240">
        <f>Dat_02!C367</f>
        <v>13.842601205670929</v>
      </c>
      <c r="F368" s="240">
        <f>Dat_02!D367</f>
        <v>17.06077530949155</v>
      </c>
      <c r="G368" s="240">
        <f>Dat_02!E367</f>
        <v>13.842601205670929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222</v>
      </c>
      <c r="C369" s="238">
        <f>Dat_02!B368</f>
        <v>44440</v>
      </c>
      <c r="D369" s="239"/>
      <c r="E369" s="240">
        <f>Dat_02!C368</f>
        <v>24.170240552924064</v>
      </c>
      <c r="F369" s="240">
        <f>Dat_02!D368</f>
        <v>21.025860806984557</v>
      </c>
      <c r="G369" s="240">
        <f>Dat_02!E368</f>
        <v>21.025860806984557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44441</v>
      </c>
      <c r="D370" s="239"/>
      <c r="E370" s="240">
        <f>Dat_02!C369</f>
        <v>23.866691540925931</v>
      </c>
      <c r="F370" s="240">
        <f>Dat_02!D369</f>
        <v>21.025860806984557</v>
      </c>
      <c r="G370" s="240">
        <f>Dat_02!E369</f>
        <v>21.025860806984557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44442</v>
      </c>
      <c r="D371" s="237"/>
      <c r="E371" s="240">
        <f>Dat_02!C370</f>
        <v>22.763549948923131</v>
      </c>
      <c r="F371" s="240">
        <f>Dat_02!D370</f>
        <v>21.025860806984557</v>
      </c>
      <c r="G371" s="240">
        <f>Dat_02!E370</f>
        <v>21.025860806984557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44443</v>
      </c>
      <c r="D372" s="237"/>
      <c r="E372" s="240">
        <f>Dat_02!C371</f>
        <v>16.72784531692686</v>
      </c>
      <c r="F372" s="240">
        <f>Dat_02!D371</f>
        <v>21.025860806984557</v>
      </c>
      <c r="G372" s="240">
        <f>Dat_02!E371</f>
        <v>16.72784531692686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44444</v>
      </c>
      <c r="D373" s="237"/>
      <c r="E373" s="240">
        <f>Dat_02!C372</f>
        <v>10.187934292924066</v>
      </c>
      <c r="F373" s="240">
        <f>Dat_02!D372</f>
        <v>21.025860806984557</v>
      </c>
      <c r="G373" s="240">
        <f>Dat_02!E372</f>
        <v>10.187934292924066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44445</v>
      </c>
      <c r="D374" s="237"/>
      <c r="E374" s="240">
        <f>Dat_02!C373</f>
        <v>15.783412408925928</v>
      </c>
      <c r="F374" s="240">
        <f>Dat_02!D373</f>
        <v>21.025860806984557</v>
      </c>
      <c r="G374" s="240">
        <f>Dat_02!E373</f>
        <v>15.783412408925928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44446</v>
      </c>
      <c r="D375" s="237"/>
      <c r="E375" s="240">
        <f>Dat_02!C374</f>
        <v>6.2602158249249991</v>
      </c>
      <c r="F375" s="240">
        <f>Dat_02!D374</f>
        <v>21.025860806984557</v>
      </c>
      <c r="G375" s="240">
        <f>Dat_02!E374</f>
        <v>6.2602158249249991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44447</v>
      </c>
      <c r="D376" s="237"/>
      <c r="E376" s="240">
        <f>Dat_02!C375</f>
        <v>20.079615491951159</v>
      </c>
      <c r="F376" s="240">
        <f>Dat_02!D375</f>
        <v>21.025860806984557</v>
      </c>
      <c r="G376" s="240">
        <f>Dat_02!E375</f>
        <v>20.079615491951159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44448</v>
      </c>
      <c r="D377" s="237"/>
      <c r="E377" s="240">
        <f>Dat_02!C376</f>
        <v>20.903400847952092</v>
      </c>
      <c r="F377" s="240">
        <f>Dat_02!D376</f>
        <v>21.025860806984557</v>
      </c>
      <c r="G377" s="240">
        <f>Dat_02!E376</f>
        <v>20.903400847952092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44449</v>
      </c>
      <c r="D378" s="237"/>
      <c r="E378" s="240">
        <f>Dat_02!C377</f>
        <v>20.187138247952092</v>
      </c>
      <c r="F378" s="240">
        <f>Dat_02!D377</f>
        <v>21.025860806984557</v>
      </c>
      <c r="G378" s="240">
        <f>Dat_02!E377</f>
        <v>20.187138247952092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44450</v>
      </c>
      <c r="D379" s="237"/>
      <c r="E379" s="240">
        <f>Dat_02!C378</f>
        <v>15.096113991953025</v>
      </c>
      <c r="F379" s="240">
        <f>Dat_02!D378</f>
        <v>21.025860806984557</v>
      </c>
      <c r="G379" s="240">
        <f>Dat_02!E378</f>
        <v>15.096113991953025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44451</v>
      </c>
      <c r="D380" s="237"/>
      <c r="E380" s="240">
        <f>Dat_02!C379</f>
        <v>20.022920527952092</v>
      </c>
      <c r="F380" s="240">
        <f>Dat_02!D379</f>
        <v>21.025860806984557</v>
      </c>
      <c r="G380" s="240">
        <f>Dat_02!E379</f>
        <v>20.022920527952092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44452</v>
      </c>
      <c r="D381" s="237"/>
      <c r="E381" s="240">
        <f>Dat_02!C380</f>
        <v>12.783147795953024</v>
      </c>
      <c r="F381" s="240">
        <f>Dat_02!D380</f>
        <v>21.025860806984557</v>
      </c>
      <c r="G381" s="240">
        <f>Dat_02!E380</f>
        <v>12.783147795953024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44453</v>
      </c>
      <c r="D382" s="237"/>
      <c r="E382" s="240">
        <f>Dat_02!C381</f>
        <v>25.934628331951156</v>
      </c>
      <c r="F382" s="240">
        <f>Dat_02!D381</f>
        <v>21.025860806984557</v>
      </c>
      <c r="G382" s="240">
        <f>Dat_02!E381</f>
        <v>21.025860806984557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44454</v>
      </c>
      <c r="D383" s="237"/>
      <c r="E383" s="240">
        <f>Dat_02!C382</f>
        <v>38.27043780787313</v>
      </c>
      <c r="F383" s="240">
        <f>Dat_02!D382</f>
        <v>21.025860806984557</v>
      </c>
      <c r="G383" s="240">
        <f>Dat_02!E382</f>
        <v>21.025860806984557</v>
      </c>
      <c r="I383" s="300">
        <f>Dat_02!G382</f>
        <v>21.025860806984557</v>
      </c>
      <c r="J383" s="251" t="str">
        <f>IF(Dat_02!H382=0,"",Dat_02!H382)</f>
        <v/>
      </c>
    </row>
    <row r="384" spans="2:10">
      <c r="B384" s="237"/>
      <c r="C384" s="238">
        <f>Dat_02!B383</f>
        <v>44455</v>
      </c>
      <c r="D384" s="237"/>
      <c r="E384" s="240">
        <f>Dat_02!C383</f>
        <v>21.438021855873135</v>
      </c>
      <c r="F384" s="240">
        <f>Dat_02!D383</f>
        <v>21.025860806984557</v>
      </c>
      <c r="G384" s="240">
        <f>Dat_02!E383</f>
        <v>21.025860806984557</v>
      </c>
      <c r="I384" s="241" t="str">
        <f>Dat_02!G383</f>
        <v/>
      </c>
      <c r="J384" s="251" t="str">
        <f>IF(Dat_02!H383=0,"",Dat_02!H383)</f>
        <v/>
      </c>
    </row>
    <row r="385" spans="2:10">
      <c r="B385" s="237"/>
      <c r="C385" s="238">
        <f>Dat_02!B384</f>
        <v>44456</v>
      </c>
      <c r="D385" s="237"/>
      <c r="E385" s="240">
        <f>Dat_02!C384</f>
        <v>16.343130441872198</v>
      </c>
      <c r="F385" s="240">
        <f>Dat_02!D384</f>
        <v>21.025860806984557</v>
      </c>
      <c r="G385" s="240">
        <f>Dat_02!E384</f>
        <v>16.343130441872198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44457</v>
      </c>
      <c r="D386" s="237"/>
      <c r="E386" s="240">
        <f>Dat_02!C385</f>
        <v>11.763615425872201</v>
      </c>
      <c r="F386" s="240">
        <f>Dat_02!D385</f>
        <v>21.025860806984557</v>
      </c>
      <c r="G386" s="240">
        <f>Dat_02!E385</f>
        <v>11.763615425872201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44458</v>
      </c>
      <c r="D387" s="237"/>
      <c r="E387" s="240">
        <f>Dat_02!C386</f>
        <v>10.983895529874061</v>
      </c>
      <c r="F387" s="240">
        <f>Dat_02!D386</f>
        <v>21.025860806984557</v>
      </c>
      <c r="G387" s="240">
        <f>Dat_02!E386</f>
        <v>10.983895529874061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44459</v>
      </c>
      <c r="D388" s="237"/>
      <c r="E388" s="240">
        <f>Dat_02!C387</f>
        <v>12.360109627872204</v>
      </c>
      <c r="F388" s="240">
        <f>Dat_02!D387</f>
        <v>21.025860806984557</v>
      </c>
      <c r="G388" s="240">
        <f>Dat_02!E387</f>
        <v>12.360109627872204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44460</v>
      </c>
      <c r="D389" s="237"/>
      <c r="E389" s="240">
        <f>Dat_02!C388</f>
        <v>11.8400754218722</v>
      </c>
      <c r="F389" s="240">
        <f>Dat_02!D388</f>
        <v>21.025860806984557</v>
      </c>
      <c r="G389" s="240">
        <f>Dat_02!E388</f>
        <v>11.8400754218722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44461</v>
      </c>
      <c r="D390" s="237"/>
      <c r="E390" s="240">
        <f>Dat_02!C389</f>
        <v>24.506608547283641</v>
      </c>
      <c r="F390" s="240">
        <f>Dat_02!D389</f>
        <v>21.025860806984557</v>
      </c>
      <c r="G390" s="240">
        <f>Dat_02!E389</f>
        <v>21.025860806984557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44462</v>
      </c>
      <c r="D391" s="237"/>
      <c r="E391" s="240">
        <f>Dat_02!C390</f>
        <v>18.724293949279911</v>
      </c>
      <c r="F391" s="240">
        <f>Dat_02!D390</f>
        <v>21.025860806984557</v>
      </c>
      <c r="G391" s="240">
        <f>Dat_02!E390</f>
        <v>18.724293949279911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44463</v>
      </c>
      <c r="D392" s="237"/>
      <c r="E392" s="240">
        <f>Dat_02!C391</f>
        <v>28.589213827281775</v>
      </c>
      <c r="F392" s="240">
        <f>Dat_02!D391</f>
        <v>21.025860806984557</v>
      </c>
      <c r="G392" s="240">
        <f>Dat_02!E391</f>
        <v>21.025860806984557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44464</v>
      </c>
      <c r="D393" s="237"/>
      <c r="E393" s="240">
        <f>Dat_02!C392</f>
        <v>21.712727683282704</v>
      </c>
      <c r="F393" s="240">
        <f>Dat_02!D392</f>
        <v>21.025860806984557</v>
      </c>
      <c r="G393" s="240">
        <f>Dat_02!E392</f>
        <v>21.025860806984557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44465</v>
      </c>
      <c r="D394" s="237"/>
      <c r="E394" s="240">
        <f>Dat_02!C393</f>
        <v>15.441186585280844</v>
      </c>
      <c r="F394" s="240">
        <f>Dat_02!D393</f>
        <v>21.025860806984557</v>
      </c>
      <c r="G394" s="240">
        <f>Dat_02!E393</f>
        <v>15.441186585280844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44466</v>
      </c>
      <c r="D395" s="237"/>
      <c r="E395" s="240">
        <f>Dat_02!C394</f>
        <v>22.051682435282711</v>
      </c>
      <c r="F395" s="240">
        <f>Dat_02!D394</f>
        <v>21.025860806984557</v>
      </c>
      <c r="G395" s="240">
        <f>Dat_02!E394</f>
        <v>21.025860806984557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44467</v>
      </c>
      <c r="D396" s="237"/>
      <c r="E396" s="240">
        <f>Dat_02!C395</f>
        <v>31.213526271280848</v>
      </c>
      <c r="F396" s="240">
        <f>Dat_02!D395</f>
        <v>21.025860806984557</v>
      </c>
      <c r="G396" s="240">
        <f>Dat_02!E395</f>
        <v>21.025860806984557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44468</v>
      </c>
      <c r="D397" s="237"/>
      <c r="E397" s="240">
        <f>Dat_02!C396</f>
        <v>21.101285351840996</v>
      </c>
      <c r="F397" s="240">
        <f>Dat_02!D396</f>
        <v>21.025860806984557</v>
      </c>
      <c r="G397" s="240">
        <f>Dat_02!E396</f>
        <v>21.025860806984557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44469</v>
      </c>
      <c r="D398" s="237"/>
      <c r="E398" s="240">
        <f>Dat_02!C397</f>
        <v>20.678910095840067</v>
      </c>
      <c r="F398" s="240">
        <f>Dat_02!D397</f>
        <v>21.025860806984557</v>
      </c>
      <c r="G398" s="240">
        <f>Dat_02!E397</f>
        <v>20.678910095840067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44470</v>
      </c>
      <c r="D399" s="237"/>
      <c r="E399" s="240">
        <f>Dat_02!C398</f>
        <v>22.635637483839872</v>
      </c>
      <c r="F399" s="240">
        <f>Dat_02!D398</f>
        <v>42.875582266741226</v>
      </c>
      <c r="G399" s="240">
        <f>Dat_02!E398</f>
        <v>22.635637483839872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246</v>
      </c>
    </row>
    <row r="2" spans="1:2">
      <c r="A2" t="s">
        <v>238</v>
      </c>
    </row>
    <row r="3" spans="1:2">
      <c r="A3" t="s">
        <v>230</v>
      </c>
    </row>
    <row r="4" spans="1:2">
      <c r="A4" t="s">
        <v>240</v>
      </c>
    </row>
    <row r="5" spans="1:2">
      <c r="A5" t="s">
        <v>242</v>
      </c>
    </row>
    <row r="6" spans="1:2">
      <c r="A6" t="s">
        <v>241</v>
      </c>
    </row>
    <row r="7" spans="1:2">
      <c r="A7" t="s">
        <v>239</v>
      </c>
    </row>
    <row r="8" spans="1:2">
      <c r="A8" t="s">
        <v>234</v>
      </c>
    </row>
    <row r="9" spans="1:2">
      <c r="A9" t="s">
        <v>247</v>
      </c>
    </row>
    <row r="10" spans="1:2">
      <c r="A10" t="s">
        <v>243</v>
      </c>
    </row>
    <row r="11" spans="1:2">
      <c r="A11" t="s">
        <v>208</v>
      </c>
    </row>
    <row r="12" spans="1:2">
      <c r="A12" t="s">
        <v>236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zoomScale="90" zoomScaleNormal="90" workbookViewId="0">
      <selection activeCell="J60" sqref="J60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4" t="s">
        <v>36</v>
      </c>
      <c r="G3" s="354"/>
      <c r="H3" s="354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20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48">
        <f t="shared" ref="I5:I52" si="0">D5/E5*100</f>
        <v>34.266770523211392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321"/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48">
        <f t="shared" si="0"/>
        <v>44.241559496670391</v>
      </c>
      <c r="J6" s="119"/>
      <c r="P6" s="289"/>
      <c r="Q6" s="289"/>
      <c r="R6" s="289"/>
      <c r="S6" s="289"/>
      <c r="T6" s="289"/>
    </row>
    <row r="7" spans="2:22">
      <c r="B7" s="321"/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48">
        <f t="shared" si="0"/>
        <v>44.078424243816954</v>
      </c>
      <c r="J7" s="119"/>
      <c r="P7" s="289"/>
      <c r="Q7" s="289"/>
      <c r="R7" s="289"/>
      <c r="S7" s="289"/>
      <c r="T7" s="289"/>
    </row>
    <row r="8" spans="2:22">
      <c r="B8" s="321"/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48">
        <f t="shared" si="0"/>
        <v>43.167805059113221</v>
      </c>
      <c r="J8" s="119"/>
      <c r="P8" s="289"/>
      <c r="Q8" s="289"/>
      <c r="R8" s="289"/>
      <c r="S8" s="289"/>
      <c r="T8" s="289"/>
    </row>
    <row r="9" spans="2:22">
      <c r="B9" s="321"/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48">
        <f t="shared" si="0"/>
        <v>43.523138146358377</v>
      </c>
      <c r="J9" s="119"/>
      <c r="P9" s="289"/>
      <c r="Q9" s="289"/>
      <c r="R9" s="289"/>
      <c r="S9" s="289"/>
      <c r="T9" s="289"/>
    </row>
    <row r="10" spans="2:22">
      <c r="B10" s="321"/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48">
        <f t="shared" si="0"/>
        <v>40.482495384767923</v>
      </c>
      <c r="J10" s="119"/>
      <c r="P10" s="289"/>
      <c r="Q10" s="289"/>
      <c r="R10" s="289"/>
      <c r="S10" s="289"/>
      <c r="T10" s="289"/>
    </row>
    <row r="11" spans="2:22">
      <c r="B11" s="321"/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48">
        <f t="shared" si="0"/>
        <v>37.05218568857569</v>
      </c>
      <c r="J11" s="119"/>
      <c r="P11" s="289"/>
      <c r="Q11" s="289"/>
      <c r="R11" s="289"/>
      <c r="S11" s="289"/>
      <c r="T11" s="289"/>
    </row>
    <row r="12" spans="2:22">
      <c r="B12" s="321"/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48">
        <f t="shared" si="0"/>
        <v>32.561662095263308</v>
      </c>
      <c r="J12" s="119"/>
      <c r="P12" s="289"/>
      <c r="Q12" s="289"/>
      <c r="R12" s="289"/>
      <c r="S12" s="289"/>
      <c r="T12" s="289"/>
    </row>
    <row r="13" spans="2:22">
      <c r="B13" s="321"/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48">
        <f t="shared" si="0"/>
        <v>27.702503847352833</v>
      </c>
      <c r="J13" s="119"/>
      <c r="P13" s="289"/>
      <c r="Q13" s="289"/>
      <c r="R13" s="289"/>
      <c r="S13" s="289"/>
      <c r="T13" s="289"/>
    </row>
    <row r="14" spans="2:22">
      <c r="B14" s="321"/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48">
        <f t="shared" si="0"/>
        <v>25.396591231094106</v>
      </c>
      <c r="J14" s="119"/>
      <c r="P14" s="289"/>
      <c r="Q14" s="289"/>
      <c r="R14" s="289"/>
      <c r="S14" s="289"/>
      <c r="T14" s="289"/>
    </row>
    <row r="15" spans="2:22">
      <c r="B15" s="321"/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48">
        <f t="shared" si="0"/>
        <v>23.755816454689381</v>
      </c>
      <c r="J15" s="119"/>
      <c r="P15" s="289"/>
      <c r="Q15" s="289"/>
      <c r="R15" s="289"/>
      <c r="S15" s="289"/>
      <c r="T15" s="289"/>
    </row>
    <row r="16" spans="2:22">
      <c r="B16" s="321"/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48">
        <f t="shared" si="0"/>
        <v>26.342611299740948</v>
      </c>
      <c r="J16" s="119"/>
      <c r="P16" s="289"/>
      <c r="Q16" s="289"/>
      <c r="R16" s="289"/>
      <c r="S16" s="289"/>
      <c r="T16" s="289"/>
    </row>
    <row r="17" spans="2:20">
      <c r="B17" s="320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48">
        <f t="shared" si="0"/>
        <v>29.11965349577094</v>
      </c>
      <c r="J17" s="119"/>
      <c r="P17" s="289"/>
      <c r="Q17" s="289"/>
      <c r="R17" s="289"/>
      <c r="S17" s="289"/>
      <c r="T17" s="289"/>
    </row>
    <row r="18" spans="2:20">
      <c r="B18" s="321"/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48">
        <f t="shared" si="0"/>
        <v>30.296627556340678</v>
      </c>
      <c r="J18" s="119"/>
      <c r="P18" s="289"/>
      <c r="Q18" s="289"/>
      <c r="R18" s="289"/>
      <c r="S18" s="289"/>
      <c r="T18" s="289"/>
    </row>
    <row r="19" spans="2:20">
      <c r="B19" s="321"/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48">
        <f t="shared" si="0"/>
        <v>52.321900930253207</v>
      </c>
      <c r="J19" s="119"/>
      <c r="P19" s="289"/>
      <c r="Q19" s="289"/>
      <c r="R19" s="289"/>
      <c r="S19" s="289"/>
      <c r="T19" s="289"/>
    </row>
    <row r="20" spans="2:20">
      <c r="B20" s="321"/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48">
        <f t="shared" si="0"/>
        <v>64.178887075143905</v>
      </c>
      <c r="J20" s="119"/>
      <c r="P20" s="289"/>
      <c r="Q20" s="289"/>
      <c r="R20" s="289"/>
      <c r="S20" s="289"/>
      <c r="T20" s="289"/>
    </row>
    <row r="21" spans="2:20">
      <c r="B21" s="321"/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48">
        <f t="shared" si="0"/>
        <v>65.248014461698844</v>
      </c>
      <c r="J21" s="119"/>
      <c r="P21" s="289"/>
      <c r="Q21" s="289"/>
      <c r="R21" s="289"/>
      <c r="S21" s="289"/>
      <c r="T21" s="289"/>
    </row>
    <row r="22" spans="2:20">
      <c r="B22" s="321"/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48">
        <f t="shared" si="0"/>
        <v>64.064404856362884</v>
      </c>
      <c r="J22" s="119"/>
      <c r="P22" s="289"/>
      <c r="Q22" s="289"/>
      <c r="R22" s="289"/>
      <c r="S22" s="289"/>
      <c r="T22" s="289"/>
    </row>
    <row r="23" spans="2:20">
      <c r="B23" s="321"/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48">
        <f t="shared" si="0"/>
        <v>55.272756847246953</v>
      </c>
      <c r="J23" s="119"/>
      <c r="P23" s="289"/>
      <c r="Q23" s="289"/>
      <c r="R23" s="289"/>
      <c r="S23" s="289"/>
      <c r="T23" s="289"/>
    </row>
    <row r="24" spans="2:20">
      <c r="B24" s="321"/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48">
        <f t="shared" si="0"/>
        <v>50.24833230337039</v>
      </c>
      <c r="J24" s="119"/>
      <c r="P24" s="289"/>
      <c r="Q24" s="289"/>
      <c r="R24" s="289"/>
      <c r="S24" s="289"/>
      <c r="T24" s="289"/>
    </row>
    <row r="25" spans="2:20">
      <c r="B25" s="321"/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48">
        <f t="shared" si="0"/>
        <v>44.195205491877687</v>
      </c>
      <c r="J25" s="119"/>
      <c r="P25" s="289"/>
      <c r="Q25" s="289"/>
      <c r="R25" s="289"/>
      <c r="S25" s="289"/>
      <c r="T25" s="289"/>
    </row>
    <row r="26" spans="2:20">
      <c r="B26" s="321"/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48">
        <f t="shared" si="0"/>
        <v>41.151199282396519</v>
      </c>
      <c r="J26" s="119"/>
      <c r="P26" s="289"/>
      <c r="Q26" s="289"/>
      <c r="R26" s="289"/>
      <c r="S26" s="289"/>
      <c r="T26" s="289"/>
    </row>
    <row r="27" spans="2:20">
      <c r="B27" s="321"/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48">
        <f t="shared" si="0"/>
        <v>43.202874896349378</v>
      </c>
      <c r="J27" s="119"/>
      <c r="P27" s="289"/>
      <c r="Q27" s="289"/>
      <c r="R27" s="289"/>
      <c r="S27" s="289"/>
      <c r="T27" s="289"/>
    </row>
    <row r="28" spans="2:20">
      <c r="B28" s="321"/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48">
        <f t="shared" si="0"/>
        <v>44.083442278851507</v>
      </c>
      <c r="J28" s="119"/>
      <c r="P28" s="289"/>
      <c r="Q28" s="289"/>
      <c r="R28" s="289"/>
      <c r="S28" s="289"/>
      <c r="T28" s="289"/>
    </row>
    <row r="29" spans="2:20">
      <c r="B29" s="320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48">
        <f t="shared" si="0"/>
        <v>43.538300722274641</v>
      </c>
      <c r="J29" s="119"/>
      <c r="P29" s="289"/>
      <c r="Q29" s="289"/>
      <c r="R29" s="289"/>
      <c r="S29" s="289"/>
      <c r="T29" s="289"/>
    </row>
    <row r="30" spans="2:20">
      <c r="B30" s="321"/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48">
        <f t="shared" si="0"/>
        <v>47.828359907801087</v>
      </c>
      <c r="J30" s="119"/>
      <c r="P30" s="289"/>
      <c r="Q30" s="289"/>
      <c r="R30" s="289"/>
      <c r="S30" s="289"/>
      <c r="T30" s="289"/>
    </row>
    <row r="31" spans="2:20">
      <c r="B31" s="321"/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48">
        <f t="shared" si="0"/>
        <v>48.506383217619621</v>
      </c>
      <c r="J31" s="119"/>
      <c r="P31" s="289"/>
      <c r="Q31" s="289"/>
      <c r="R31" s="289"/>
      <c r="S31" s="289"/>
      <c r="T31" s="289"/>
    </row>
    <row r="32" spans="2:20">
      <c r="B32" s="321"/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48">
        <f t="shared" si="0"/>
        <v>51.467426212881392</v>
      </c>
      <c r="J32" s="119"/>
      <c r="P32" s="289"/>
      <c r="Q32" s="289"/>
      <c r="R32" s="289"/>
      <c r="S32" s="289"/>
      <c r="T32" s="289"/>
    </row>
    <row r="33" spans="2:20">
      <c r="B33" s="321"/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48">
        <f t="shared" si="0"/>
        <v>53.306551719571146</v>
      </c>
      <c r="J33" s="119"/>
      <c r="P33" s="289"/>
      <c r="Q33" s="289"/>
      <c r="R33" s="289"/>
      <c r="S33" s="289"/>
      <c r="T33" s="289"/>
    </row>
    <row r="34" spans="2:20">
      <c r="B34" s="321"/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48">
        <f t="shared" si="0"/>
        <v>50.315777986750398</v>
      </c>
      <c r="J34" s="119"/>
      <c r="P34" s="289"/>
      <c r="Q34" s="289"/>
      <c r="R34" s="289"/>
      <c r="S34" s="289"/>
      <c r="T34" s="289"/>
    </row>
    <row r="35" spans="2:20">
      <c r="B35" s="321"/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48">
        <f t="shared" si="0"/>
        <v>44.022028578778936</v>
      </c>
      <c r="J35" s="119"/>
      <c r="P35" s="289"/>
      <c r="Q35" s="289"/>
      <c r="R35" s="289"/>
      <c r="S35" s="289"/>
      <c r="T35" s="289"/>
    </row>
    <row r="36" spans="2:20">
      <c r="B36" s="321"/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48">
        <f t="shared" si="0"/>
        <v>39.182452615476933</v>
      </c>
      <c r="J36" s="119"/>
      <c r="P36" s="289"/>
      <c r="Q36" s="289"/>
      <c r="R36" s="289"/>
      <c r="S36" s="289"/>
      <c r="T36" s="289"/>
    </row>
    <row r="37" spans="2:20">
      <c r="B37" s="321"/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48">
        <f t="shared" si="0"/>
        <v>34.881367865337658</v>
      </c>
      <c r="J37" s="119"/>
      <c r="P37" s="289"/>
      <c r="Q37" s="289"/>
      <c r="R37" s="289"/>
      <c r="S37" s="289"/>
      <c r="T37" s="289"/>
    </row>
    <row r="38" spans="2:20">
      <c r="B38" s="321"/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48">
        <f t="shared" si="0"/>
        <v>34.29721911637845</v>
      </c>
      <c r="J38" s="119"/>
      <c r="P38" s="289"/>
      <c r="Q38" s="289"/>
      <c r="R38" s="289"/>
      <c r="S38" s="289"/>
      <c r="T38" s="289"/>
    </row>
    <row r="39" spans="2:20">
      <c r="B39" s="321"/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48">
        <f t="shared" si="0"/>
        <v>42.119738625367766</v>
      </c>
      <c r="J39" s="119"/>
      <c r="P39" s="289"/>
      <c r="Q39" s="289"/>
      <c r="R39" s="289"/>
      <c r="S39" s="289"/>
      <c r="T39" s="289"/>
    </row>
    <row r="40" spans="2:20">
      <c r="B40" s="321"/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48">
        <f t="shared" si="0"/>
        <v>50.986604410821059</v>
      </c>
      <c r="J40" s="119"/>
      <c r="P40" s="289"/>
      <c r="Q40" s="289"/>
      <c r="R40" s="289"/>
      <c r="S40" s="289"/>
      <c r="T40" s="289"/>
    </row>
    <row r="41" spans="2:20">
      <c r="B41" s="320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48">
        <f t="shared" si="0"/>
        <v>55.042640853161586</v>
      </c>
      <c r="J41" s="119"/>
      <c r="P41" s="289"/>
      <c r="Q41" s="289"/>
      <c r="R41" s="289"/>
      <c r="S41" s="289"/>
      <c r="T41" s="289"/>
    </row>
    <row r="42" spans="2:20">
      <c r="B42" s="292"/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48">
        <f t="shared" si="0"/>
        <v>55.52746896161257</v>
      </c>
      <c r="J42" s="119"/>
      <c r="P42" s="289"/>
      <c r="Q42" s="289"/>
      <c r="R42" s="289"/>
      <c r="S42" s="289"/>
      <c r="T42" s="289"/>
    </row>
    <row r="43" spans="2:20">
      <c r="B43" s="292"/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48">
        <f t="shared" si="0"/>
        <v>58.919090912210883</v>
      </c>
      <c r="J43" s="119"/>
      <c r="P43" s="289"/>
      <c r="Q43" s="289"/>
      <c r="R43" s="289"/>
      <c r="S43" s="289"/>
      <c r="T43" s="289"/>
    </row>
    <row r="44" spans="2:20">
      <c r="B44" s="292"/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48">
        <f t="shared" si="0"/>
        <v>67.336916337072509</v>
      </c>
      <c r="J44" s="119"/>
      <c r="P44" s="289"/>
      <c r="Q44" s="289"/>
      <c r="R44" s="289"/>
      <c r="S44" s="289"/>
      <c r="T44" s="289"/>
    </row>
    <row r="45" spans="2:20">
      <c r="B45" s="292"/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48">
        <f t="shared" si="0"/>
        <v>69.955199066882429</v>
      </c>
      <c r="J45" s="119"/>
      <c r="P45" s="289"/>
      <c r="Q45" s="289"/>
      <c r="R45" s="289"/>
      <c r="S45" s="289"/>
      <c r="T45" s="289"/>
    </row>
    <row r="46" spans="2:20">
      <c r="B46" s="292"/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48">
        <f t="shared" si="0"/>
        <v>66.26490489074672</v>
      </c>
      <c r="J46" s="119"/>
      <c r="P46" s="289"/>
      <c r="Q46" s="289"/>
      <c r="R46" s="289"/>
      <c r="S46" s="289"/>
      <c r="T46" s="289"/>
    </row>
    <row r="47" spans="2:20">
      <c r="B47" s="292"/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48">
        <f t="shared" si="0"/>
        <v>59.75954745397781</v>
      </c>
      <c r="J47" s="119"/>
      <c r="P47" s="289"/>
      <c r="Q47" s="289"/>
      <c r="R47" s="289"/>
      <c r="S47" s="289"/>
      <c r="T47" s="289"/>
    </row>
    <row r="48" spans="2:20">
      <c r="B48" s="292"/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48">
        <f t="shared" si="0"/>
        <v>51.211213009427951</v>
      </c>
      <c r="J48" s="119"/>
      <c r="P48" s="289"/>
      <c r="Q48" s="289"/>
      <c r="R48" s="289"/>
      <c r="S48" s="289"/>
      <c r="T48" s="289"/>
    </row>
    <row r="49" spans="2:20">
      <c r="B49" s="292"/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48">
        <f t="shared" si="0"/>
        <v>45.388776477225008</v>
      </c>
      <c r="J49" s="119"/>
      <c r="P49" s="289"/>
      <c r="Q49" s="289"/>
      <c r="R49" s="289"/>
      <c r="S49" s="289"/>
      <c r="T49" s="289"/>
    </row>
    <row r="50" spans="2:20">
      <c r="B50" s="292"/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48">
        <f t="shared" si="0"/>
        <v>45.6828487671049</v>
      </c>
      <c r="J50" s="119"/>
      <c r="P50" s="289"/>
      <c r="Q50" s="289"/>
      <c r="R50" s="289"/>
      <c r="S50" s="289"/>
      <c r="T50" s="289"/>
    </row>
    <row r="51" spans="2:20">
      <c r="B51" s="292"/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48">
        <f t="shared" si="0"/>
        <v>45.354955207238064</v>
      </c>
      <c r="J51" s="119"/>
      <c r="P51" s="289"/>
      <c r="Q51" s="289"/>
      <c r="R51" s="289"/>
      <c r="S51" s="289"/>
      <c r="T51" s="289"/>
    </row>
    <row r="52" spans="2:20">
      <c r="B52" s="292"/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48">
        <f t="shared" si="0"/>
        <v>50.808578826076833</v>
      </c>
      <c r="J52" s="291"/>
      <c r="P52" s="289"/>
      <c r="Q52" s="289"/>
      <c r="R52" s="289"/>
      <c r="S52" s="289"/>
      <c r="T52" s="289"/>
    </row>
    <row r="53" spans="2:20">
      <c r="B53" s="320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48">
        <f t="shared" ref="I53" si="1">D53/E53*100</f>
        <v>52.640405448971414</v>
      </c>
      <c r="K53" s="272"/>
    </row>
    <row r="54" spans="2:20">
      <c r="B54" s="292"/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48">
        <f t="shared" ref="I54:I64" si="2">D54/E54*100</f>
        <v>68.300017896507143</v>
      </c>
      <c r="J54" s="291"/>
    </row>
    <row r="55" spans="2:20">
      <c r="B55" s="292"/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48">
        <f t="shared" si="2"/>
        <v>65.513433042513086</v>
      </c>
      <c r="J55" s="291"/>
    </row>
    <row r="56" spans="2:20">
      <c r="B56" s="292"/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48">
        <f t="shared" si="2"/>
        <v>60.951267438279856</v>
      </c>
      <c r="J56" s="291"/>
    </row>
    <row r="57" spans="2:20">
      <c r="B57" s="292"/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48">
        <f t="shared" si="2"/>
        <v>59.951468456410062</v>
      </c>
    </row>
    <row r="58" spans="2:20">
      <c r="B58" s="292"/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48">
        <f t="shared" si="2"/>
        <v>56.185515618554369</v>
      </c>
    </row>
    <row r="59" spans="2:20">
      <c r="B59" s="292"/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48">
        <f t="shared" si="2"/>
        <v>47.171440327059663</v>
      </c>
    </row>
    <row r="60" spans="2:20">
      <c r="B60" s="292"/>
      <c r="C60" s="162" t="s">
        <v>88</v>
      </c>
      <c r="D60" s="157">
        <v>7124.7383119369397</v>
      </c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48">
        <f t="shared" si="2"/>
        <v>38.433008007882478</v>
      </c>
      <c r="J60" s="291">
        <f>I61-I60</f>
        <v>-4.3716619423892595</v>
      </c>
    </row>
    <row r="61" spans="2:20">
      <c r="B61" s="292"/>
      <c r="C61" s="162" t="s">
        <v>90</v>
      </c>
      <c r="D61" s="157">
        <v>6314.3165171768396</v>
      </c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48">
        <f t="shared" si="2"/>
        <v>34.061346065493218</v>
      </c>
      <c r="J61" s="291">
        <f>I61-I49</f>
        <v>-11.32743041173179</v>
      </c>
    </row>
    <row r="62" spans="2:20">
      <c r="B62" s="292"/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48">
        <f t="shared" si="2"/>
        <v>0</v>
      </c>
      <c r="J62" s="291"/>
    </row>
    <row r="63" spans="2:20">
      <c r="B63" s="292"/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48">
        <f t="shared" si="2"/>
        <v>0</v>
      </c>
      <c r="J63" s="291"/>
    </row>
    <row r="64" spans="2:20">
      <c r="B64" s="292"/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48">
        <f t="shared" si="2"/>
        <v>0</v>
      </c>
      <c r="J64" s="291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2021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3" t="s">
        <v>53</v>
      </c>
      <c r="D68" s="353" t="s">
        <v>53</v>
      </c>
      <c r="E68" s="120"/>
      <c r="F68" s="353" t="s">
        <v>42</v>
      </c>
      <c r="G68" s="353"/>
      <c r="H68" s="353" t="s">
        <v>43</v>
      </c>
      <c r="I68" s="353"/>
      <c r="J68" s="353" t="s">
        <v>44</v>
      </c>
      <c r="K68" s="353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0.37831433253537561</v>
      </c>
      <c r="G70" s="258">
        <v>963.4977517590803</v>
      </c>
      <c r="H70" s="259">
        <f t="shared" ref="H70:H75" si="3">I70/D70</f>
        <v>3.3218785796109075E-2</v>
      </c>
      <c r="I70" s="258">
        <v>30.211688430702097</v>
      </c>
      <c r="J70" s="150">
        <f>K70/SUM(C70:D70)</f>
        <v>0.2875072086430675</v>
      </c>
      <c r="K70" s="125">
        <f t="shared" ref="K70:K75" si="4">SUM(G70,I70)</f>
        <v>993.70944018978241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0.29246377667299384</v>
      </c>
      <c r="G71" s="258">
        <v>491.63160858730265</v>
      </c>
      <c r="H71" s="259">
        <f t="shared" si="3"/>
        <v>0.51631570670244753</v>
      </c>
      <c r="I71" s="258">
        <v>1611.2147943356576</v>
      </c>
      <c r="J71" s="150">
        <f t="shared" ref="J71:J76" si="5">K71/SUM(C71:D71)</f>
        <v>0.43794701826952687</v>
      </c>
      <c r="K71" s="125">
        <f t="shared" si="4"/>
        <v>2102.8464029229604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0.33513757579627146</v>
      </c>
      <c r="G72" s="258">
        <v>812.68281571262185</v>
      </c>
      <c r="H72" s="259">
        <f t="shared" si="3"/>
        <v>0.30561158418763595</v>
      </c>
      <c r="I72" s="258">
        <v>1158.8400089567394</v>
      </c>
      <c r="J72" s="150">
        <f t="shared" si="5"/>
        <v>0.31712849220046041</v>
      </c>
      <c r="K72" s="125">
        <f t="shared" si="4"/>
        <v>1971.5228246693614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258" t="s">
        <v>18</v>
      </c>
      <c r="H73" s="259">
        <f t="shared" si="3"/>
        <v>1.6399110814889171E-2</v>
      </c>
      <c r="I73" s="258">
        <v>13.695619002389801</v>
      </c>
      <c r="J73" s="150">
        <f t="shared" si="5"/>
        <v>1.6399110814889171E-2</v>
      </c>
      <c r="K73" s="125">
        <f t="shared" si="4"/>
        <v>13.695619002389801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0.6039946721911349</v>
      </c>
      <c r="G74" s="258">
        <v>108.90023939606164</v>
      </c>
      <c r="H74" s="259">
        <f t="shared" si="3"/>
        <v>0.11494005395583996</v>
      </c>
      <c r="I74" s="258">
        <v>76.906390101852523</v>
      </c>
      <c r="J74" s="150">
        <f t="shared" si="5"/>
        <v>0.21875044678351088</v>
      </c>
      <c r="K74" s="125">
        <f t="shared" si="4"/>
        <v>185.80662949791417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0.44556146539183789</v>
      </c>
      <c r="G75" s="258">
        <v>950.75598618878871</v>
      </c>
      <c r="H75" s="259">
        <f t="shared" si="3"/>
        <v>0.39175352941100455</v>
      </c>
      <c r="I75" s="258">
        <v>95.979614705696122</v>
      </c>
      <c r="J75" s="150">
        <f t="shared" si="5"/>
        <v>0.44001970747671121</v>
      </c>
      <c r="K75" s="125">
        <f t="shared" si="4"/>
        <v>1046.7356008944848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0.37108434290725401</v>
      </c>
      <c r="G76" s="126">
        <f>SUM(G70:G75)</f>
        <v>3327.468401643855</v>
      </c>
      <c r="H76" s="260">
        <f>I76/D76</f>
        <v>0.3120664715045981</v>
      </c>
      <c r="I76" s="126">
        <f>SUM(I70:I75)</f>
        <v>2986.8481155330373</v>
      </c>
      <c r="J76" s="151">
        <f t="shared" si="5"/>
        <v>0.34061346065493509</v>
      </c>
      <c r="K76" s="126">
        <f>SUM(K70:K75)</f>
        <v>6314.3165171768942</v>
      </c>
    </row>
    <row r="79" spans="2:11">
      <c r="B79" s="322" t="str">
        <f>TEXT(CONCATENATE(TEXT(Dat_01!B2,"dd de mm de aaaa")),"@")</f>
        <v>30 302021 09 302021 2021</v>
      </c>
      <c r="C79" s="322"/>
      <c r="D79" s="322"/>
      <c r="E79" s="322"/>
    </row>
    <row r="80" spans="2:11">
      <c r="B80" s="323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2021 por cuencas</v>
      </c>
      <c r="C80" s="322"/>
      <c r="D80" s="322"/>
      <c r="E80" s="322"/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8" zoomScale="77" zoomScaleNormal="77" workbookViewId="0">
      <selection activeCell="I373" sqref="I373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855468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85546875" style="283" bestFit="1" customWidth="1"/>
    <col min="30" max="16384" width="11.42578125" style="283"/>
  </cols>
  <sheetData>
    <row r="1" spans="1:9" ht="60">
      <c r="B1" s="282" t="s">
        <v>144</v>
      </c>
      <c r="C1" s="282" t="s">
        <v>183</v>
      </c>
      <c r="D1" s="282" t="s">
        <v>184</v>
      </c>
    </row>
    <row r="2" spans="1:9">
      <c r="A2" s="283">
        <v>0</v>
      </c>
      <c r="B2" s="284">
        <v>44075</v>
      </c>
      <c r="C2" s="285">
        <v>59.806457999999999</v>
      </c>
      <c r="D2" s="286">
        <v>107.08526806498774</v>
      </c>
      <c r="E2" s="285">
        <f>IF(C2&gt;D2,D2,C2)</f>
        <v>59.806457999999999</v>
      </c>
      <c r="F2" s="288">
        <f>YEAR(B2)</f>
        <v>2020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44076</v>
      </c>
      <c r="C3" s="285">
        <v>121.684246</v>
      </c>
      <c r="D3" s="286">
        <v>107.08526806498774</v>
      </c>
      <c r="E3" s="285">
        <f t="shared" ref="E3:E66" si="0">IF(C3&gt;D3,D3,C3)</f>
        <v>107.08526806498774</v>
      </c>
      <c r="F3" s="294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44077</v>
      </c>
      <c r="C4" s="285">
        <v>71.609544999999997</v>
      </c>
      <c r="D4" s="286">
        <v>107.08526806498774</v>
      </c>
      <c r="E4" s="285">
        <f t="shared" si="0"/>
        <v>71.609544999999997</v>
      </c>
      <c r="F4" s="294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44078</v>
      </c>
      <c r="C5" s="285">
        <v>95.208067</v>
      </c>
      <c r="D5" s="286">
        <v>107.08526806498774</v>
      </c>
      <c r="E5" s="285">
        <f t="shared" si="0"/>
        <v>95.208067</v>
      </c>
      <c r="F5" s="294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44079</v>
      </c>
      <c r="C6" s="285">
        <v>172.85350800000001</v>
      </c>
      <c r="D6" s="286">
        <v>107.08526806498774</v>
      </c>
      <c r="E6" s="285">
        <f t="shared" si="0"/>
        <v>107.08526806498774</v>
      </c>
      <c r="F6" s="294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44080</v>
      </c>
      <c r="C7" s="285">
        <v>258.66792900000002</v>
      </c>
      <c r="D7" s="286">
        <v>107.08526806498774</v>
      </c>
      <c r="E7" s="285">
        <f t="shared" si="0"/>
        <v>107.08526806498774</v>
      </c>
      <c r="F7" s="294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44081</v>
      </c>
      <c r="C8" s="285">
        <v>255.185046</v>
      </c>
      <c r="D8" s="286">
        <v>107.08526806498774</v>
      </c>
      <c r="E8" s="285">
        <f t="shared" si="0"/>
        <v>107.08526806498774</v>
      </c>
      <c r="F8" s="294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44082</v>
      </c>
      <c r="C9" s="285">
        <v>165.18522200000001</v>
      </c>
      <c r="D9" s="286">
        <v>107.08526806498774</v>
      </c>
      <c r="E9" s="285">
        <f t="shared" si="0"/>
        <v>107.08526806498774</v>
      </c>
      <c r="F9" s="294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44083</v>
      </c>
      <c r="C10" s="285">
        <v>76.414304000000001</v>
      </c>
      <c r="D10" s="286">
        <v>107.08526806498774</v>
      </c>
      <c r="E10" s="285">
        <f t="shared" si="0"/>
        <v>76.414304000000001</v>
      </c>
      <c r="F10" s="294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44084</v>
      </c>
      <c r="C11" s="285">
        <v>97.360327999999996</v>
      </c>
      <c r="D11" s="286">
        <v>107.08526806498774</v>
      </c>
      <c r="E11" s="285">
        <f t="shared" si="0"/>
        <v>97.360327999999996</v>
      </c>
      <c r="F11" s="294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44085</v>
      </c>
      <c r="C12" s="285">
        <v>84.595854000000003</v>
      </c>
      <c r="D12" s="286">
        <v>107.08526806498774</v>
      </c>
      <c r="E12" s="285">
        <f t="shared" si="0"/>
        <v>84.595854000000003</v>
      </c>
      <c r="F12" s="294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44086</v>
      </c>
      <c r="C13" s="285">
        <v>95.812807000000006</v>
      </c>
      <c r="D13" s="286">
        <v>107.08526806498774</v>
      </c>
      <c r="E13" s="285">
        <f t="shared" si="0"/>
        <v>95.812807000000006</v>
      </c>
      <c r="F13" s="294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44087</v>
      </c>
      <c r="C14" s="285">
        <v>133.250348</v>
      </c>
      <c r="D14" s="286">
        <v>107.08526806498774</v>
      </c>
      <c r="E14" s="285">
        <f t="shared" si="0"/>
        <v>107.08526806498774</v>
      </c>
      <c r="F14" s="294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44088</v>
      </c>
      <c r="C15" s="285">
        <v>143.83927499999999</v>
      </c>
      <c r="D15" s="286">
        <v>107.08526806498774</v>
      </c>
      <c r="E15" s="285">
        <f t="shared" si="0"/>
        <v>107.08526806498774</v>
      </c>
      <c r="F15" s="294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44089</v>
      </c>
      <c r="C16" s="285">
        <v>61.669970999999997</v>
      </c>
      <c r="D16" s="286">
        <v>107.08526806498774</v>
      </c>
      <c r="E16" s="285">
        <f t="shared" si="0"/>
        <v>61.669970999999997</v>
      </c>
      <c r="F16" s="294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S</v>
      </c>
      <c r="H16" s="287" t="str">
        <f t="shared" si="2"/>
        <v>107,1</v>
      </c>
      <c r="I16" s="288"/>
    </row>
    <row r="17" spans="1:9">
      <c r="A17" s="283">
        <v>15</v>
      </c>
      <c r="B17" s="284">
        <v>44090</v>
      </c>
      <c r="C17" s="285">
        <v>47.954214</v>
      </c>
      <c r="D17" s="286">
        <v>107.08526806498774</v>
      </c>
      <c r="E17" s="285">
        <f t="shared" si="0"/>
        <v>47.954214</v>
      </c>
      <c r="F17" s="294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44091</v>
      </c>
      <c r="C18" s="285">
        <v>131.59429</v>
      </c>
      <c r="D18" s="286">
        <v>107.08526806498774</v>
      </c>
      <c r="E18" s="285">
        <f t="shared" si="0"/>
        <v>107.08526806498774</v>
      </c>
      <c r="F18" s="294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44092</v>
      </c>
      <c r="C19" s="285">
        <v>177.42695900000001</v>
      </c>
      <c r="D19" s="286">
        <v>107.08526806498774</v>
      </c>
      <c r="E19" s="285">
        <f t="shared" si="0"/>
        <v>107.08526806498774</v>
      </c>
      <c r="F19" s="294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44093</v>
      </c>
      <c r="C20" s="285">
        <v>146.07268299999998</v>
      </c>
      <c r="D20" s="286">
        <v>107.08526806498774</v>
      </c>
      <c r="E20" s="285">
        <f t="shared" si="0"/>
        <v>107.08526806498774</v>
      </c>
      <c r="F20" s="294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44094</v>
      </c>
      <c r="C21" s="285">
        <v>71.398513000000008</v>
      </c>
      <c r="D21" s="286">
        <v>107.08526806498774</v>
      </c>
      <c r="E21" s="285">
        <f t="shared" si="0"/>
        <v>71.398513000000008</v>
      </c>
      <c r="F21" s="294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44095</v>
      </c>
      <c r="C22" s="285">
        <v>43.953246</v>
      </c>
      <c r="D22" s="286">
        <v>107.08526806498774</v>
      </c>
      <c r="E22" s="285">
        <f t="shared" si="0"/>
        <v>43.953246</v>
      </c>
      <c r="F22" s="294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44096</v>
      </c>
      <c r="C23" s="285">
        <v>42.289270999999999</v>
      </c>
      <c r="D23" s="286">
        <v>107.08526806498774</v>
      </c>
      <c r="E23" s="285">
        <f t="shared" si="0"/>
        <v>42.289270999999999</v>
      </c>
      <c r="F23" s="294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44097</v>
      </c>
      <c r="C24" s="285">
        <v>118.394065</v>
      </c>
      <c r="D24" s="286">
        <v>107.08526806498774</v>
      </c>
      <c r="E24" s="285">
        <f t="shared" si="0"/>
        <v>107.08526806498774</v>
      </c>
      <c r="F24" s="294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44098</v>
      </c>
      <c r="C25" s="285">
        <v>228.60527999999999</v>
      </c>
      <c r="D25" s="286">
        <v>107.08526806498774</v>
      </c>
      <c r="E25" s="285">
        <f t="shared" si="0"/>
        <v>107.08526806498774</v>
      </c>
      <c r="F25" s="294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44099</v>
      </c>
      <c r="C26" s="285">
        <v>330.956053</v>
      </c>
      <c r="D26" s="286">
        <v>107.08526806498774</v>
      </c>
      <c r="E26" s="285">
        <f t="shared" si="0"/>
        <v>107.08526806498774</v>
      </c>
      <c r="F26" s="294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44100</v>
      </c>
      <c r="C27" s="285">
        <v>271.05903899999998</v>
      </c>
      <c r="D27" s="286">
        <v>107.08526806498774</v>
      </c>
      <c r="E27" s="285">
        <f t="shared" si="0"/>
        <v>107.08526806498774</v>
      </c>
      <c r="F27" s="294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44101</v>
      </c>
      <c r="C28" s="285">
        <v>242.12344899999999</v>
      </c>
      <c r="D28" s="286">
        <v>107.08526806498774</v>
      </c>
      <c r="E28" s="285">
        <f t="shared" si="0"/>
        <v>107.08526806498774</v>
      </c>
      <c r="F28" s="294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44102</v>
      </c>
      <c r="C29" s="285">
        <v>136.61255</v>
      </c>
      <c r="D29" s="286">
        <v>107.08526806498774</v>
      </c>
      <c r="E29" s="285">
        <f t="shared" si="0"/>
        <v>107.08526806498774</v>
      </c>
      <c r="F29" s="294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44103</v>
      </c>
      <c r="C30" s="285">
        <v>53.063534999999995</v>
      </c>
      <c r="D30" s="286">
        <v>107.08526806498774</v>
      </c>
      <c r="E30" s="285">
        <f t="shared" si="0"/>
        <v>53.063534999999995</v>
      </c>
      <c r="F30" s="294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44104</v>
      </c>
      <c r="C31" s="285">
        <v>62.516165999999998</v>
      </c>
      <c r="D31" s="286">
        <v>107.08526806498774</v>
      </c>
      <c r="E31" s="285">
        <f t="shared" si="0"/>
        <v>62.516165999999998</v>
      </c>
      <c r="F31" s="294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44105</v>
      </c>
      <c r="C32" s="285">
        <v>202.31051200000002</v>
      </c>
      <c r="D32" s="286">
        <v>127.06121952683949</v>
      </c>
      <c r="E32" s="285">
        <f t="shared" si="0"/>
        <v>127.06121952683949</v>
      </c>
      <c r="F32" s="294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44106</v>
      </c>
      <c r="C33" s="285">
        <v>362.362075</v>
      </c>
      <c r="D33" s="286">
        <v>127.06121952683949</v>
      </c>
      <c r="E33" s="285">
        <f t="shared" si="0"/>
        <v>127.06121952683949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44107</v>
      </c>
      <c r="C34" s="285">
        <v>313.480929</v>
      </c>
      <c r="D34" s="286">
        <v>127.06121952683949</v>
      </c>
      <c r="E34" s="285">
        <f t="shared" si="0"/>
        <v>127.06121952683949</v>
      </c>
      <c r="F34" s="294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44108</v>
      </c>
      <c r="C35" s="285">
        <v>260.74477100000001</v>
      </c>
      <c r="D35" s="286">
        <v>127.06121952683949</v>
      </c>
      <c r="E35" s="285">
        <f t="shared" si="0"/>
        <v>127.06121952683949</v>
      </c>
      <c r="F35" s="294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44109</v>
      </c>
      <c r="C36" s="285">
        <v>174.01282799999998</v>
      </c>
      <c r="D36" s="286">
        <v>127.06121952683949</v>
      </c>
      <c r="E36" s="285">
        <f t="shared" si="0"/>
        <v>127.06121952683949</v>
      </c>
      <c r="F36" s="294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44110</v>
      </c>
      <c r="C37" s="285">
        <v>159.323689</v>
      </c>
      <c r="D37" s="286">
        <v>127.06121952683949</v>
      </c>
      <c r="E37" s="285">
        <f t="shared" si="0"/>
        <v>127.06121952683949</v>
      </c>
      <c r="F37" s="294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44111</v>
      </c>
      <c r="C38" s="285">
        <v>106.33266</v>
      </c>
      <c r="D38" s="286">
        <v>127.06121952683949</v>
      </c>
      <c r="E38" s="285">
        <f t="shared" si="0"/>
        <v>106.33266</v>
      </c>
      <c r="F38" s="294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44112</v>
      </c>
      <c r="C39" s="285">
        <v>60.809464999999996</v>
      </c>
      <c r="D39" s="286">
        <v>127.06121952683949</v>
      </c>
      <c r="E39" s="285">
        <f t="shared" si="0"/>
        <v>60.809464999999996</v>
      </c>
      <c r="F39" s="294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44113</v>
      </c>
      <c r="C40" s="285">
        <v>47.700455999999996</v>
      </c>
      <c r="D40" s="286">
        <v>127.06121952683949</v>
      </c>
      <c r="E40" s="285">
        <f t="shared" si="0"/>
        <v>47.700455999999996</v>
      </c>
      <c r="F40" s="294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44114</v>
      </c>
      <c r="C41" s="285">
        <v>209.87503899999999</v>
      </c>
      <c r="D41" s="286">
        <v>127.06121952683949</v>
      </c>
      <c r="E41" s="285">
        <f t="shared" si="0"/>
        <v>127.06121952683949</v>
      </c>
      <c r="F41" s="294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44115</v>
      </c>
      <c r="C42" s="285">
        <v>251.346497</v>
      </c>
      <c r="D42" s="286">
        <v>127.06121952683949</v>
      </c>
      <c r="E42" s="285">
        <f t="shared" si="0"/>
        <v>127.06121952683949</v>
      </c>
      <c r="F42" s="294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44116</v>
      </c>
      <c r="C43" s="285">
        <v>193.37521899999999</v>
      </c>
      <c r="D43" s="286">
        <v>127.06121952683949</v>
      </c>
      <c r="E43" s="285">
        <f t="shared" si="0"/>
        <v>127.06121952683949</v>
      </c>
      <c r="F43" s="294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44117</v>
      </c>
      <c r="C44" s="285">
        <v>162.52113700000001</v>
      </c>
      <c r="D44" s="286">
        <v>127.06121952683949</v>
      </c>
      <c r="E44" s="285">
        <f t="shared" si="0"/>
        <v>127.06121952683949</v>
      </c>
      <c r="F44" s="294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44118</v>
      </c>
      <c r="C45" s="285">
        <v>204.77273799999998</v>
      </c>
      <c r="D45" s="286">
        <v>127.06121952683949</v>
      </c>
      <c r="E45" s="285">
        <f t="shared" si="0"/>
        <v>127.06121952683949</v>
      </c>
      <c r="F45" s="294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44119</v>
      </c>
      <c r="C46" s="285">
        <v>182.103228</v>
      </c>
      <c r="D46" s="286">
        <v>127.06121952683949</v>
      </c>
      <c r="E46" s="285">
        <f t="shared" si="0"/>
        <v>127.06121952683949</v>
      </c>
      <c r="F46" s="294"/>
      <c r="G46" s="199" t="str">
        <f t="shared" si="1"/>
        <v>O</v>
      </c>
      <c r="H46" s="287" t="str">
        <f t="shared" si="2"/>
        <v>127,1</v>
      </c>
      <c r="I46" s="288"/>
    </row>
    <row r="47" spans="1:9">
      <c r="A47" s="283">
        <v>45</v>
      </c>
      <c r="B47" s="284">
        <v>44120</v>
      </c>
      <c r="C47" s="285">
        <v>110.112658</v>
      </c>
      <c r="D47" s="286">
        <v>127.06121952683949</v>
      </c>
      <c r="E47" s="285">
        <f t="shared" si="0"/>
        <v>110.112658</v>
      </c>
      <c r="F47" s="294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44121</v>
      </c>
      <c r="C48" s="285">
        <v>50.603332999999999</v>
      </c>
      <c r="D48" s="286">
        <v>127.06121952683949</v>
      </c>
      <c r="E48" s="285">
        <f t="shared" si="0"/>
        <v>50.603332999999999</v>
      </c>
      <c r="F48" s="294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44122</v>
      </c>
      <c r="C49" s="285">
        <v>61.568391000000005</v>
      </c>
      <c r="D49" s="286">
        <v>127.06121952683949</v>
      </c>
      <c r="E49" s="285">
        <f t="shared" si="0"/>
        <v>61.568391000000005</v>
      </c>
      <c r="F49" s="294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44123</v>
      </c>
      <c r="C50" s="285">
        <v>286.007882</v>
      </c>
      <c r="D50" s="286">
        <v>127.06121952683949</v>
      </c>
      <c r="E50" s="285">
        <f t="shared" si="0"/>
        <v>127.06121952683949</v>
      </c>
      <c r="F50" s="294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44124</v>
      </c>
      <c r="C51" s="285">
        <v>337.56826000000001</v>
      </c>
      <c r="D51" s="286">
        <v>127.06121952683949</v>
      </c>
      <c r="E51" s="285">
        <f t="shared" si="0"/>
        <v>127.06121952683949</v>
      </c>
      <c r="F51" s="294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44125</v>
      </c>
      <c r="C52" s="285">
        <v>248.219323</v>
      </c>
      <c r="D52" s="286">
        <v>127.06121952683949</v>
      </c>
      <c r="E52" s="285">
        <f t="shared" si="0"/>
        <v>127.06121952683949</v>
      </c>
      <c r="F52" s="294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44126</v>
      </c>
      <c r="C53" s="285">
        <v>139.688761</v>
      </c>
      <c r="D53" s="286">
        <v>127.06121952683949</v>
      </c>
      <c r="E53" s="285">
        <f t="shared" si="0"/>
        <v>127.06121952683949</v>
      </c>
      <c r="F53" s="294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44127</v>
      </c>
      <c r="C54" s="285">
        <v>164.82696799999999</v>
      </c>
      <c r="D54" s="286">
        <v>127.06121952683949</v>
      </c>
      <c r="E54" s="285">
        <f t="shared" si="0"/>
        <v>127.06121952683949</v>
      </c>
      <c r="F54" s="294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44128</v>
      </c>
      <c r="C55" s="285">
        <v>218.245396</v>
      </c>
      <c r="D55" s="286">
        <v>127.06121952683949</v>
      </c>
      <c r="E55" s="285">
        <f t="shared" si="0"/>
        <v>127.06121952683949</v>
      </c>
      <c r="F55" s="294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44129</v>
      </c>
      <c r="C56" s="285">
        <v>293.95637599999998</v>
      </c>
      <c r="D56" s="286">
        <v>127.06121952683949</v>
      </c>
      <c r="E56" s="285">
        <f t="shared" si="0"/>
        <v>127.06121952683949</v>
      </c>
      <c r="F56" s="294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44130</v>
      </c>
      <c r="C57" s="285">
        <v>273.29149999999998</v>
      </c>
      <c r="D57" s="286">
        <v>127.06121952683949</v>
      </c>
      <c r="E57" s="285">
        <f t="shared" si="0"/>
        <v>127.06121952683949</v>
      </c>
      <c r="F57" s="294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44131</v>
      </c>
      <c r="C58" s="285">
        <v>242.68268899999998</v>
      </c>
      <c r="D58" s="286">
        <v>127.06121952683949</v>
      </c>
      <c r="E58" s="285">
        <f t="shared" si="0"/>
        <v>127.06121952683949</v>
      </c>
      <c r="F58" s="294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44132</v>
      </c>
      <c r="C59" s="285">
        <v>117.49772900000001</v>
      </c>
      <c r="D59" s="286">
        <v>127.06121952683949</v>
      </c>
      <c r="E59" s="285">
        <f t="shared" si="0"/>
        <v>117.49772900000001</v>
      </c>
      <c r="F59" s="294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44133</v>
      </c>
      <c r="C60" s="285">
        <v>58.620100999999998</v>
      </c>
      <c r="D60" s="286">
        <v>127.06121952683949</v>
      </c>
      <c r="E60" s="285">
        <f t="shared" si="0"/>
        <v>58.620100999999998</v>
      </c>
      <c r="F60" s="294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44134</v>
      </c>
      <c r="C61" s="285">
        <v>87.59764100000001</v>
      </c>
      <c r="D61" s="286">
        <v>127.06121952683949</v>
      </c>
      <c r="E61" s="285">
        <f t="shared" si="0"/>
        <v>87.59764100000001</v>
      </c>
      <c r="F61" s="294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44135</v>
      </c>
      <c r="C62" s="285">
        <v>123.97042500000001</v>
      </c>
      <c r="D62" s="286">
        <v>127.06121952683949</v>
      </c>
      <c r="E62" s="285">
        <f t="shared" si="0"/>
        <v>123.97042500000001</v>
      </c>
      <c r="F62" s="294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44136</v>
      </c>
      <c r="C63" s="285">
        <v>125.23935300000001</v>
      </c>
      <c r="D63" s="286">
        <v>176.69829634449792</v>
      </c>
      <c r="E63" s="285">
        <f t="shared" si="0"/>
        <v>125.23935300000001</v>
      </c>
      <c r="F63" s="294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44137</v>
      </c>
      <c r="C64" s="285">
        <v>85.920673000000008</v>
      </c>
      <c r="D64" s="286">
        <v>176.69829634449792</v>
      </c>
      <c r="E64" s="285">
        <f t="shared" si="0"/>
        <v>85.920673000000008</v>
      </c>
      <c r="F64" s="294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44138</v>
      </c>
      <c r="C65" s="285">
        <v>180.38563200000002</v>
      </c>
      <c r="D65" s="286">
        <v>176.69829634449792</v>
      </c>
      <c r="E65" s="285">
        <f t="shared" si="0"/>
        <v>176.69829634449792</v>
      </c>
      <c r="F65" s="294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44139</v>
      </c>
      <c r="C66" s="285">
        <v>217.22378400000002</v>
      </c>
      <c r="D66" s="286">
        <v>176.69829634449792</v>
      </c>
      <c r="E66" s="285">
        <f t="shared" si="0"/>
        <v>176.69829634449792</v>
      </c>
      <c r="F66" s="294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44140</v>
      </c>
      <c r="C67" s="285">
        <v>307.200491</v>
      </c>
      <c r="D67" s="286">
        <v>176.69829634449792</v>
      </c>
      <c r="E67" s="285">
        <f t="shared" ref="E67:E130" si="3">IF(C67&gt;D67,D67,C67)</f>
        <v>176.69829634449792</v>
      </c>
      <c r="F67" s="294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44141</v>
      </c>
      <c r="C68" s="285">
        <v>337.01701800000001</v>
      </c>
      <c r="D68" s="286">
        <v>176.69829634449792</v>
      </c>
      <c r="E68" s="285">
        <f t="shared" si="3"/>
        <v>176.69829634449792</v>
      </c>
      <c r="F68" s="294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44142</v>
      </c>
      <c r="C69" s="285">
        <v>233.18067499999998</v>
      </c>
      <c r="D69" s="286">
        <v>176.69829634449792</v>
      </c>
      <c r="E69" s="285">
        <f t="shared" si="3"/>
        <v>176.69829634449792</v>
      </c>
      <c r="F69" s="294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44143</v>
      </c>
      <c r="C70" s="285">
        <v>156.800454</v>
      </c>
      <c r="D70" s="286">
        <v>176.69829634449792</v>
      </c>
      <c r="E70" s="285">
        <f t="shared" si="3"/>
        <v>156.800454</v>
      </c>
      <c r="F70" s="294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44144</v>
      </c>
      <c r="C71" s="285">
        <v>60.645159</v>
      </c>
      <c r="D71" s="286">
        <v>176.69829634449792</v>
      </c>
      <c r="E71" s="285">
        <f t="shared" si="3"/>
        <v>60.645159</v>
      </c>
      <c r="F71" s="294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44145</v>
      </c>
      <c r="C72" s="285">
        <v>35.971010999999997</v>
      </c>
      <c r="D72" s="286">
        <v>176.69829634449792</v>
      </c>
      <c r="E72" s="285">
        <f t="shared" si="3"/>
        <v>35.971010999999997</v>
      </c>
      <c r="F72" s="294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44146</v>
      </c>
      <c r="C73" s="285">
        <v>140.179191</v>
      </c>
      <c r="D73" s="286">
        <v>176.69829634449792</v>
      </c>
      <c r="E73" s="285">
        <f t="shared" si="3"/>
        <v>140.179191</v>
      </c>
      <c r="F73" s="294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44147</v>
      </c>
      <c r="C74" s="285">
        <v>97.544676999999993</v>
      </c>
      <c r="D74" s="286">
        <v>176.69829634449792</v>
      </c>
      <c r="E74" s="285">
        <f t="shared" si="3"/>
        <v>97.544676999999993</v>
      </c>
      <c r="F74" s="294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44148</v>
      </c>
      <c r="C75" s="285">
        <v>79.493798999999996</v>
      </c>
      <c r="D75" s="286">
        <v>176.69829634449792</v>
      </c>
      <c r="E75" s="285">
        <f t="shared" si="3"/>
        <v>79.493798999999996</v>
      </c>
      <c r="F75" s="294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44149</v>
      </c>
      <c r="C76" s="285">
        <v>134.23853400000002</v>
      </c>
      <c r="D76" s="286">
        <v>176.69829634449792</v>
      </c>
      <c r="E76" s="285">
        <f t="shared" si="3"/>
        <v>134.23853400000002</v>
      </c>
      <c r="F76" s="294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44150</v>
      </c>
      <c r="C77" s="285">
        <v>221.19378499999999</v>
      </c>
      <c r="D77" s="286">
        <v>176.69829634449792</v>
      </c>
      <c r="E77" s="285">
        <f t="shared" si="3"/>
        <v>176.69829634449792</v>
      </c>
      <c r="F77" s="294"/>
      <c r="G77" s="199" t="str">
        <f t="shared" si="4"/>
        <v>N</v>
      </c>
      <c r="H77" s="287" t="str">
        <f t="shared" si="5"/>
        <v>176,7</v>
      </c>
      <c r="I77" s="288"/>
    </row>
    <row r="78" spans="1:9">
      <c r="A78" s="283">
        <v>76</v>
      </c>
      <c r="B78" s="284">
        <v>44151</v>
      </c>
      <c r="C78" s="285">
        <v>105.925865</v>
      </c>
      <c r="D78" s="286">
        <v>176.69829634449792</v>
      </c>
      <c r="E78" s="285">
        <f t="shared" si="3"/>
        <v>105.925865</v>
      </c>
      <c r="F78" s="294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44152</v>
      </c>
      <c r="C79" s="285">
        <v>58.954802999999998</v>
      </c>
      <c r="D79" s="286">
        <v>176.69829634449792</v>
      </c>
      <c r="E79" s="285">
        <f t="shared" si="3"/>
        <v>58.954802999999998</v>
      </c>
      <c r="F79" s="294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44153</v>
      </c>
      <c r="C80" s="285">
        <v>90.291903000000005</v>
      </c>
      <c r="D80" s="286">
        <v>176.69829634449792</v>
      </c>
      <c r="E80" s="285">
        <f t="shared" si="3"/>
        <v>90.291903000000005</v>
      </c>
      <c r="F80" s="294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44154</v>
      </c>
      <c r="C81" s="285">
        <v>190.15540299999998</v>
      </c>
      <c r="D81" s="286">
        <v>176.69829634449792</v>
      </c>
      <c r="E81" s="285">
        <f t="shared" si="3"/>
        <v>176.69829634449792</v>
      </c>
      <c r="F81" s="294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44155</v>
      </c>
      <c r="C82" s="285">
        <v>261.16264999999999</v>
      </c>
      <c r="D82" s="286">
        <v>176.69829634449792</v>
      </c>
      <c r="E82" s="285">
        <f t="shared" si="3"/>
        <v>176.69829634449792</v>
      </c>
      <c r="F82" s="294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44156</v>
      </c>
      <c r="C83" s="285">
        <v>115.55608599999999</v>
      </c>
      <c r="D83" s="286">
        <v>176.69829634449792</v>
      </c>
      <c r="E83" s="285">
        <f t="shared" si="3"/>
        <v>115.55608599999999</v>
      </c>
      <c r="F83" s="294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44157</v>
      </c>
      <c r="C84" s="285">
        <v>56.336182999999998</v>
      </c>
      <c r="D84" s="286">
        <v>176.69829634449792</v>
      </c>
      <c r="E84" s="285">
        <f t="shared" si="3"/>
        <v>56.336182999999998</v>
      </c>
      <c r="F84" s="294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44158</v>
      </c>
      <c r="C85" s="285">
        <v>46.552162000000003</v>
      </c>
      <c r="D85" s="286">
        <v>176.69829634449792</v>
      </c>
      <c r="E85" s="285">
        <f t="shared" si="3"/>
        <v>46.552162000000003</v>
      </c>
      <c r="F85" s="294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44159</v>
      </c>
      <c r="C86" s="285">
        <v>100.392511</v>
      </c>
      <c r="D86" s="286">
        <v>176.69829634449792</v>
      </c>
      <c r="E86" s="285">
        <f t="shared" si="3"/>
        <v>100.392511</v>
      </c>
      <c r="F86" s="294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44160</v>
      </c>
      <c r="C87" s="285">
        <v>121.453129</v>
      </c>
      <c r="D87" s="286">
        <v>176.69829634449792</v>
      </c>
      <c r="E87" s="285">
        <f t="shared" si="3"/>
        <v>121.453129</v>
      </c>
      <c r="F87" s="294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44161</v>
      </c>
      <c r="C88" s="285">
        <v>231.44024200000001</v>
      </c>
      <c r="D88" s="286">
        <v>176.69829634449792</v>
      </c>
      <c r="E88" s="285">
        <f t="shared" si="3"/>
        <v>176.69829634449792</v>
      </c>
      <c r="F88" s="294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44162</v>
      </c>
      <c r="C89" s="285">
        <v>155.23078099999998</v>
      </c>
      <c r="D89" s="286">
        <v>176.69829634449792</v>
      </c>
      <c r="E89" s="285">
        <f t="shared" si="3"/>
        <v>155.23078099999998</v>
      </c>
      <c r="F89" s="294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44163</v>
      </c>
      <c r="C90" s="285">
        <v>70.368157999999994</v>
      </c>
      <c r="D90" s="286">
        <v>176.69829634449792</v>
      </c>
      <c r="E90" s="285">
        <f t="shared" si="3"/>
        <v>70.368157999999994</v>
      </c>
      <c r="F90" s="294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44164</v>
      </c>
      <c r="C91" s="285">
        <v>52.875363</v>
      </c>
      <c r="D91" s="286">
        <v>176.69829634449792</v>
      </c>
      <c r="E91" s="285">
        <f t="shared" si="3"/>
        <v>52.875363</v>
      </c>
      <c r="F91" s="294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44165</v>
      </c>
      <c r="C92" s="285">
        <v>86.030285000000006</v>
      </c>
      <c r="D92" s="286">
        <v>176.69829634449792</v>
      </c>
      <c r="E92" s="285">
        <f t="shared" si="3"/>
        <v>86.030285000000006</v>
      </c>
      <c r="F92" s="294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44166</v>
      </c>
      <c r="C93" s="285">
        <v>177.10347199999998</v>
      </c>
      <c r="D93" s="286">
        <v>165.61562702866021</v>
      </c>
      <c r="E93" s="285">
        <f t="shared" si="3"/>
        <v>165.61562702866021</v>
      </c>
      <c r="F93" s="294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44167</v>
      </c>
      <c r="C94" s="285">
        <v>270.73014599999999</v>
      </c>
      <c r="D94" s="286">
        <v>165.61562702866021</v>
      </c>
      <c r="E94" s="285">
        <f t="shared" si="3"/>
        <v>165.61562702866021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44168</v>
      </c>
      <c r="C95" s="285">
        <v>227.78161499999999</v>
      </c>
      <c r="D95" s="286">
        <v>165.61562702866021</v>
      </c>
      <c r="E95" s="285">
        <f t="shared" si="3"/>
        <v>165.61562702866021</v>
      </c>
      <c r="F95" s="294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44169</v>
      </c>
      <c r="C96" s="285">
        <v>309.48027399999995</v>
      </c>
      <c r="D96" s="286">
        <v>165.61562702866021</v>
      </c>
      <c r="E96" s="285">
        <f t="shared" si="3"/>
        <v>165.61562702866021</v>
      </c>
      <c r="F96" s="294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44170</v>
      </c>
      <c r="C97" s="285">
        <v>284.83549800000003</v>
      </c>
      <c r="D97" s="286">
        <v>165.61562702866021</v>
      </c>
      <c r="E97" s="285">
        <f t="shared" si="3"/>
        <v>165.61562702866021</v>
      </c>
      <c r="F97" s="294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44171</v>
      </c>
      <c r="C98" s="285">
        <v>319.57845900000001</v>
      </c>
      <c r="D98" s="286">
        <v>165.61562702866021</v>
      </c>
      <c r="E98" s="285">
        <f t="shared" si="3"/>
        <v>165.61562702866021</v>
      </c>
      <c r="F98" s="294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44172</v>
      </c>
      <c r="C99" s="285">
        <v>384.69365600000003</v>
      </c>
      <c r="D99" s="286">
        <v>165.61562702866021</v>
      </c>
      <c r="E99" s="285">
        <f t="shared" si="3"/>
        <v>165.61562702866021</v>
      </c>
      <c r="F99" s="294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44173</v>
      </c>
      <c r="C100" s="285">
        <v>345.50114200000002</v>
      </c>
      <c r="D100" s="286">
        <v>165.61562702866021</v>
      </c>
      <c r="E100" s="285">
        <f t="shared" si="3"/>
        <v>165.61562702866021</v>
      </c>
      <c r="F100" s="294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44174</v>
      </c>
      <c r="C101" s="285">
        <v>276.98153400000001</v>
      </c>
      <c r="D101" s="286">
        <v>165.61562702866021</v>
      </c>
      <c r="E101" s="285">
        <f t="shared" si="3"/>
        <v>165.61562702866021</v>
      </c>
      <c r="F101" s="294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44175</v>
      </c>
      <c r="C102" s="285">
        <v>363.91985299999999</v>
      </c>
      <c r="D102" s="286">
        <v>165.61562702866021</v>
      </c>
      <c r="E102" s="285">
        <f t="shared" si="3"/>
        <v>165.61562702866021</v>
      </c>
      <c r="F102" s="294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44176</v>
      </c>
      <c r="C103" s="285">
        <v>382.781991</v>
      </c>
      <c r="D103" s="286">
        <v>165.61562702866021</v>
      </c>
      <c r="E103" s="285">
        <f t="shared" si="3"/>
        <v>165.61562702866021</v>
      </c>
      <c r="F103" s="294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44177</v>
      </c>
      <c r="C104" s="285">
        <v>345.77599500000002</v>
      </c>
      <c r="D104" s="286">
        <v>165.61562702866021</v>
      </c>
      <c r="E104" s="285">
        <f t="shared" si="3"/>
        <v>165.61562702866021</v>
      </c>
      <c r="F104" s="294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44178</v>
      </c>
      <c r="C105" s="285">
        <v>199.36503099999999</v>
      </c>
      <c r="D105" s="286">
        <v>165.61562702866021</v>
      </c>
      <c r="E105" s="285">
        <f t="shared" si="3"/>
        <v>165.61562702866021</v>
      </c>
      <c r="F105" s="294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44179</v>
      </c>
      <c r="C106" s="285">
        <v>179.980153</v>
      </c>
      <c r="D106" s="286">
        <v>165.61562702866021</v>
      </c>
      <c r="E106" s="285">
        <f t="shared" si="3"/>
        <v>165.61562702866021</v>
      </c>
      <c r="F106" s="294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44180</v>
      </c>
      <c r="C107" s="285">
        <v>190.475368</v>
      </c>
      <c r="D107" s="286">
        <v>165.61562702866021</v>
      </c>
      <c r="E107" s="285">
        <f t="shared" si="3"/>
        <v>165.61562702866021</v>
      </c>
      <c r="F107" s="294"/>
      <c r="G107" s="199" t="str">
        <f t="shared" si="4"/>
        <v>D</v>
      </c>
      <c r="H107" s="287" t="str">
        <f t="shared" si="5"/>
        <v>165,6</v>
      </c>
      <c r="I107" s="288"/>
    </row>
    <row r="108" spans="1:9">
      <c r="A108" s="283">
        <v>106</v>
      </c>
      <c r="B108" s="284">
        <v>44181</v>
      </c>
      <c r="C108" s="285">
        <v>160.943062</v>
      </c>
      <c r="D108" s="286">
        <v>165.61562702866021</v>
      </c>
      <c r="E108" s="285">
        <f t="shared" si="3"/>
        <v>160.943062</v>
      </c>
      <c r="F108" s="294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44182</v>
      </c>
      <c r="C109" s="285">
        <v>61.788949000000002</v>
      </c>
      <c r="D109" s="286">
        <v>165.61562702866021</v>
      </c>
      <c r="E109" s="285">
        <f t="shared" si="3"/>
        <v>61.788949000000002</v>
      </c>
      <c r="F109" s="294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44183</v>
      </c>
      <c r="C110" s="285">
        <v>123.33253199999999</v>
      </c>
      <c r="D110" s="286">
        <v>165.61562702866021</v>
      </c>
      <c r="E110" s="285">
        <f t="shared" si="3"/>
        <v>123.33253199999999</v>
      </c>
      <c r="F110" s="294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44184</v>
      </c>
      <c r="C111" s="285">
        <v>135.376823</v>
      </c>
      <c r="D111" s="286">
        <v>165.61562702866021</v>
      </c>
      <c r="E111" s="285">
        <f t="shared" si="3"/>
        <v>135.376823</v>
      </c>
      <c r="F111" s="294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44185</v>
      </c>
      <c r="C112" s="285">
        <v>129.84132100000002</v>
      </c>
      <c r="D112" s="286">
        <v>165.61562702866021</v>
      </c>
      <c r="E112" s="285">
        <f t="shared" si="3"/>
        <v>129.84132100000002</v>
      </c>
      <c r="F112" s="294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44186</v>
      </c>
      <c r="C113" s="285">
        <v>155.97537800000003</v>
      </c>
      <c r="D113" s="286">
        <v>165.61562702866021</v>
      </c>
      <c r="E113" s="285">
        <f t="shared" si="3"/>
        <v>155.97537800000003</v>
      </c>
      <c r="F113" s="294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44187</v>
      </c>
      <c r="C114" s="285">
        <v>132.75632100000001</v>
      </c>
      <c r="D114" s="286">
        <v>165.61562702866021</v>
      </c>
      <c r="E114" s="285">
        <f t="shared" si="3"/>
        <v>132.75632100000001</v>
      </c>
      <c r="F114" s="294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44188</v>
      </c>
      <c r="C115" s="285">
        <v>141.42384899999999</v>
      </c>
      <c r="D115" s="286">
        <v>165.61562702866021</v>
      </c>
      <c r="E115" s="285">
        <f t="shared" si="3"/>
        <v>141.42384899999999</v>
      </c>
      <c r="F115" s="294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44189</v>
      </c>
      <c r="C116" s="285">
        <v>132.186509</v>
      </c>
      <c r="D116" s="286">
        <v>165.61562702866021</v>
      </c>
      <c r="E116" s="285">
        <f t="shared" si="3"/>
        <v>132.186509</v>
      </c>
      <c r="F116" s="294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44190</v>
      </c>
      <c r="C117" s="285">
        <v>287.57069200000001</v>
      </c>
      <c r="D117" s="286">
        <v>165.61562702866021</v>
      </c>
      <c r="E117" s="285">
        <f t="shared" si="3"/>
        <v>165.61562702866021</v>
      </c>
      <c r="F117" s="294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44191</v>
      </c>
      <c r="C118" s="285">
        <v>230.41123400000004</v>
      </c>
      <c r="D118" s="286">
        <v>165.61562702866021</v>
      </c>
      <c r="E118" s="285">
        <f t="shared" si="3"/>
        <v>165.61562702866021</v>
      </c>
      <c r="F118" s="294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44192</v>
      </c>
      <c r="C119" s="285">
        <v>264.35116399999998</v>
      </c>
      <c r="D119" s="286">
        <v>165.61562702866021</v>
      </c>
      <c r="E119" s="285">
        <f t="shared" si="3"/>
        <v>165.61562702866021</v>
      </c>
      <c r="F119" s="294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44193</v>
      </c>
      <c r="C120" s="285">
        <v>391.05309600000004</v>
      </c>
      <c r="D120" s="286">
        <v>165.61562702866021</v>
      </c>
      <c r="E120" s="285">
        <f t="shared" si="3"/>
        <v>165.61562702866021</v>
      </c>
      <c r="F120" s="294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44194</v>
      </c>
      <c r="C121" s="285">
        <v>310.73919900000004</v>
      </c>
      <c r="D121" s="286">
        <v>165.61562702866021</v>
      </c>
      <c r="E121" s="285">
        <f t="shared" si="3"/>
        <v>165.61562702866021</v>
      </c>
      <c r="F121" s="294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44195</v>
      </c>
      <c r="C122" s="285">
        <v>235.84971599999997</v>
      </c>
      <c r="D122" s="286">
        <v>165.61562702866021</v>
      </c>
      <c r="E122" s="285">
        <f t="shared" si="3"/>
        <v>165.61562702866021</v>
      </c>
      <c r="F122" s="294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44196</v>
      </c>
      <c r="C123" s="285">
        <v>233.24161699999999</v>
      </c>
      <c r="D123" s="286">
        <v>165.61562702866021</v>
      </c>
      <c r="E123" s="285">
        <f t="shared" si="3"/>
        <v>165.61562702866021</v>
      </c>
      <c r="F123" s="294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44197</v>
      </c>
      <c r="C124" s="285">
        <v>236.95572000000001</v>
      </c>
      <c r="D124" s="286">
        <v>198.76076848747033</v>
      </c>
      <c r="E124" s="285">
        <f t="shared" si="3"/>
        <v>198.76076848747033</v>
      </c>
      <c r="F124" s="294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44198</v>
      </c>
      <c r="C125" s="285">
        <v>270.51794599999999</v>
      </c>
      <c r="D125" s="286">
        <v>198.76076848747033</v>
      </c>
      <c r="E125" s="285">
        <f t="shared" si="3"/>
        <v>198.76076848747033</v>
      </c>
      <c r="F125" s="294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44199</v>
      </c>
      <c r="C126" s="285">
        <v>222.26715399999998</v>
      </c>
      <c r="D126" s="286">
        <v>198.76076848747033</v>
      </c>
      <c r="E126" s="285">
        <f t="shared" si="3"/>
        <v>198.76076848747033</v>
      </c>
      <c r="F126" s="294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44200</v>
      </c>
      <c r="C127" s="285">
        <v>127.92596</v>
      </c>
      <c r="D127" s="286">
        <v>198.76076848747033</v>
      </c>
      <c r="E127" s="285">
        <f t="shared" si="3"/>
        <v>127.92596</v>
      </c>
      <c r="F127" s="294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44201</v>
      </c>
      <c r="C128" s="285">
        <v>68.985138000000006</v>
      </c>
      <c r="D128" s="286">
        <v>198.76076848747033</v>
      </c>
      <c r="E128" s="285">
        <f t="shared" si="3"/>
        <v>68.985138000000006</v>
      </c>
      <c r="F128" s="294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44202</v>
      </c>
      <c r="C129" s="285">
        <v>67.590433999999988</v>
      </c>
      <c r="D129" s="286">
        <v>198.76076848747033</v>
      </c>
      <c r="E129" s="285">
        <f t="shared" si="3"/>
        <v>67.590433999999988</v>
      </c>
      <c r="F129" s="294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44203</v>
      </c>
      <c r="C130" s="285">
        <v>99.150615999999999</v>
      </c>
      <c r="D130" s="286">
        <v>198.76076848747033</v>
      </c>
      <c r="E130" s="285">
        <f t="shared" si="3"/>
        <v>99.150615999999999</v>
      </c>
      <c r="F130" s="294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44204</v>
      </c>
      <c r="C131" s="285">
        <v>224.30962199999999</v>
      </c>
      <c r="D131" s="286">
        <v>198.76076848747033</v>
      </c>
      <c r="E131" s="285">
        <f t="shared" ref="E131:E194" si="6">IF(C131&gt;D131,D131,C131)</f>
        <v>198.76076848747033</v>
      </c>
      <c r="F131" s="294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44205</v>
      </c>
      <c r="C132" s="285">
        <v>243.93426600000001</v>
      </c>
      <c r="D132" s="286">
        <v>198.76076848747033</v>
      </c>
      <c r="E132" s="285">
        <f t="shared" si="6"/>
        <v>198.76076848747033</v>
      </c>
      <c r="F132" s="294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44206</v>
      </c>
      <c r="C133" s="285">
        <v>254.30915300000001</v>
      </c>
      <c r="D133" s="286">
        <v>198.76076848747033</v>
      </c>
      <c r="E133" s="285">
        <f t="shared" si="6"/>
        <v>198.76076848747033</v>
      </c>
      <c r="F133" s="294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44207</v>
      </c>
      <c r="C134" s="285">
        <v>237.59064299999997</v>
      </c>
      <c r="D134" s="286">
        <v>198.76076848747033</v>
      </c>
      <c r="E134" s="285">
        <f t="shared" si="6"/>
        <v>198.76076848747033</v>
      </c>
      <c r="F134" s="294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44208</v>
      </c>
      <c r="C135" s="285">
        <v>164.969347</v>
      </c>
      <c r="D135" s="286">
        <v>198.76076848747033</v>
      </c>
      <c r="E135" s="285">
        <f t="shared" si="6"/>
        <v>164.969347</v>
      </c>
      <c r="F135" s="294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44209</v>
      </c>
      <c r="C136" s="285">
        <v>170.91346600000003</v>
      </c>
      <c r="D136" s="286">
        <v>198.76076848747033</v>
      </c>
      <c r="E136" s="285">
        <f t="shared" si="6"/>
        <v>170.91346600000003</v>
      </c>
      <c r="F136" s="294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44210</v>
      </c>
      <c r="C137" s="285">
        <v>209.658342</v>
      </c>
      <c r="D137" s="286">
        <v>198.76076848747033</v>
      </c>
      <c r="E137" s="285">
        <f t="shared" si="6"/>
        <v>198.76076848747033</v>
      </c>
      <c r="F137" s="294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44211</v>
      </c>
      <c r="C138" s="285">
        <v>217.45799000000002</v>
      </c>
      <c r="D138" s="286">
        <v>198.76076848747033</v>
      </c>
      <c r="E138" s="285">
        <f t="shared" si="6"/>
        <v>198.76076848747033</v>
      </c>
      <c r="F138" s="294"/>
      <c r="G138" s="199" t="str">
        <f t="shared" si="7"/>
        <v>E</v>
      </c>
      <c r="H138" s="287" t="str">
        <f t="shared" si="8"/>
        <v>198,8</v>
      </c>
      <c r="I138" s="288"/>
    </row>
    <row r="139" spans="1:9">
      <c r="A139" s="283">
        <v>137</v>
      </c>
      <c r="B139" s="284">
        <v>44212</v>
      </c>
      <c r="C139" s="285">
        <v>170.35610800000001</v>
      </c>
      <c r="D139" s="286">
        <v>198.76076848747033</v>
      </c>
      <c r="E139" s="285">
        <f t="shared" si="6"/>
        <v>170.35610800000001</v>
      </c>
      <c r="F139" s="294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44213</v>
      </c>
      <c r="C140" s="285">
        <v>155.22302999999999</v>
      </c>
      <c r="D140" s="286">
        <v>198.76076848747033</v>
      </c>
      <c r="E140" s="285">
        <f t="shared" si="6"/>
        <v>155.22302999999999</v>
      </c>
      <c r="F140" s="294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44214</v>
      </c>
      <c r="C141" s="285">
        <v>56.478533000000006</v>
      </c>
      <c r="D141" s="286">
        <v>198.76076848747033</v>
      </c>
      <c r="E141" s="285">
        <f t="shared" si="6"/>
        <v>56.478533000000006</v>
      </c>
      <c r="F141" s="294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44215</v>
      </c>
      <c r="C142" s="285">
        <v>144.09847200000002</v>
      </c>
      <c r="D142" s="286">
        <v>198.76076848747033</v>
      </c>
      <c r="E142" s="285">
        <f t="shared" si="6"/>
        <v>144.09847200000002</v>
      </c>
      <c r="F142" s="294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44216</v>
      </c>
      <c r="C143" s="285">
        <v>328.49757499999998</v>
      </c>
      <c r="D143" s="286">
        <v>198.76076848747033</v>
      </c>
      <c r="E143" s="285">
        <f t="shared" si="6"/>
        <v>198.76076848747033</v>
      </c>
      <c r="F143" s="294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44217</v>
      </c>
      <c r="C144" s="285">
        <v>385.38604499999997</v>
      </c>
      <c r="D144" s="286">
        <v>198.76076848747033</v>
      </c>
      <c r="E144" s="285">
        <f t="shared" si="6"/>
        <v>198.76076848747033</v>
      </c>
      <c r="F144" s="294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44218</v>
      </c>
      <c r="C145" s="285">
        <v>388.95974000000001</v>
      </c>
      <c r="D145" s="286">
        <v>198.76076848747033</v>
      </c>
      <c r="E145" s="285">
        <f t="shared" si="6"/>
        <v>198.76076848747033</v>
      </c>
      <c r="F145" s="294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44219</v>
      </c>
      <c r="C146" s="285">
        <v>411.20967400000001</v>
      </c>
      <c r="D146" s="286">
        <v>198.76076848747033</v>
      </c>
      <c r="E146" s="285">
        <f t="shared" si="6"/>
        <v>198.76076848747033</v>
      </c>
      <c r="F146" s="294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44220</v>
      </c>
      <c r="C147" s="285">
        <v>347.06242700000001</v>
      </c>
      <c r="D147" s="286">
        <v>198.76076848747033</v>
      </c>
      <c r="E147" s="285">
        <f t="shared" si="6"/>
        <v>198.76076848747033</v>
      </c>
      <c r="F147" s="294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44221</v>
      </c>
      <c r="C148" s="285">
        <v>274.75030799999996</v>
      </c>
      <c r="D148" s="286">
        <v>198.76076848747033</v>
      </c>
      <c r="E148" s="285">
        <f t="shared" si="6"/>
        <v>198.76076848747033</v>
      </c>
      <c r="F148" s="294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44222</v>
      </c>
      <c r="C149" s="285">
        <v>151.71598999999998</v>
      </c>
      <c r="D149" s="286">
        <v>198.76076848747033</v>
      </c>
      <c r="E149" s="285">
        <f t="shared" si="6"/>
        <v>151.71598999999998</v>
      </c>
      <c r="F149" s="294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44223</v>
      </c>
      <c r="C150" s="285">
        <v>219.35983599999997</v>
      </c>
      <c r="D150" s="286">
        <v>198.76076848747033</v>
      </c>
      <c r="E150" s="285">
        <f t="shared" si="6"/>
        <v>198.76076848747033</v>
      </c>
      <c r="F150" s="294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44224</v>
      </c>
      <c r="C151" s="285">
        <v>231.328667</v>
      </c>
      <c r="D151" s="286">
        <v>198.76076848747033</v>
      </c>
      <c r="E151" s="285">
        <f t="shared" si="6"/>
        <v>198.76076848747033</v>
      </c>
      <c r="F151" s="294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44225</v>
      </c>
      <c r="C152" s="285">
        <v>257.01101800000004</v>
      </c>
      <c r="D152" s="286">
        <v>198.76076848747033</v>
      </c>
      <c r="E152" s="285">
        <f t="shared" si="6"/>
        <v>198.76076848747033</v>
      </c>
      <c r="F152" s="294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44226</v>
      </c>
      <c r="C153" s="285">
        <v>379.30464200000006</v>
      </c>
      <c r="D153" s="286">
        <v>198.76076848747033</v>
      </c>
      <c r="E153" s="285">
        <f t="shared" si="6"/>
        <v>198.76076848747033</v>
      </c>
      <c r="F153" s="294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44227</v>
      </c>
      <c r="C154" s="285">
        <v>317.81020699999999</v>
      </c>
      <c r="D154" s="286">
        <v>198.76076848747033</v>
      </c>
      <c r="E154" s="285">
        <f t="shared" si="6"/>
        <v>198.76076848747033</v>
      </c>
      <c r="F154" s="294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44228</v>
      </c>
      <c r="C155" s="285">
        <v>354.63200399999994</v>
      </c>
      <c r="D155" s="286">
        <v>212.36985204649764</v>
      </c>
      <c r="E155" s="285">
        <f t="shared" si="6"/>
        <v>212.36985204649764</v>
      </c>
      <c r="F155" s="294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44229</v>
      </c>
      <c r="C156" s="285">
        <v>298.34410600000001</v>
      </c>
      <c r="D156" s="286">
        <v>212.36985204649764</v>
      </c>
      <c r="E156" s="285">
        <f t="shared" si="6"/>
        <v>212.36985204649764</v>
      </c>
      <c r="F156" s="294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44230</v>
      </c>
      <c r="C157" s="285">
        <v>248.37466599999999</v>
      </c>
      <c r="D157" s="286">
        <v>212.36985204649764</v>
      </c>
      <c r="E157" s="285">
        <f t="shared" si="6"/>
        <v>212.36985204649764</v>
      </c>
      <c r="F157" s="294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44231</v>
      </c>
      <c r="C158" s="285">
        <v>108.02166700000001</v>
      </c>
      <c r="D158" s="286">
        <v>212.36985204649764</v>
      </c>
      <c r="E158" s="285">
        <f t="shared" si="6"/>
        <v>108.02166700000001</v>
      </c>
      <c r="F158" s="294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44232</v>
      </c>
      <c r="C159" s="285">
        <v>168.37187700000001</v>
      </c>
      <c r="D159" s="286">
        <v>212.36985204649764</v>
      </c>
      <c r="E159" s="285">
        <f t="shared" si="6"/>
        <v>168.37187700000001</v>
      </c>
      <c r="F159" s="294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44233</v>
      </c>
      <c r="C160" s="285">
        <v>198.89757999999998</v>
      </c>
      <c r="D160" s="286">
        <v>212.36985204649764</v>
      </c>
      <c r="E160" s="285">
        <f t="shared" si="6"/>
        <v>198.89757999999998</v>
      </c>
      <c r="F160" s="294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44234</v>
      </c>
      <c r="C161" s="285">
        <v>260.927798</v>
      </c>
      <c r="D161" s="286">
        <v>212.36985204649764</v>
      </c>
      <c r="E161" s="285">
        <f t="shared" si="6"/>
        <v>212.36985204649764</v>
      </c>
      <c r="F161" s="294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44235</v>
      </c>
      <c r="C162" s="285">
        <v>341.245745</v>
      </c>
      <c r="D162" s="286">
        <v>212.36985204649764</v>
      </c>
      <c r="E162" s="285">
        <f t="shared" si="6"/>
        <v>212.36985204649764</v>
      </c>
      <c r="F162" s="294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44236</v>
      </c>
      <c r="C163" s="285">
        <v>335.91172600000004</v>
      </c>
      <c r="D163" s="286">
        <v>212.36985204649764</v>
      </c>
      <c r="E163" s="285">
        <f t="shared" si="6"/>
        <v>212.36985204649764</v>
      </c>
      <c r="F163" s="294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44237</v>
      </c>
      <c r="C164" s="285">
        <v>286.04804600000006</v>
      </c>
      <c r="D164" s="286">
        <v>212.36985204649764</v>
      </c>
      <c r="E164" s="285">
        <f t="shared" si="6"/>
        <v>212.36985204649764</v>
      </c>
      <c r="F164" s="294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44238</v>
      </c>
      <c r="C165" s="285">
        <v>194.20349999999999</v>
      </c>
      <c r="D165" s="286">
        <v>212.36985204649764</v>
      </c>
      <c r="E165" s="285">
        <f t="shared" si="6"/>
        <v>194.20349999999999</v>
      </c>
      <c r="F165" s="294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44239</v>
      </c>
      <c r="C166" s="285">
        <v>270.06066399999997</v>
      </c>
      <c r="D166" s="286">
        <v>212.36985204649764</v>
      </c>
      <c r="E166" s="285">
        <f t="shared" si="6"/>
        <v>212.36985204649764</v>
      </c>
      <c r="F166" s="294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44240</v>
      </c>
      <c r="C167" s="285">
        <v>188.21401900000001</v>
      </c>
      <c r="D167" s="286">
        <v>212.36985204649764</v>
      </c>
      <c r="E167" s="285">
        <f t="shared" si="6"/>
        <v>188.21401900000001</v>
      </c>
      <c r="F167" s="294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44241</v>
      </c>
      <c r="C168" s="285">
        <v>166.08467199999998</v>
      </c>
      <c r="D168" s="286">
        <v>212.36985204649764</v>
      </c>
      <c r="E168" s="285">
        <f t="shared" si="6"/>
        <v>166.08467199999998</v>
      </c>
      <c r="F168" s="294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44242</v>
      </c>
      <c r="C169" s="285">
        <v>212.85759200000001</v>
      </c>
      <c r="D169" s="286">
        <v>212.36985204649764</v>
      </c>
      <c r="E169" s="285">
        <f t="shared" si="6"/>
        <v>212.36985204649764</v>
      </c>
      <c r="F169" s="294"/>
      <c r="G169" s="199" t="str">
        <f t="shared" si="7"/>
        <v>F</v>
      </c>
      <c r="H169" s="287" t="str">
        <f t="shared" si="8"/>
        <v>212,4</v>
      </c>
      <c r="I169" s="288"/>
    </row>
    <row r="170" spans="1:9">
      <c r="A170" s="283">
        <v>168</v>
      </c>
      <c r="B170" s="284">
        <v>44243</v>
      </c>
      <c r="C170" s="285">
        <v>193.85834</v>
      </c>
      <c r="D170" s="286">
        <v>212.36985204649764</v>
      </c>
      <c r="E170" s="285">
        <f t="shared" si="6"/>
        <v>193.85834</v>
      </c>
      <c r="F170" s="294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44244</v>
      </c>
      <c r="C171" s="285">
        <v>150.38908499999999</v>
      </c>
      <c r="D171" s="286">
        <v>212.36985204649764</v>
      </c>
      <c r="E171" s="285">
        <f t="shared" si="6"/>
        <v>150.38908499999999</v>
      </c>
      <c r="F171" s="294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44245</v>
      </c>
      <c r="C172" s="285">
        <v>206.50008499999998</v>
      </c>
      <c r="D172" s="286">
        <v>212.36985204649764</v>
      </c>
      <c r="E172" s="285">
        <f t="shared" si="6"/>
        <v>206.50008499999998</v>
      </c>
      <c r="F172" s="294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44246</v>
      </c>
      <c r="C173" s="285">
        <v>231.87363300000001</v>
      </c>
      <c r="D173" s="286">
        <v>212.36985204649764</v>
      </c>
      <c r="E173" s="285">
        <f t="shared" si="6"/>
        <v>212.36985204649764</v>
      </c>
      <c r="F173" s="294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44247</v>
      </c>
      <c r="C174" s="285">
        <v>278.98808100000002</v>
      </c>
      <c r="D174" s="286">
        <v>212.36985204649764</v>
      </c>
      <c r="E174" s="285">
        <f t="shared" si="6"/>
        <v>212.36985204649764</v>
      </c>
      <c r="F174" s="294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44248</v>
      </c>
      <c r="C175" s="285">
        <v>240.68293</v>
      </c>
      <c r="D175" s="286">
        <v>212.36985204649764</v>
      </c>
      <c r="E175" s="285">
        <f t="shared" si="6"/>
        <v>212.36985204649764</v>
      </c>
      <c r="F175" s="294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44249</v>
      </c>
      <c r="C176" s="285">
        <v>175.44514599999999</v>
      </c>
      <c r="D176" s="286">
        <v>212.36985204649764</v>
      </c>
      <c r="E176" s="285">
        <f t="shared" si="6"/>
        <v>175.44514599999999</v>
      </c>
      <c r="F176" s="294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44250</v>
      </c>
      <c r="C177" s="285">
        <v>163.82093499999999</v>
      </c>
      <c r="D177" s="286">
        <v>212.36985204649764</v>
      </c>
      <c r="E177" s="285">
        <f t="shared" si="6"/>
        <v>163.82093499999999</v>
      </c>
      <c r="F177" s="294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44251</v>
      </c>
      <c r="C178" s="285">
        <v>258.985274</v>
      </c>
      <c r="D178" s="286">
        <v>212.36985204649764</v>
      </c>
      <c r="E178" s="285">
        <f t="shared" si="6"/>
        <v>212.36985204649764</v>
      </c>
      <c r="F178" s="294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44252</v>
      </c>
      <c r="C179" s="285">
        <v>138.19765100000001</v>
      </c>
      <c r="D179" s="286">
        <v>212.36985204649764</v>
      </c>
      <c r="E179" s="285">
        <f t="shared" si="6"/>
        <v>138.19765100000001</v>
      </c>
      <c r="F179" s="294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44253</v>
      </c>
      <c r="C180" s="285">
        <v>142.21125700000002</v>
      </c>
      <c r="D180" s="286">
        <v>212.36985204649764</v>
      </c>
      <c r="E180" s="285">
        <f t="shared" si="6"/>
        <v>142.21125700000002</v>
      </c>
      <c r="F180" s="294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44254</v>
      </c>
      <c r="C181" s="285">
        <v>208.04583</v>
      </c>
      <c r="D181" s="286">
        <v>212.36985204649764</v>
      </c>
      <c r="E181" s="285">
        <f t="shared" si="6"/>
        <v>208.04583</v>
      </c>
      <c r="F181" s="294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44255</v>
      </c>
      <c r="C182" s="285">
        <v>219.680318</v>
      </c>
      <c r="D182" s="286">
        <v>212.36985204649764</v>
      </c>
      <c r="E182" s="285">
        <f t="shared" si="6"/>
        <v>212.36985204649764</v>
      </c>
      <c r="F182" s="294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44256</v>
      </c>
      <c r="C183" s="285">
        <v>217.03989300000001</v>
      </c>
      <c r="D183" s="286">
        <v>201.77141510917494</v>
      </c>
      <c r="E183" s="285">
        <f t="shared" si="6"/>
        <v>201.77141510917494</v>
      </c>
      <c r="F183" s="294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44257</v>
      </c>
      <c r="C184" s="285">
        <v>116.65366299999999</v>
      </c>
      <c r="D184" s="286">
        <v>201.77141510917494</v>
      </c>
      <c r="E184" s="285">
        <f t="shared" si="6"/>
        <v>116.65366299999999</v>
      </c>
      <c r="F184" s="294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44258</v>
      </c>
      <c r="C185" s="285">
        <v>59.233159000000001</v>
      </c>
      <c r="D185" s="286">
        <v>201.77141510917494</v>
      </c>
      <c r="E185" s="285">
        <f t="shared" si="6"/>
        <v>59.233159000000001</v>
      </c>
      <c r="F185" s="294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44259</v>
      </c>
      <c r="C186" s="285">
        <v>85.570998000000003</v>
      </c>
      <c r="D186" s="286">
        <v>201.77141510917494</v>
      </c>
      <c r="E186" s="285">
        <f t="shared" si="6"/>
        <v>85.570998000000003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44260</v>
      </c>
      <c r="C187" s="285">
        <v>146.74572899999998</v>
      </c>
      <c r="D187" s="286">
        <v>201.77141510917494</v>
      </c>
      <c r="E187" s="285">
        <f t="shared" si="6"/>
        <v>146.74572899999998</v>
      </c>
      <c r="F187" s="294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44261</v>
      </c>
      <c r="C188" s="285">
        <v>136.76976400000001</v>
      </c>
      <c r="D188" s="286">
        <v>201.77141510917494</v>
      </c>
      <c r="E188" s="285">
        <f t="shared" si="6"/>
        <v>136.76976400000001</v>
      </c>
      <c r="F188" s="294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44262</v>
      </c>
      <c r="C189" s="285">
        <v>69.506714000000002</v>
      </c>
      <c r="D189" s="286">
        <v>201.77141510917494</v>
      </c>
      <c r="E189" s="285">
        <f t="shared" si="6"/>
        <v>69.506714000000002</v>
      </c>
      <c r="F189" s="294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44263</v>
      </c>
      <c r="C190" s="285">
        <v>162.11311200000003</v>
      </c>
      <c r="D190" s="286">
        <v>201.77141510917494</v>
      </c>
      <c r="E190" s="285">
        <f t="shared" si="6"/>
        <v>162.11311200000003</v>
      </c>
      <c r="F190" s="294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44264</v>
      </c>
      <c r="C191" s="285">
        <v>139.32670400000001</v>
      </c>
      <c r="D191" s="286">
        <v>201.77141510917494</v>
      </c>
      <c r="E191" s="285">
        <f t="shared" si="6"/>
        <v>139.32670400000001</v>
      </c>
      <c r="F191" s="294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44265</v>
      </c>
      <c r="C192" s="285">
        <v>117.505933</v>
      </c>
      <c r="D192" s="286">
        <v>201.77141510917494</v>
      </c>
      <c r="E192" s="285">
        <f t="shared" si="6"/>
        <v>117.505933</v>
      </c>
      <c r="F192" s="294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44266</v>
      </c>
      <c r="C193" s="285">
        <v>214.55202099999997</v>
      </c>
      <c r="D193" s="286">
        <v>201.77141510917494</v>
      </c>
      <c r="E193" s="285">
        <f t="shared" si="6"/>
        <v>201.77141510917494</v>
      </c>
      <c r="F193" s="294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44267</v>
      </c>
      <c r="C194" s="285">
        <v>177.23169000000001</v>
      </c>
      <c r="D194" s="286">
        <v>201.77141510917494</v>
      </c>
      <c r="E194" s="285">
        <f t="shared" si="6"/>
        <v>177.23169000000001</v>
      </c>
      <c r="F194" s="294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44268</v>
      </c>
      <c r="C195" s="285">
        <v>142.902986</v>
      </c>
      <c r="D195" s="286">
        <v>201.77141510917494</v>
      </c>
      <c r="E195" s="285">
        <f t="shared" ref="E195:E258" si="9">IF(C195&gt;D195,D195,C195)</f>
        <v>142.902986</v>
      </c>
      <c r="F195" s="294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44269</v>
      </c>
      <c r="C196" s="285">
        <v>198.94388500000002</v>
      </c>
      <c r="D196" s="286">
        <v>201.77141510917494</v>
      </c>
      <c r="E196" s="285">
        <f t="shared" si="9"/>
        <v>198.94388500000002</v>
      </c>
      <c r="F196" s="294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44270</v>
      </c>
      <c r="C197" s="285">
        <v>229.69514800000002</v>
      </c>
      <c r="D197" s="286">
        <v>201.77141510917494</v>
      </c>
      <c r="E197" s="285">
        <f t="shared" si="9"/>
        <v>201.77141510917494</v>
      </c>
      <c r="F197" s="294"/>
      <c r="G197" s="199" t="str">
        <f t="shared" si="10"/>
        <v>M</v>
      </c>
      <c r="H197" s="287" t="str">
        <f t="shared" si="11"/>
        <v>201,8</v>
      </c>
      <c r="I197" s="288"/>
    </row>
    <row r="198" spans="1:9">
      <c r="A198" s="283">
        <v>196</v>
      </c>
      <c r="B198" s="284">
        <v>44271</v>
      </c>
      <c r="C198" s="285">
        <v>317.664782</v>
      </c>
      <c r="D198" s="286">
        <v>201.77141510917494</v>
      </c>
      <c r="E198" s="285">
        <f t="shared" si="9"/>
        <v>201.77141510917494</v>
      </c>
      <c r="F198" s="294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44272</v>
      </c>
      <c r="C199" s="285">
        <v>352.48069299999997</v>
      </c>
      <c r="D199" s="286">
        <v>201.77141510917494</v>
      </c>
      <c r="E199" s="285">
        <f t="shared" si="9"/>
        <v>201.77141510917494</v>
      </c>
      <c r="F199" s="294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44273</v>
      </c>
      <c r="C200" s="285">
        <v>308.59627799999998</v>
      </c>
      <c r="D200" s="286">
        <v>201.77141510917494</v>
      </c>
      <c r="E200" s="285">
        <f t="shared" si="9"/>
        <v>201.77141510917494</v>
      </c>
      <c r="F200" s="294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44274</v>
      </c>
      <c r="C201" s="285">
        <v>306.92872500000004</v>
      </c>
      <c r="D201" s="286">
        <v>201.77141510917494</v>
      </c>
      <c r="E201" s="285">
        <f t="shared" si="9"/>
        <v>201.77141510917494</v>
      </c>
      <c r="F201" s="294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44275</v>
      </c>
      <c r="C202" s="285">
        <v>356.70293400000003</v>
      </c>
      <c r="D202" s="286">
        <v>201.77141510917494</v>
      </c>
      <c r="E202" s="285">
        <f t="shared" si="9"/>
        <v>201.77141510917494</v>
      </c>
      <c r="F202" s="294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44276</v>
      </c>
      <c r="C203" s="285">
        <v>299.76420299999995</v>
      </c>
      <c r="D203" s="286">
        <v>201.77141510917494</v>
      </c>
      <c r="E203" s="285">
        <f t="shared" si="9"/>
        <v>201.77141510917494</v>
      </c>
      <c r="F203" s="294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44277</v>
      </c>
      <c r="C204" s="285">
        <v>240.35423900000001</v>
      </c>
      <c r="D204" s="286">
        <v>201.77141510917494</v>
      </c>
      <c r="E204" s="285">
        <f t="shared" si="9"/>
        <v>201.77141510917494</v>
      </c>
      <c r="F204" s="294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44278</v>
      </c>
      <c r="C205" s="285">
        <v>68.061356000000004</v>
      </c>
      <c r="D205" s="286">
        <v>201.77141510917494</v>
      </c>
      <c r="E205" s="285">
        <f t="shared" si="9"/>
        <v>68.061356000000004</v>
      </c>
      <c r="F205" s="294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44279</v>
      </c>
      <c r="C206" s="285">
        <v>23.369688999999997</v>
      </c>
      <c r="D206" s="286">
        <v>201.77141510917494</v>
      </c>
      <c r="E206" s="285">
        <f t="shared" si="9"/>
        <v>23.369688999999997</v>
      </c>
      <c r="F206" s="294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44280</v>
      </c>
      <c r="C207" s="285">
        <v>46.521746999999998</v>
      </c>
      <c r="D207" s="286">
        <v>201.77141510917494</v>
      </c>
      <c r="E207" s="285">
        <f t="shared" si="9"/>
        <v>46.521746999999998</v>
      </c>
      <c r="F207" s="294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44281</v>
      </c>
      <c r="C208" s="285">
        <v>101.47027600000001</v>
      </c>
      <c r="D208" s="286">
        <v>201.77141510917494</v>
      </c>
      <c r="E208" s="285">
        <f t="shared" si="9"/>
        <v>101.47027600000001</v>
      </c>
      <c r="F208" s="294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44282</v>
      </c>
      <c r="C209" s="285">
        <v>138.59802299999998</v>
      </c>
      <c r="D209" s="286">
        <v>201.77141510917494</v>
      </c>
      <c r="E209" s="285">
        <f t="shared" si="9"/>
        <v>138.59802299999998</v>
      </c>
      <c r="F209" s="294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44283</v>
      </c>
      <c r="C210" s="285">
        <v>125.51275699999999</v>
      </c>
      <c r="D210" s="286">
        <v>201.77141510917494</v>
      </c>
      <c r="E210" s="285">
        <f t="shared" si="9"/>
        <v>125.51275699999999</v>
      </c>
      <c r="F210" s="294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44284</v>
      </c>
      <c r="C211" s="285">
        <v>224.63117300000002</v>
      </c>
      <c r="D211" s="286">
        <v>201.77141510917494</v>
      </c>
      <c r="E211" s="285">
        <f t="shared" si="9"/>
        <v>201.77141510917494</v>
      </c>
      <c r="F211" s="294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44285</v>
      </c>
      <c r="C212" s="285">
        <v>198.45922300000001</v>
      </c>
      <c r="D212" s="286">
        <v>201.77141510917494</v>
      </c>
      <c r="E212" s="285">
        <f t="shared" si="9"/>
        <v>198.45922300000001</v>
      </c>
      <c r="F212" s="294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44286</v>
      </c>
      <c r="C213" s="285">
        <v>205.817869</v>
      </c>
      <c r="D213" s="286">
        <v>201.77141510917494</v>
      </c>
      <c r="E213" s="285">
        <f t="shared" si="9"/>
        <v>201.77141510917494</v>
      </c>
      <c r="F213" s="294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44287</v>
      </c>
      <c r="C214" s="285">
        <v>182.23051199999998</v>
      </c>
      <c r="D214" s="286">
        <v>168.58444609315609</v>
      </c>
      <c r="E214" s="285">
        <f t="shared" si="9"/>
        <v>168.58444609315609</v>
      </c>
      <c r="F214" s="294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44288</v>
      </c>
      <c r="C215" s="285">
        <v>76.23691199999999</v>
      </c>
      <c r="D215" s="286">
        <v>168.58444609315609</v>
      </c>
      <c r="E215" s="285">
        <f t="shared" si="9"/>
        <v>76.23691199999999</v>
      </c>
      <c r="F215" s="294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44289</v>
      </c>
      <c r="C216" s="285">
        <v>225.276611</v>
      </c>
      <c r="D216" s="286">
        <v>168.58444609315609</v>
      </c>
      <c r="E216" s="285">
        <f t="shared" si="9"/>
        <v>168.58444609315609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44290</v>
      </c>
      <c r="C217" s="285">
        <v>191.12999299999998</v>
      </c>
      <c r="D217" s="286">
        <v>168.58444609315609</v>
      </c>
      <c r="E217" s="285">
        <f t="shared" si="9"/>
        <v>168.58444609315609</v>
      </c>
      <c r="F217" s="294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44291</v>
      </c>
      <c r="C218" s="285">
        <v>111.209886</v>
      </c>
      <c r="D218" s="286">
        <v>168.58444609315609</v>
      </c>
      <c r="E218" s="285">
        <f t="shared" si="9"/>
        <v>111.209886</v>
      </c>
      <c r="F218" s="294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44292</v>
      </c>
      <c r="C219" s="285">
        <v>259.31245100000001</v>
      </c>
      <c r="D219" s="286">
        <v>168.58444609315609</v>
      </c>
      <c r="E219" s="285">
        <f t="shared" si="9"/>
        <v>168.58444609315609</v>
      </c>
      <c r="F219" s="294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44293</v>
      </c>
      <c r="C220" s="285">
        <v>219.571595</v>
      </c>
      <c r="D220" s="286">
        <v>168.58444609315609</v>
      </c>
      <c r="E220" s="285">
        <f t="shared" si="9"/>
        <v>168.58444609315609</v>
      </c>
      <c r="F220" s="294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44294</v>
      </c>
      <c r="C221" s="285">
        <v>143.09699700000002</v>
      </c>
      <c r="D221" s="286">
        <v>168.58444609315609</v>
      </c>
      <c r="E221" s="285">
        <f t="shared" si="9"/>
        <v>143.09699700000002</v>
      </c>
      <c r="F221" s="294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44295</v>
      </c>
      <c r="C222" s="285">
        <v>125.65317399999999</v>
      </c>
      <c r="D222" s="286">
        <v>168.58444609315609</v>
      </c>
      <c r="E222" s="285">
        <f t="shared" si="9"/>
        <v>125.65317399999999</v>
      </c>
      <c r="F222" s="294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44296</v>
      </c>
      <c r="C223" s="285">
        <v>84.318607</v>
      </c>
      <c r="D223" s="286">
        <v>168.58444609315609</v>
      </c>
      <c r="E223" s="285">
        <f t="shared" si="9"/>
        <v>84.318607</v>
      </c>
      <c r="F223" s="294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44297</v>
      </c>
      <c r="C224" s="285">
        <v>207.28801800000002</v>
      </c>
      <c r="D224" s="286">
        <v>168.58444609315609</v>
      </c>
      <c r="E224" s="285">
        <f t="shared" si="9"/>
        <v>168.58444609315609</v>
      </c>
      <c r="F224" s="294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44298</v>
      </c>
      <c r="C225" s="285">
        <v>186.45330900000002</v>
      </c>
      <c r="D225" s="286">
        <v>168.58444609315609</v>
      </c>
      <c r="E225" s="285">
        <f t="shared" si="9"/>
        <v>168.58444609315609</v>
      </c>
      <c r="F225" s="294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44299</v>
      </c>
      <c r="C226" s="285">
        <v>78.330196000000001</v>
      </c>
      <c r="D226" s="286">
        <v>168.58444609315609</v>
      </c>
      <c r="E226" s="285">
        <f t="shared" si="9"/>
        <v>78.330196000000001</v>
      </c>
      <c r="F226" s="294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44300</v>
      </c>
      <c r="C227" s="285">
        <v>117.66481300000001</v>
      </c>
      <c r="D227" s="286">
        <v>168.58444609315609</v>
      </c>
      <c r="E227" s="285">
        <f t="shared" si="9"/>
        <v>117.66481300000001</v>
      </c>
      <c r="F227" s="294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44301</v>
      </c>
      <c r="C228" s="285">
        <v>192.740298</v>
      </c>
      <c r="D228" s="286">
        <v>168.58444609315609</v>
      </c>
      <c r="E228" s="285">
        <f t="shared" si="9"/>
        <v>168.58444609315609</v>
      </c>
      <c r="F228" s="294"/>
      <c r="G228" s="199" t="str">
        <f t="shared" si="10"/>
        <v>A</v>
      </c>
      <c r="H228" s="287" t="str">
        <f t="shared" si="11"/>
        <v>168,6</v>
      </c>
      <c r="I228" s="288"/>
    </row>
    <row r="229" spans="1:9">
      <c r="A229" s="283">
        <v>227</v>
      </c>
      <c r="B229" s="284">
        <v>44302</v>
      </c>
      <c r="C229" s="285">
        <v>243.010312</v>
      </c>
      <c r="D229" s="286">
        <v>168.58444609315609</v>
      </c>
      <c r="E229" s="285">
        <f t="shared" si="9"/>
        <v>168.58444609315609</v>
      </c>
      <c r="F229" s="294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44303</v>
      </c>
      <c r="C230" s="285">
        <v>227.679554</v>
      </c>
      <c r="D230" s="286">
        <v>168.58444609315609</v>
      </c>
      <c r="E230" s="285">
        <f t="shared" si="9"/>
        <v>168.58444609315609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44304</v>
      </c>
      <c r="C231" s="285">
        <v>122.07006099999998</v>
      </c>
      <c r="D231" s="286">
        <v>168.58444609315609</v>
      </c>
      <c r="E231" s="285">
        <f t="shared" si="9"/>
        <v>122.07006099999998</v>
      </c>
      <c r="F231" s="294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44305</v>
      </c>
      <c r="C232" s="285">
        <v>63.650377999999996</v>
      </c>
      <c r="D232" s="286">
        <v>168.58444609315609</v>
      </c>
      <c r="E232" s="285">
        <f t="shared" si="9"/>
        <v>63.650377999999996</v>
      </c>
      <c r="F232" s="294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44306</v>
      </c>
      <c r="C233" s="285">
        <v>47.180749000000006</v>
      </c>
      <c r="D233" s="286">
        <v>168.58444609315609</v>
      </c>
      <c r="E233" s="285">
        <f t="shared" si="9"/>
        <v>47.180749000000006</v>
      </c>
      <c r="F233" s="294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44307</v>
      </c>
      <c r="C234" s="285">
        <v>40.098511000000002</v>
      </c>
      <c r="D234" s="286">
        <v>168.58444609315609</v>
      </c>
      <c r="E234" s="285">
        <f t="shared" si="9"/>
        <v>40.098511000000002</v>
      </c>
      <c r="F234" s="294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44308</v>
      </c>
      <c r="C235" s="285">
        <v>63.853593000000004</v>
      </c>
      <c r="D235" s="286">
        <v>168.58444609315609</v>
      </c>
      <c r="E235" s="285">
        <f t="shared" si="9"/>
        <v>63.853593000000004</v>
      </c>
      <c r="F235" s="294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44309</v>
      </c>
      <c r="C236" s="285">
        <v>189.36352199999999</v>
      </c>
      <c r="D236" s="286">
        <v>168.58444609315609</v>
      </c>
      <c r="E236" s="285">
        <f t="shared" si="9"/>
        <v>168.58444609315609</v>
      </c>
      <c r="F236" s="294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44310</v>
      </c>
      <c r="C237" s="285">
        <v>221.39352</v>
      </c>
      <c r="D237" s="286">
        <v>168.58444609315609</v>
      </c>
      <c r="E237" s="285">
        <f t="shared" si="9"/>
        <v>168.58444609315609</v>
      </c>
      <c r="F237" s="294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44311</v>
      </c>
      <c r="C238" s="285">
        <v>138.57889900000001</v>
      </c>
      <c r="D238" s="286">
        <v>168.58444609315609</v>
      </c>
      <c r="E238" s="285">
        <f t="shared" si="9"/>
        <v>138.57889900000001</v>
      </c>
      <c r="F238" s="294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44312</v>
      </c>
      <c r="C239" s="285">
        <v>52.446289999999998</v>
      </c>
      <c r="D239" s="286">
        <v>168.58444609315609</v>
      </c>
      <c r="E239" s="285">
        <f t="shared" si="9"/>
        <v>52.446289999999998</v>
      </c>
      <c r="F239" s="294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44313</v>
      </c>
      <c r="C240" s="285">
        <v>55.059881000000004</v>
      </c>
      <c r="D240" s="286">
        <v>168.58444609315609</v>
      </c>
      <c r="E240" s="285">
        <f t="shared" si="9"/>
        <v>55.059881000000004</v>
      </c>
      <c r="F240" s="294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44314</v>
      </c>
      <c r="C241" s="285">
        <v>64.012494000000004</v>
      </c>
      <c r="D241" s="286">
        <v>168.58444609315609</v>
      </c>
      <c r="E241" s="285">
        <f t="shared" si="9"/>
        <v>64.012494000000004</v>
      </c>
      <c r="F241" s="294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44315</v>
      </c>
      <c r="C242" s="285">
        <v>87.578181000000001</v>
      </c>
      <c r="D242" s="286">
        <v>168.58444609315609</v>
      </c>
      <c r="E242" s="285">
        <f t="shared" si="9"/>
        <v>87.578181000000001</v>
      </c>
      <c r="F242" s="294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44316</v>
      </c>
      <c r="C243" s="285">
        <v>73.165562000000008</v>
      </c>
      <c r="D243" s="286">
        <v>168.58444609315609</v>
      </c>
      <c r="E243" s="285">
        <f t="shared" si="9"/>
        <v>73.165562000000008</v>
      </c>
      <c r="F243" s="294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44317</v>
      </c>
      <c r="C244" s="285">
        <v>168.07851199999999</v>
      </c>
      <c r="D244" s="286">
        <v>148.2255854318004</v>
      </c>
      <c r="E244" s="285">
        <f t="shared" si="9"/>
        <v>148.2255854318004</v>
      </c>
      <c r="F244" s="294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44318</v>
      </c>
      <c r="C245" s="285">
        <v>90.774007999999995</v>
      </c>
      <c r="D245" s="286">
        <v>148.2255854318004</v>
      </c>
      <c r="E245" s="285">
        <f t="shared" si="9"/>
        <v>90.774007999999995</v>
      </c>
      <c r="F245" s="294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44319</v>
      </c>
      <c r="C246" s="285">
        <v>108.63253899999999</v>
      </c>
      <c r="D246" s="286">
        <v>148.2255854318004</v>
      </c>
      <c r="E246" s="285">
        <f t="shared" si="9"/>
        <v>108.63253899999999</v>
      </c>
      <c r="F246" s="294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44320</v>
      </c>
      <c r="C247" s="285">
        <v>61.361021000000001</v>
      </c>
      <c r="D247" s="286">
        <v>148.2255854318004</v>
      </c>
      <c r="E247" s="285">
        <f t="shared" si="9"/>
        <v>61.361021000000001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44321</v>
      </c>
      <c r="C248" s="285">
        <v>77.206767999999997</v>
      </c>
      <c r="D248" s="286">
        <v>148.2255854318004</v>
      </c>
      <c r="E248" s="285">
        <f t="shared" si="9"/>
        <v>77.206767999999997</v>
      </c>
      <c r="F248" s="294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44322</v>
      </c>
      <c r="C249" s="285">
        <v>120.716683</v>
      </c>
      <c r="D249" s="286">
        <v>148.2255854318004</v>
      </c>
      <c r="E249" s="285">
        <f t="shared" si="9"/>
        <v>120.716683</v>
      </c>
      <c r="F249" s="294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44323</v>
      </c>
      <c r="C250" s="285">
        <v>91.633792</v>
      </c>
      <c r="D250" s="286">
        <v>148.2255854318004</v>
      </c>
      <c r="E250" s="285">
        <f t="shared" si="9"/>
        <v>91.633792</v>
      </c>
      <c r="F250" s="294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44324</v>
      </c>
      <c r="C251" s="285">
        <v>192.916639</v>
      </c>
      <c r="D251" s="286">
        <v>148.2255854318004</v>
      </c>
      <c r="E251" s="285">
        <f t="shared" si="9"/>
        <v>148.2255854318004</v>
      </c>
      <c r="F251" s="294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44325</v>
      </c>
      <c r="C252" s="285">
        <v>250.59213399999999</v>
      </c>
      <c r="D252" s="286">
        <v>148.2255854318004</v>
      </c>
      <c r="E252" s="285">
        <f t="shared" si="9"/>
        <v>148.2255854318004</v>
      </c>
      <c r="F252" s="294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44326</v>
      </c>
      <c r="C253" s="285">
        <v>183.542215</v>
      </c>
      <c r="D253" s="286">
        <v>148.2255854318004</v>
      </c>
      <c r="E253" s="285">
        <f t="shared" si="9"/>
        <v>148.2255854318004</v>
      </c>
      <c r="F253" s="294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44327</v>
      </c>
      <c r="C254" s="285">
        <v>278.17083700000001</v>
      </c>
      <c r="D254" s="286">
        <v>148.2255854318004</v>
      </c>
      <c r="E254" s="285">
        <f t="shared" si="9"/>
        <v>148.2255854318004</v>
      </c>
      <c r="F254" s="294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44328</v>
      </c>
      <c r="C255" s="285">
        <v>291.86536100000001</v>
      </c>
      <c r="D255" s="286">
        <v>148.2255854318004</v>
      </c>
      <c r="E255" s="285">
        <f t="shared" si="9"/>
        <v>148.2255854318004</v>
      </c>
      <c r="F255" s="294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44329</v>
      </c>
      <c r="C256" s="285">
        <v>229.81539999999998</v>
      </c>
      <c r="D256" s="286">
        <v>148.2255854318004</v>
      </c>
      <c r="E256" s="285">
        <f t="shared" si="9"/>
        <v>148.2255854318004</v>
      </c>
      <c r="F256" s="294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44330</v>
      </c>
      <c r="C257" s="285">
        <v>204.92117999999999</v>
      </c>
      <c r="D257" s="286">
        <v>148.2255854318004</v>
      </c>
      <c r="E257" s="285">
        <f t="shared" si="9"/>
        <v>148.2255854318004</v>
      </c>
      <c r="F257" s="294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44331</v>
      </c>
      <c r="C258" s="285">
        <v>269.40564499999999</v>
      </c>
      <c r="D258" s="286">
        <v>148.2255854318004</v>
      </c>
      <c r="E258" s="285">
        <f t="shared" si="9"/>
        <v>148.2255854318004</v>
      </c>
      <c r="F258" s="294"/>
      <c r="G258" s="199" t="str">
        <f t="shared" si="10"/>
        <v>M</v>
      </c>
      <c r="H258" s="287" t="str">
        <f t="shared" si="11"/>
        <v>148,2</v>
      </c>
      <c r="I258" s="288"/>
    </row>
    <row r="259" spans="1:9">
      <c r="A259" s="283">
        <v>257</v>
      </c>
      <c r="B259" s="284">
        <v>44332</v>
      </c>
      <c r="C259" s="285">
        <v>292.65967599999999</v>
      </c>
      <c r="D259" s="286">
        <v>148.2255854318004</v>
      </c>
      <c r="E259" s="285">
        <f t="shared" ref="E259:E322" si="12">IF(C259&gt;D259,D259,C259)</f>
        <v>148.2255854318004</v>
      </c>
      <c r="F259" s="294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44333</v>
      </c>
      <c r="C260" s="285">
        <v>106.189633</v>
      </c>
      <c r="D260" s="286">
        <v>148.2255854318004</v>
      </c>
      <c r="E260" s="285">
        <f t="shared" si="12"/>
        <v>106.189633</v>
      </c>
      <c r="F260" s="294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44334</v>
      </c>
      <c r="C261" s="285">
        <v>186.68419499999999</v>
      </c>
      <c r="D261" s="286">
        <v>148.2255854318004</v>
      </c>
      <c r="E261" s="285">
        <f t="shared" si="12"/>
        <v>148.2255854318004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44335</v>
      </c>
      <c r="C262" s="285">
        <v>149.78434799999999</v>
      </c>
      <c r="D262" s="286">
        <v>148.2255854318004</v>
      </c>
      <c r="E262" s="285">
        <f t="shared" si="12"/>
        <v>148.2255854318004</v>
      </c>
      <c r="F262" s="294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44336</v>
      </c>
      <c r="C263" s="285">
        <v>87.60540300000001</v>
      </c>
      <c r="D263" s="286">
        <v>148.2255854318004</v>
      </c>
      <c r="E263" s="285">
        <f t="shared" si="12"/>
        <v>87.60540300000001</v>
      </c>
      <c r="F263" s="294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44337</v>
      </c>
      <c r="C264" s="285">
        <v>147.67714699999999</v>
      </c>
      <c r="D264" s="286">
        <v>148.2255854318004</v>
      </c>
      <c r="E264" s="285">
        <f t="shared" si="12"/>
        <v>147.67714699999999</v>
      </c>
      <c r="F264" s="294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44338</v>
      </c>
      <c r="C265" s="285">
        <v>119.54665200000001</v>
      </c>
      <c r="D265" s="286">
        <v>148.2255854318004</v>
      </c>
      <c r="E265" s="285">
        <f t="shared" si="12"/>
        <v>119.54665200000001</v>
      </c>
      <c r="F265" s="294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44339</v>
      </c>
      <c r="C266" s="285">
        <v>120.54001700000001</v>
      </c>
      <c r="D266" s="286">
        <v>148.2255854318004</v>
      </c>
      <c r="E266" s="285">
        <f t="shared" si="12"/>
        <v>120.54001700000001</v>
      </c>
      <c r="F266" s="294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44340</v>
      </c>
      <c r="C267" s="285">
        <v>174.245521</v>
      </c>
      <c r="D267" s="286">
        <v>148.2255854318004</v>
      </c>
      <c r="E267" s="285">
        <f t="shared" si="12"/>
        <v>148.2255854318004</v>
      </c>
      <c r="F267" s="294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44341</v>
      </c>
      <c r="C268" s="285">
        <v>133.72583799999998</v>
      </c>
      <c r="D268" s="286">
        <v>148.2255854318004</v>
      </c>
      <c r="E268" s="285">
        <f t="shared" si="12"/>
        <v>133.72583799999998</v>
      </c>
      <c r="F268" s="294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44342</v>
      </c>
      <c r="C269" s="285">
        <v>88.334888000000007</v>
      </c>
      <c r="D269" s="286">
        <v>148.2255854318004</v>
      </c>
      <c r="E269" s="285">
        <f t="shared" si="12"/>
        <v>88.334888000000007</v>
      </c>
      <c r="F269" s="294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44343</v>
      </c>
      <c r="C270" s="285">
        <v>52.270097</v>
      </c>
      <c r="D270" s="286">
        <v>148.2255854318004</v>
      </c>
      <c r="E270" s="285">
        <f t="shared" si="12"/>
        <v>52.270097</v>
      </c>
      <c r="F270" s="294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44344</v>
      </c>
      <c r="C271" s="285">
        <v>48.856767999999995</v>
      </c>
      <c r="D271" s="286">
        <v>148.2255854318004</v>
      </c>
      <c r="E271" s="285">
        <f t="shared" si="12"/>
        <v>48.856767999999995</v>
      </c>
      <c r="F271" s="294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44345</v>
      </c>
      <c r="C272" s="285">
        <v>81.929534000000004</v>
      </c>
      <c r="D272" s="286">
        <v>148.2255854318004</v>
      </c>
      <c r="E272" s="285">
        <f t="shared" si="12"/>
        <v>81.929534000000004</v>
      </c>
      <c r="F272" s="294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44346</v>
      </c>
      <c r="C273" s="285">
        <v>117.86805100000001</v>
      </c>
      <c r="D273" s="286">
        <v>148.2255854318004</v>
      </c>
      <c r="E273" s="285">
        <f t="shared" si="12"/>
        <v>117.86805100000001</v>
      </c>
      <c r="F273" s="294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44347</v>
      </c>
      <c r="C274" s="285">
        <v>107.58759400000001</v>
      </c>
      <c r="D274" s="286">
        <v>148.2255854318004</v>
      </c>
      <c r="E274" s="285">
        <f t="shared" si="12"/>
        <v>107.58759400000001</v>
      </c>
      <c r="F274" s="294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44348</v>
      </c>
      <c r="C275" s="285">
        <v>104.232285</v>
      </c>
      <c r="D275" s="286">
        <v>125.36009436679667</v>
      </c>
      <c r="E275" s="285">
        <f t="shared" si="12"/>
        <v>104.232285</v>
      </c>
      <c r="F275" s="294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44349</v>
      </c>
      <c r="C276" s="285">
        <v>60.775233</v>
      </c>
      <c r="D276" s="286">
        <v>125.36009436679667</v>
      </c>
      <c r="E276" s="285">
        <f t="shared" si="12"/>
        <v>60.775233</v>
      </c>
      <c r="F276" s="294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44350</v>
      </c>
      <c r="C277" s="285">
        <v>124.32971499999999</v>
      </c>
      <c r="D277" s="286">
        <v>125.36009436679667</v>
      </c>
      <c r="E277" s="285">
        <f t="shared" si="12"/>
        <v>124.32971499999999</v>
      </c>
      <c r="F277" s="288">
        <f>YEAR(B277)</f>
        <v>2021</v>
      </c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44351</v>
      </c>
      <c r="C278" s="285">
        <v>102.69985699999999</v>
      </c>
      <c r="D278" s="286">
        <v>125.36009436679667</v>
      </c>
      <c r="E278" s="285">
        <f t="shared" si="12"/>
        <v>102.69985699999999</v>
      </c>
      <c r="F278" s="294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44352</v>
      </c>
      <c r="C279" s="285">
        <v>87.217461999999998</v>
      </c>
      <c r="D279" s="286">
        <v>125.36009436679667</v>
      </c>
      <c r="E279" s="285">
        <f t="shared" si="12"/>
        <v>87.217461999999998</v>
      </c>
      <c r="F279" s="294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44353</v>
      </c>
      <c r="C280" s="285">
        <v>124.337554</v>
      </c>
      <c r="D280" s="286">
        <v>125.36009436679667</v>
      </c>
      <c r="E280" s="285">
        <f t="shared" si="12"/>
        <v>124.337554</v>
      </c>
      <c r="F280" s="294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44354</v>
      </c>
      <c r="C281" s="285">
        <v>101.421727</v>
      </c>
      <c r="D281" s="286">
        <v>125.36009436679667</v>
      </c>
      <c r="E281" s="285">
        <f t="shared" si="12"/>
        <v>101.421727</v>
      </c>
      <c r="F281" s="294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44355</v>
      </c>
      <c r="C282" s="285">
        <v>72.168437000000011</v>
      </c>
      <c r="D282" s="286">
        <v>125.36009436679667</v>
      </c>
      <c r="E282" s="285">
        <f t="shared" si="12"/>
        <v>72.168437000000011</v>
      </c>
      <c r="F282" s="294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44356</v>
      </c>
      <c r="C283" s="285">
        <v>96.902244999999994</v>
      </c>
      <c r="D283" s="286">
        <v>125.36009436679667</v>
      </c>
      <c r="E283" s="285">
        <f t="shared" si="12"/>
        <v>96.902244999999994</v>
      </c>
      <c r="F283" s="294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44357</v>
      </c>
      <c r="C284" s="285">
        <v>108.52340700000001</v>
      </c>
      <c r="D284" s="286">
        <v>125.36009436679667</v>
      </c>
      <c r="E284" s="285">
        <f t="shared" si="12"/>
        <v>108.52340700000001</v>
      </c>
      <c r="F284" s="294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44358</v>
      </c>
      <c r="C285" s="285">
        <v>200.620902</v>
      </c>
      <c r="D285" s="286">
        <v>125.36009436679667</v>
      </c>
      <c r="E285" s="285">
        <f t="shared" si="12"/>
        <v>125.36009436679667</v>
      </c>
      <c r="F285" s="294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44359</v>
      </c>
      <c r="C286" s="285">
        <v>168.70168799999999</v>
      </c>
      <c r="D286" s="286">
        <v>125.36009436679667</v>
      </c>
      <c r="E286" s="285">
        <f t="shared" si="12"/>
        <v>125.36009436679667</v>
      </c>
      <c r="F286" s="294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44360</v>
      </c>
      <c r="C287" s="285">
        <v>97.78537</v>
      </c>
      <c r="D287" s="286">
        <v>125.36009436679667</v>
      </c>
      <c r="E287" s="285">
        <f t="shared" si="12"/>
        <v>97.78537</v>
      </c>
      <c r="F287" s="294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44361</v>
      </c>
      <c r="C288" s="285">
        <v>73.387034</v>
      </c>
      <c r="D288" s="286">
        <v>125.36009436679667</v>
      </c>
      <c r="E288" s="285">
        <f t="shared" si="12"/>
        <v>73.387034</v>
      </c>
      <c r="F288" s="294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44362</v>
      </c>
      <c r="C289" s="285">
        <v>113.433581</v>
      </c>
      <c r="D289" s="286">
        <v>125.36009436679667</v>
      </c>
      <c r="E289" s="285">
        <f t="shared" si="12"/>
        <v>113.433581</v>
      </c>
      <c r="F289" s="294"/>
      <c r="G289" s="199" t="str">
        <f t="shared" si="13"/>
        <v>J</v>
      </c>
      <c r="H289" s="287" t="str">
        <f t="shared" si="14"/>
        <v>125,4</v>
      </c>
      <c r="I289" s="288"/>
    </row>
    <row r="290" spans="1:9">
      <c r="A290" s="283">
        <v>288</v>
      </c>
      <c r="B290" s="284">
        <v>44363</v>
      </c>
      <c r="C290" s="285">
        <v>105.03147199999999</v>
      </c>
      <c r="D290" s="286">
        <v>125.36009436679667</v>
      </c>
      <c r="E290" s="285">
        <f t="shared" si="12"/>
        <v>105.03147199999999</v>
      </c>
      <c r="F290" s="294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44364</v>
      </c>
      <c r="C291" s="285">
        <v>96.274867</v>
      </c>
      <c r="D291" s="286">
        <v>125.36009436679667</v>
      </c>
      <c r="E291" s="285">
        <f t="shared" si="12"/>
        <v>96.274867</v>
      </c>
      <c r="F291" s="294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44365</v>
      </c>
      <c r="C292" s="285">
        <v>119.659942</v>
      </c>
      <c r="D292" s="286">
        <v>125.36009436679667</v>
      </c>
      <c r="E292" s="285">
        <f t="shared" si="12"/>
        <v>119.659942</v>
      </c>
      <c r="F292" s="294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44366</v>
      </c>
      <c r="C293" s="285">
        <v>91.504491999999999</v>
      </c>
      <c r="D293" s="286">
        <v>125.36009436679667</v>
      </c>
      <c r="E293" s="285">
        <f t="shared" si="12"/>
        <v>91.504491999999999</v>
      </c>
      <c r="F293" s="294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44367</v>
      </c>
      <c r="C294" s="285">
        <v>246.609386</v>
      </c>
      <c r="D294" s="286">
        <v>125.36009436679667</v>
      </c>
      <c r="E294" s="285">
        <f t="shared" si="12"/>
        <v>125.36009436679667</v>
      </c>
      <c r="F294" s="294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44368</v>
      </c>
      <c r="C295" s="285">
        <v>176.26033799999999</v>
      </c>
      <c r="D295" s="286">
        <v>125.36009436679667</v>
      </c>
      <c r="E295" s="285">
        <f t="shared" si="12"/>
        <v>125.36009436679667</v>
      </c>
      <c r="F295" s="294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44369</v>
      </c>
      <c r="C296" s="285">
        <v>118.332554</v>
      </c>
      <c r="D296" s="286">
        <v>125.36009436679667</v>
      </c>
      <c r="E296" s="285">
        <f t="shared" si="12"/>
        <v>118.332554</v>
      </c>
      <c r="F296" s="294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44370</v>
      </c>
      <c r="C297" s="285">
        <v>145.47273999999999</v>
      </c>
      <c r="D297" s="286">
        <v>125.36009436679667</v>
      </c>
      <c r="E297" s="285">
        <f t="shared" si="12"/>
        <v>125.36009436679667</v>
      </c>
      <c r="F297" s="294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44371</v>
      </c>
      <c r="C298" s="285">
        <v>137.651062</v>
      </c>
      <c r="D298" s="286">
        <v>125.36009436679667</v>
      </c>
      <c r="E298" s="285">
        <f t="shared" si="12"/>
        <v>125.36009436679667</v>
      </c>
      <c r="F298" s="294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44372</v>
      </c>
      <c r="C299" s="285">
        <v>113.47672999999999</v>
      </c>
      <c r="D299" s="286">
        <v>125.36009436679667</v>
      </c>
      <c r="E299" s="285">
        <f t="shared" si="12"/>
        <v>113.47672999999999</v>
      </c>
      <c r="F299" s="294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44373</v>
      </c>
      <c r="C300" s="285">
        <v>125.726333</v>
      </c>
      <c r="D300" s="286">
        <v>125.36009436679667</v>
      </c>
      <c r="E300" s="285">
        <f t="shared" si="12"/>
        <v>125.36009436679667</v>
      </c>
      <c r="F300" s="294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44374</v>
      </c>
      <c r="C301" s="285">
        <v>158.09772700000002</v>
      </c>
      <c r="D301" s="286">
        <v>125.36009436679667</v>
      </c>
      <c r="E301" s="285">
        <f t="shared" si="12"/>
        <v>125.36009436679667</v>
      </c>
      <c r="F301" s="294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44375</v>
      </c>
      <c r="C302" s="285">
        <v>127.65046000000001</v>
      </c>
      <c r="D302" s="286">
        <v>125.36009436679667</v>
      </c>
      <c r="E302" s="285">
        <f t="shared" si="12"/>
        <v>125.36009436679667</v>
      </c>
      <c r="F302" s="294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44376</v>
      </c>
      <c r="C303" s="285">
        <v>71.413732999999993</v>
      </c>
      <c r="D303" s="286">
        <v>125.36009436679667</v>
      </c>
      <c r="E303" s="285">
        <f t="shared" si="12"/>
        <v>71.413732999999993</v>
      </c>
      <c r="F303" s="294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44377</v>
      </c>
      <c r="C304" s="285">
        <v>68.069317999999996</v>
      </c>
      <c r="D304" s="286">
        <v>125.36009436679667</v>
      </c>
      <c r="E304" s="285">
        <f t="shared" si="12"/>
        <v>68.069317999999996</v>
      </c>
      <c r="F304" s="294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44378</v>
      </c>
      <c r="C305" s="285">
        <v>53.796114000000003</v>
      </c>
      <c r="D305" s="286">
        <v>123.30335963364223</v>
      </c>
      <c r="E305" s="285">
        <f t="shared" si="12"/>
        <v>53.796114000000003</v>
      </c>
      <c r="F305" s="294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44379</v>
      </c>
      <c r="C306" s="285">
        <v>81.503187999999994</v>
      </c>
      <c r="D306" s="286">
        <v>123.30335963364223</v>
      </c>
      <c r="E306" s="285">
        <f t="shared" si="12"/>
        <v>81.503187999999994</v>
      </c>
      <c r="F306" s="294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44380</v>
      </c>
      <c r="C307" s="285">
        <v>108.56992200000001</v>
      </c>
      <c r="D307" s="286">
        <v>123.30335963364223</v>
      </c>
      <c r="E307" s="285">
        <f t="shared" si="12"/>
        <v>108.56992200000001</v>
      </c>
      <c r="F307" s="294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44381</v>
      </c>
      <c r="C308" s="285">
        <v>175.18055699999999</v>
      </c>
      <c r="D308" s="286">
        <v>123.30335963364223</v>
      </c>
      <c r="E308" s="285">
        <f t="shared" si="12"/>
        <v>123.30335963364223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44382</v>
      </c>
      <c r="C309" s="285">
        <v>185.55289999999999</v>
      </c>
      <c r="D309" s="286">
        <v>123.30335963364223</v>
      </c>
      <c r="E309" s="285">
        <f t="shared" si="12"/>
        <v>123.30335963364223</v>
      </c>
      <c r="F309" s="294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44383</v>
      </c>
      <c r="C310" s="285">
        <v>170.10090700000001</v>
      </c>
      <c r="D310" s="286">
        <v>123.30335963364223</v>
      </c>
      <c r="E310" s="285">
        <f t="shared" si="12"/>
        <v>123.30335963364223</v>
      </c>
      <c r="F310" s="294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44384</v>
      </c>
      <c r="C311" s="285">
        <v>99.963069000000004</v>
      </c>
      <c r="D311" s="286">
        <v>123.30335963364223</v>
      </c>
      <c r="E311" s="285">
        <f t="shared" si="12"/>
        <v>99.963069000000004</v>
      </c>
      <c r="F311" s="294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44385</v>
      </c>
      <c r="C312" s="285">
        <v>118.72583</v>
      </c>
      <c r="D312" s="286">
        <v>123.30335963364223</v>
      </c>
      <c r="E312" s="285">
        <f t="shared" si="12"/>
        <v>118.72583</v>
      </c>
      <c r="F312" s="294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44386</v>
      </c>
      <c r="C313" s="285">
        <v>106.795545</v>
      </c>
      <c r="D313" s="286">
        <v>123.30335963364223</v>
      </c>
      <c r="E313" s="285">
        <f t="shared" si="12"/>
        <v>106.795545</v>
      </c>
      <c r="F313" s="294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44387</v>
      </c>
      <c r="C314" s="285">
        <v>101.93258</v>
      </c>
      <c r="D314" s="286">
        <v>123.30335963364223</v>
      </c>
      <c r="E314" s="285">
        <f t="shared" si="12"/>
        <v>101.93258</v>
      </c>
      <c r="F314" s="294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44388</v>
      </c>
      <c r="C315" s="285">
        <v>129.884085</v>
      </c>
      <c r="D315" s="286">
        <v>123.30335963364223</v>
      </c>
      <c r="E315" s="285">
        <f t="shared" si="12"/>
        <v>123.30335963364223</v>
      </c>
      <c r="F315" s="294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44389</v>
      </c>
      <c r="C316" s="285">
        <v>268.860343</v>
      </c>
      <c r="D316" s="286">
        <v>123.30335963364223</v>
      </c>
      <c r="E316" s="285">
        <f t="shared" si="12"/>
        <v>123.30335963364223</v>
      </c>
      <c r="F316" s="294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44390</v>
      </c>
      <c r="C317" s="285">
        <v>180.855908</v>
      </c>
      <c r="D317" s="286">
        <v>123.30335963364223</v>
      </c>
      <c r="E317" s="285">
        <f t="shared" si="12"/>
        <v>123.30335963364223</v>
      </c>
      <c r="F317" s="294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44391</v>
      </c>
      <c r="C318" s="285">
        <v>192.08663999999999</v>
      </c>
      <c r="D318" s="286">
        <v>123.30335963364223</v>
      </c>
      <c r="E318" s="285">
        <f t="shared" si="12"/>
        <v>123.30335963364223</v>
      </c>
      <c r="F318" s="294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44392</v>
      </c>
      <c r="C319" s="285">
        <v>191.57196400000001</v>
      </c>
      <c r="D319" s="286">
        <v>123.30335963364223</v>
      </c>
      <c r="E319" s="285">
        <f t="shared" si="12"/>
        <v>123.30335963364223</v>
      </c>
      <c r="F319" s="294"/>
      <c r="G319" s="199" t="str">
        <f t="shared" si="13"/>
        <v>J</v>
      </c>
      <c r="H319" s="287" t="str">
        <f t="shared" si="14"/>
        <v>123,3</v>
      </c>
      <c r="I319" s="288"/>
    </row>
    <row r="320" spans="1:9">
      <c r="A320" s="283">
        <v>318</v>
      </c>
      <c r="B320" s="284">
        <v>44393</v>
      </c>
      <c r="C320" s="285">
        <v>169.40406099999998</v>
      </c>
      <c r="D320" s="286">
        <v>123.30335963364223</v>
      </c>
      <c r="E320" s="285">
        <f t="shared" si="12"/>
        <v>123.30335963364223</v>
      </c>
      <c r="F320" s="294"/>
      <c r="G320" s="199" t="str">
        <f t="shared" si="13"/>
        <v/>
      </c>
      <c r="H320" s="287" t="str">
        <f t="shared" si="14"/>
        <v/>
      </c>
      <c r="I320" s="288"/>
    </row>
    <row r="321" spans="1:9">
      <c r="A321" s="283">
        <v>319</v>
      </c>
      <c r="B321" s="284">
        <v>44394</v>
      </c>
      <c r="C321" s="285">
        <v>110.358834</v>
      </c>
      <c r="D321" s="286">
        <v>123.30335963364223</v>
      </c>
      <c r="E321" s="285">
        <f t="shared" si="12"/>
        <v>110.358834</v>
      </c>
      <c r="F321" s="294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44395</v>
      </c>
      <c r="C322" s="285">
        <v>164.72331399999999</v>
      </c>
      <c r="D322" s="286">
        <v>123.30335963364223</v>
      </c>
      <c r="E322" s="285">
        <f t="shared" si="12"/>
        <v>123.30335963364223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44396</v>
      </c>
      <c r="C323" s="285">
        <v>90.256762000000009</v>
      </c>
      <c r="D323" s="286">
        <v>123.30335963364223</v>
      </c>
      <c r="E323" s="285">
        <f t="shared" ref="E323:E386" si="15">IF(C323&gt;D323,D323,C323)</f>
        <v>90.256762000000009</v>
      </c>
      <c r="F323" s="294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44397</v>
      </c>
      <c r="C324" s="285">
        <v>60.920558</v>
      </c>
      <c r="D324" s="286">
        <v>123.30335963364223</v>
      </c>
      <c r="E324" s="285">
        <f t="shared" si="15"/>
        <v>60.920558</v>
      </c>
      <c r="F324" s="294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44398</v>
      </c>
      <c r="C325" s="285">
        <v>54.755589000000001</v>
      </c>
      <c r="D325" s="286">
        <v>123.30335963364223</v>
      </c>
      <c r="E325" s="285">
        <f t="shared" si="15"/>
        <v>54.755589000000001</v>
      </c>
      <c r="F325" s="294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44399</v>
      </c>
      <c r="C326" s="285">
        <v>107.60026499999999</v>
      </c>
      <c r="D326" s="286">
        <v>123.30335963364223</v>
      </c>
      <c r="E326" s="285">
        <f t="shared" si="15"/>
        <v>107.60026499999999</v>
      </c>
      <c r="F326" s="294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44400</v>
      </c>
      <c r="C327" s="285">
        <v>186.93583900000002</v>
      </c>
      <c r="D327" s="286">
        <v>123.30335963364223</v>
      </c>
      <c r="E327" s="285">
        <f t="shared" si="15"/>
        <v>123.30335963364223</v>
      </c>
      <c r="F327" s="294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44401</v>
      </c>
      <c r="C328" s="285">
        <v>132.24556799999999</v>
      </c>
      <c r="D328" s="286">
        <v>123.30335963364223</v>
      </c>
      <c r="E328" s="285">
        <f t="shared" si="15"/>
        <v>123.30335963364223</v>
      </c>
      <c r="F328" s="294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44402</v>
      </c>
      <c r="C329" s="285">
        <v>99.352208000000005</v>
      </c>
      <c r="D329" s="286">
        <v>123.30335963364223</v>
      </c>
      <c r="E329" s="285">
        <f t="shared" si="15"/>
        <v>99.352208000000005</v>
      </c>
      <c r="F329" s="294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44403</v>
      </c>
      <c r="C330" s="285">
        <v>96.195096000000007</v>
      </c>
      <c r="D330" s="286">
        <v>123.30335963364223</v>
      </c>
      <c r="E330" s="285">
        <f t="shared" si="15"/>
        <v>96.195096000000007</v>
      </c>
      <c r="F330" s="294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44404</v>
      </c>
      <c r="C331" s="285">
        <v>97.58481900000001</v>
      </c>
      <c r="D331" s="286">
        <v>123.30335963364223</v>
      </c>
      <c r="E331" s="285">
        <f t="shared" si="15"/>
        <v>97.58481900000001</v>
      </c>
      <c r="F331" s="294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44405</v>
      </c>
      <c r="C332" s="285">
        <v>141.26926900000001</v>
      </c>
      <c r="D332" s="286">
        <v>123.30335963364223</v>
      </c>
      <c r="E332" s="285">
        <f t="shared" si="15"/>
        <v>123.30335963364223</v>
      </c>
      <c r="F332" s="294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44406</v>
      </c>
      <c r="C333" s="285">
        <v>126.49508</v>
      </c>
      <c r="D333" s="286">
        <v>123.30335963364223</v>
      </c>
      <c r="E333" s="285">
        <f t="shared" si="15"/>
        <v>123.30335963364223</v>
      </c>
      <c r="F333" s="294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44407</v>
      </c>
      <c r="C334" s="285">
        <v>139.68964300000002</v>
      </c>
      <c r="D334" s="286">
        <v>123.30335963364223</v>
      </c>
      <c r="E334" s="285">
        <f t="shared" si="15"/>
        <v>123.30335963364223</v>
      </c>
      <c r="F334" s="294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44408</v>
      </c>
      <c r="C335" s="285">
        <v>231.23278699999997</v>
      </c>
      <c r="D335" s="286">
        <v>123.30335963364223</v>
      </c>
      <c r="E335" s="285">
        <f>IF(C335&gt;D335,D335,C335)</f>
        <v>123.30335963364223</v>
      </c>
      <c r="F335" s="294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44409</v>
      </c>
      <c r="C336" s="285">
        <v>105.186589</v>
      </c>
      <c r="D336" s="286">
        <v>119.88874866280776</v>
      </c>
      <c r="E336" s="285">
        <f t="shared" si="15"/>
        <v>105.186589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44410</v>
      </c>
      <c r="C337" s="285">
        <v>65.453987999999995</v>
      </c>
      <c r="D337" s="286">
        <v>119.88874866280776</v>
      </c>
      <c r="E337" s="285">
        <f t="shared" si="15"/>
        <v>65.453987999999995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44411</v>
      </c>
      <c r="C338" s="285">
        <v>81.198025000000015</v>
      </c>
      <c r="D338" s="286">
        <v>119.88874866280776</v>
      </c>
      <c r="E338" s="285">
        <f t="shared" si="15"/>
        <v>81.198025000000015</v>
      </c>
      <c r="F338" s="294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44412</v>
      </c>
      <c r="C339" s="285">
        <v>117.955766</v>
      </c>
      <c r="D339" s="286">
        <v>119.88874866280776</v>
      </c>
      <c r="E339" s="285">
        <f t="shared" si="15"/>
        <v>117.955766</v>
      </c>
      <c r="F339" s="294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44413</v>
      </c>
      <c r="C340" s="285">
        <v>126.17005400000001</v>
      </c>
      <c r="D340" s="286">
        <v>119.88874866280776</v>
      </c>
      <c r="E340" s="285">
        <f t="shared" si="15"/>
        <v>119.88874866280776</v>
      </c>
      <c r="F340" s="294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44414</v>
      </c>
      <c r="C341" s="285">
        <v>136.28684099999998</v>
      </c>
      <c r="D341" s="286">
        <v>119.88874866280776</v>
      </c>
      <c r="E341" s="285">
        <f t="shared" si="15"/>
        <v>119.88874866280776</v>
      </c>
      <c r="F341" s="294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44415</v>
      </c>
      <c r="C342" s="285">
        <v>161.55767399999999</v>
      </c>
      <c r="D342" s="286">
        <v>119.88874866280776</v>
      </c>
      <c r="E342" s="285">
        <f t="shared" si="15"/>
        <v>119.88874866280776</v>
      </c>
      <c r="F342" s="294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44416</v>
      </c>
      <c r="C343" s="285">
        <v>90.908063999999996</v>
      </c>
      <c r="D343" s="286">
        <v>119.88874866280776</v>
      </c>
      <c r="E343" s="285">
        <f t="shared" si="15"/>
        <v>90.908063999999996</v>
      </c>
      <c r="F343" s="294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44417</v>
      </c>
      <c r="C344" s="285">
        <v>83.165186000000006</v>
      </c>
      <c r="D344" s="286">
        <v>119.88874866280776</v>
      </c>
      <c r="E344" s="285">
        <f t="shared" si="15"/>
        <v>83.165186000000006</v>
      </c>
      <c r="F344" s="294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44418</v>
      </c>
      <c r="C345" s="285">
        <v>63.679190999999996</v>
      </c>
      <c r="D345" s="286">
        <v>119.88874866280776</v>
      </c>
      <c r="E345" s="285">
        <f t="shared" si="15"/>
        <v>63.679190999999996</v>
      </c>
      <c r="F345" s="294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44419</v>
      </c>
      <c r="C346" s="285">
        <v>70.816256999999993</v>
      </c>
      <c r="D346" s="286">
        <v>119.88874866280776</v>
      </c>
      <c r="E346" s="285">
        <f t="shared" si="15"/>
        <v>70.816256999999993</v>
      </c>
      <c r="F346" s="294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44420</v>
      </c>
      <c r="C347" s="285">
        <v>105.14160200000001</v>
      </c>
      <c r="D347" s="286">
        <v>119.88874866280776</v>
      </c>
      <c r="E347" s="285">
        <f t="shared" si="15"/>
        <v>105.14160200000001</v>
      </c>
      <c r="F347" s="294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44421</v>
      </c>
      <c r="C348" s="285">
        <v>77.889082000000002</v>
      </c>
      <c r="D348" s="286">
        <v>119.88874866280776</v>
      </c>
      <c r="E348" s="285">
        <f t="shared" si="15"/>
        <v>77.889082000000002</v>
      </c>
      <c r="F348" s="294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44422</v>
      </c>
      <c r="C349" s="285">
        <v>88.148835999999989</v>
      </c>
      <c r="D349" s="286">
        <v>119.88874866280776</v>
      </c>
      <c r="E349" s="285">
        <f t="shared" si="15"/>
        <v>88.148835999999989</v>
      </c>
      <c r="F349" s="294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44423</v>
      </c>
      <c r="C350" s="285">
        <v>135.29880499999999</v>
      </c>
      <c r="D350" s="286">
        <v>119.88874866280776</v>
      </c>
      <c r="E350" s="285">
        <f t="shared" si="15"/>
        <v>119.88874866280776</v>
      </c>
      <c r="F350" s="294"/>
      <c r="G350" s="199" t="str">
        <f t="shared" si="16"/>
        <v>A</v>
      </c>
      <c r="H350" s="287" t="str">
        <f t="shared" si="17"/>
        <v>119,9</v>
      </c>
      <c r="I350" s="288"/>
    </row>
    <row r="351" spans="1:9">
      <c r="A351" s="283">
        <v>349</v>
      </c>
      <c r="B351" s="284">
        <v>44424</v>
      </c>
      <c r="C351" s="285">
        <v>245.534614</v>
      </c>
      <c r="D351" s="286">
        <v>119.88874866280776</v>
      </c>
      <c r="E351" s="285">
        <f t="shared" si="15"/>
        <v>119.88874866280776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44425</v>
      </c>
      <c r="C352" s="285">
        <v>263.96527000000003</v>
      </c>
      <c r="D352" s="286">
        <v>119.88874866280776</v>
      </c>
      <c r="E352" s="285">
        <f t="shared" si="15"/>
        <v>119.88874866280776</v>
      </c>
      <c r="F352" s="294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44426</v>
      </c>
      <c r="C353" s="285">
        <v>194.14503900000003</v>
      </c>
      <c r="D353" s="286">
        <v>119.88874866280776</v>
      </c>
      <c r="E353" s="285">
        <f t="shared" si="15"/>
        <v>119.88874866280776</v>
      </c>
      <c r="F353" s="294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44427</v>
      </c>
      <c r="C354" s="285">
        <v>100.68488499999999</v>
      </c>
      <c r="D354" s="286">
        <v>119.88874866280776</v>
      </c>
      <c r="E354" s="285">
        <f t="shared" si="15"/>
        <v>100.68488499999999</v>
      </c>
      <c r="F354" s="294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44428</v>
      </c>
      <c r="C355" s="285">
        <v>70.082198000000005</v>
      </c>
      <c r="D355" s="286">
        <v>119.88874866280776</v>
      </c>
      <c r="E355" s="285">
        <f t="shared" si="15"/>
        <v>70.082198000000005</v>
      </c>
      <c r="F355" s="294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44429</v>
      </c>
      <c r="C356" s="285">
        <v>75.086461</v>
      </c>
      <c r="D356" s="286">
        <v>119.88874866280776</v>
      </c>
      <c r="E356" s="285">
        <f t="shared" si="15"/>
        <v>75.086461</v>
      </c>
      <c r="F356" s="294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44430</v>
      </c>
      <c r="C357" s="285">
        <v>136.116916</v>
      </c>
      <c r="D357" s="286">
        <v>119.88874866280776</v>
      </c>
      <c r="E357" s="285">
        <f t="shared" si="15"/>
        <v>119.88874866280776</v>
      </c>
      <c r="F357" s="294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44431</v>
      </c>
      <c r="C358" s="285">
        <v>225.83128399999998</v>
      </c>
      <c r="D358" s="286">
        <v>119.88874866280776</v>
      </c>
      <c r="E358" s="285">
        <f t="shared" si="15"/>
        <v>119.88874866280776</v>
      </c>
      <c r="F358" s="294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44432</v>
      </c>
      <c r="C359" s="285">
        <v>200.03100800000001</v>
      </c>
      <c r="D359" s="286">
        <v>119.88874866280776</v>
      </c>
      <c r="E359" s="285">
        <f t="shared" si="15"/>
        <v>119.88874866280776</v>
      </c>
      <c r="F359" s="294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44433</v>
      </c>
      <c r="C360" s="285">
        <v>84.560846999999995</v>
      </c>
      <c r="D360" s="286">
        <v>119.88874866280776</v>
      </c>
      <c r="E360" s="285">
        <f t="shared" si="15"/>
        <v>84.560846999999995</v>
      </c>
      <c r="F360" s="294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44434</v>
      </c>
      <c r="C361" s="285">
        <v>43.339232000000003</v>
      </c>
      <c r="D361" s="286">
        <v>119.88874866280776</v>
      </c>
      <c r="E361" s="285">
        <f t="shared" si="15"/>
        <v>43.339232000000003</v>
      </c>
      <c r="F361" s="294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44435</v>
      </c>
      <c r="C362" s="285">
        <v>80.723176000000009</v>
      </c>
      <c r="D362" s="286">
        <v>119.88874866280776</v>
      </c>
      <c r="E362" s="285">
        <f t="shared" si="15"/>
        <v>80.723176000000009</v>
      </c>
      <c r="F362" s="294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44436</v>
      </c>
      <c r="C363" s="285">
        <v>164.13817799999998</v>
      </c>
      <c r="D363" s="286">
        <v>119.88874866280776</v>
      </c>
      <c r="E363" s="285">
        <f t="shared" si="15"/>
        <v>119.88874866280776</v>
      </c>
      <c r="F363" s="294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44437</v>
      </c>
      <c r="C364" s="285">
        <v>107.65864099999999</v>
      </c>
      <c r="D364" s="286">
        <v>119.88874866280776</v>
      </c>
      <c r="E364" s="285">
        <f t="shared" si="15"/>
        <v>107.65864099999999</v>
      </c>
      <c r="F364" s="294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44438</v>
      </c>
      <c r="C365" s="285">
        <v>70.593452999999997</v>
      </c>
      <c r="D365" s="286">
        <v>119.88874866280776</v>
      </c>
      <c r="E365" s="285">
        <f t="shared" si="15"/>
        <v>70.593452999999997</v>
      </c>
      <c r="F365" s="294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44439</v>
      </c>
      <c r="C366" s="285">
        <v>79.501626999999999</v>
      </c>
      <c r="D366" s="286">
        <v>119.88874866280776</v>
      </c>
      <c r="E366" s="285">
        <f t="shared" si="15"/>
        <v>79.501626999999999</v>
      </c>
      <c r="F366" s="294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44440</v>
      </c>
      <c r="C367" s="285">
        <v>99.476600000000005</v>
      </c>
      <c r="D367" s="286">
        <v>117.9826799919754</v>
      </c>
      <c r="E367" s="285">
        <f t="shared" si="15"/>
        <v>99.476600000000005</v>
      </c>
      <c r="F367" s="294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44441</v>
      </c>
      <c r="C368" s="285">
        <v>37.8217</v>
      </c>
      <c r="D368" s="286">
        <v>117.9826799919754</v>
      </c>
      <c r="E368" s="285">
        <f t="shared" si="15"/>
        <v>37.8217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44442</v>
      </c>
      <c r="C369" s="285">
        <v>22.157499999999999</v>
      </c>
      <c r="D369" s="286">
        <v>117.9826799919754</v>
      </c>
      <c r="E369" s="285">
        <f t="shared" si="15"/>
        <v>22.157499999999999</v>
      </c>
      <c r="F369" s="294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44443</v>
      </c>
      <c r="C370" s="285">
        <v>30.341200000000001</v>
      </c>
      <c r="D370" s="286">
        <v>117.9826799919754</v>
      </c>
      <c r="E370" s="285">
        <f t="shared" si="15"/>
        <v>30.341200000000001</v>
      </c>
      <c r="F370" s="294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44444</v>
      </c>
      <c r="C371" s="285">
        <v>74.007100000000008</v>
      </c>
      <c r="D371" s="286">
        <v>117.9826799919754</v>
      </c>
      <c r="E371" s="285">
        <f t="shared" si="15"/>
        <v>74.007100000000008</v>
      </c>
      <c r="F371" s="294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44445</v>
      </c>
      <c r="C372" s="285">
        <v>135.58270000000002</v>
      </c>
      <c r="D372" s="286">
        <v>117.9826799919754</v>
      </c>
      <c r="E372" s="285">
        <f t="shared" si="15"/>
        <v>117.9826799919754</v>
      </c>
      <c r="F372" s="294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44446</v>
      </c>
      <c r="C373" s="285">
        <v>210.7637</v>
      </c>
      <c r="D373" s="286">
        <v>117.9826799919754</v>
      </c>
      <c r="E373" s="285">
        <f t="shared" si="15"/>
        <v>117.9826799919754</v>
      </c>
      <c r="F373" s="294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44447</v>
      </c>
      <c r="C374" s="285">
        <v>128.7619</v>
      </c>
      <c r="D374" s="286">
        <v>117.9826799919754</v>
      </c>
      <c r="E374" s="285">
        <f t="shared" si="15"/>
        <v>117.9826799919754</v>
      </c>
      <c r="F374" s="294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44448</v>
      </c>
      <c r="C375" s="285">
        <v>114.539</v>
      </c>
      <c r="D375" s="286">
        <v>117.9826799919754</v>
      </c>
      <c r="E375" s="285">
        <f t="shared" si="15"/>
        <v>114.539</v>
      </c>
      <c r="F375" s="294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44449</v>
      </c>
      <c r="C376" s="285">
        <v>68.691299999999998</v>
      </c>
      <c r="D376" s="286">
        <v>117.9826799919754</v>
      </c>
      <c r="E376" s="285">
        <f t="shared" si="15"/>
        <v>68.691299999999998</v>
      </c>
      <c r="F376" s="294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44450</v>
      </c>
      <c r="C377" s="285">
        <v>35.168300000000002</v>
      </c>
      <c r="D377" s="286">
        <v>117.9826799919754</v>
      </c>
      <c r="E377" s="285">
        <f t="shared" si="15"/>
        <v>35.168300000000002</v>
      </c>
      <c r="F377" s="294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44451</v>
      </c>
      <c r="C378" s="285">
        <v>46.061800000000005</v>
      </c>
      <c r="D378" s="286">
        <v>117.9826799919754</v>
      </c>
      <c r="E378" s="285">
        <f t="shared" si="15"/>
        <v>46.061800000000005</v>
      </c>
      <c r="F378" s="294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44452</v>
      </c>
      <c r="C379" s="285">
        <v>147.72120000000001</v>
      </c>
      <c r="D379" s="286">
        <v>117.9826799919754</v>
      </c>
      <c r="E379" s="285">
        <f t="shared" si="15"/>
        <v>117.9826799919754</v>
      </c>
      <c r="F379" s="294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44453</v>
      </c>
      <c r="C380" s="285">
        <v>116.2063</v>
      </c>
      <c r="D380" s="286">
        <v>117.9826799919754</v>
      </c>
      <c r="E380" s="285">
        <f t="shared" si="15"/>
        <v>116.2063</v>
      </c>
      <c r="F380" s="294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44454</v>
      </c>
      <c r="C381" s="285">
        <v>46.036099999999998</v>
      </c>
      <c r="D381" s="286">
        <v>117.9826799919754</v>
      </c>
      <c r="E381" s="285">
        <f t="shared" si="15"/>
        <v>46.036099999999998</v>
      </c>
      <c r="F381" s="294"/>
      <c r="G381" s="199" t="str">
        <f t="shared" si="16"/>
        <v>S</v>
      </c>
      <c r="H381" s="287" t="str">
        <f t="shared" si="17"/>
        <v>118,0</v>
      </c>
      <c r="I381" s="288"/>
    </row>
    <row r="382" spans="1:9">
      <c r="A382" s="283">
        <v>380</v>
      </c>
      <c r="B382" s="284">
        <v>44455</v>
      </c>
      <c r="C382" s="285">
        <v>76.563600000000008</v>
      </c>
      <c r="D382" s="286">
        <v>117.9826799919754</v>
      </c>
      <c r="E382" s="285">
        <f t="shared" si="15"/>
        <v>76.563600000000008</v>
      </c>
      <c r="F382" s="294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44456</v>
      </c>
      <c r="C383" s="285">
        <v>49.178800000000003</v>
      </c>
      <c r="D383" s="286">
        <v>117.9826799919754</v>
      </c>
      <c r="E383" s="285">
        <f t="shared" si="15"/>
        <v>49.178800000000003</v>
      </c>
      <c r="F383" s="294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44457</v>
      </c>
      <c r="C384" s="285">
        <v>102.5</v>
      </c>
      <c r="D384" s="286">
        <v>117.9826799919754</v>
      </c>
      <c r="E384" s="285">
        <f t="shared" si="15"/>
        <v>102.5</v>
      </c>
      <c r="F384" s="294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44458</v>
      </c>
      <c r="C385" s="285">
        <v>92.060399999999987</v>
      </c>
      <c r="D385" s="286">
        <v>117.9826799919754</v>
      </c>
      <c r="E385" s="285">
        <f t="shared" si="15"/>
        <v>92.060399999999987</v>
      </c>
      <c r="F385" s="294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44459</v>
      </c>
      <c r="C386" s="285">
        <v>188.18230000000003</v>
      </c>
      <c r="D386" s="286">
        <v>117.9826799919754</v>
      </c>
      <c r="E386" s="285">
        <f t="shared" si="15"/>
        <v>117.9826799919754</v>
      </c>
      <c r="F386" s="294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44460</v>
      </c>
      <c r="C387" s="285">
        <v>217.73919999999998</v>
      </c>
      <c r="D387" s="286">
        <v>117.9826799919754</v>
      </c>
      <c r="E387" s="285">
        <f t="shared" ref="E387:E395" si="18">IF(C387&gt;D387,D387,C387)</f>
        <v>117.9826799919754</v>
      </c>
      <c r="F387" s="294"/>
      <c r="G387" s="199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5" si="20">IF(DAY($B387)=15,TEXT(D387,"#,0"),"")</f>
        <v/>
      </c>
      <c r="I387" s="288"/>
    </row>
    <row r="388" spans="1:9">
      <c r="A388" s="283">
        <v>386</v>
      </c>
      <c r="B388" s="284">
        <v>44461</v>
      </c>
      <c r="C388" s="285">
        <v>147.96889999999999</v>
      </c>
      <c r="D388" s="286">
        <v>117.9826799919754</v>
      </c>
      <c r="E388" s="285">
        <f t="shared" si="18"/>
        <v>117.9826799919754</v>
      </c>
      <c r="F388" s="294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44462</v>
      </c>
      <c r="C389" s="285">
        <v>202.48050000000001</v>
      </c>
      <c r="D389" s="286">
        <v>117.9826799919754</v>
      </c>
      <c r="E389" s="285">
        <f t="shared" si="18"/>
        <v>117.9826799919754</v>
      </c>
      <c r="F389" s="294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44463</v>
      </c>
      <c r="C390" s="285">
        <v>120.34780000000001</v>
      </c>
      <c r="D390" s="286">
        <v>117.9826799919754</v>
      </c>
      <c r="E390" s="285">
        <f t="shared" si="18"/>
        <v>117.9826799919754</v>
      </c>
      <c r="F390" s="294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44464</v>
      </c>
      <c r="C391" s="285">
        <v>116.51889999999999</v>
      </c>
      <c r="D391" s="286">
        <v>117.9826799919754</v>
      </c>
      <c r="E391" s="285">
        <f t="shared" si="18"/>
        <v>116.51889999999999</v>
      </c>
      <c r="F391" s="294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44465</v>
      </c>
      <c r="C392" s="285">
        <v>99.964799999999997</v>
      </c>
      <c r="D392" s="286">
        <v>117.9826799919754</v>
      </c>
      <c r="E392" s="285">
        <f t="shared" si="18"/>
        <v>99.964799999999997</v>
      </c>
      <c r="F392" s="294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44466</v>
      </c>
      <c r="C393" s="285">
        <v>79.377100000000013</v>
      </c>
      <c r="D393" s="286">
        <v>117.9826799919754</v>
      </c>
      <c r="E393" s="285">
        <f t="shared" si="18"/>
        <v>79.377100000000013</v>
      </c>
      <c r="F393" s="294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44467</v>
      </c>
      <c r="C394" s="285">
        <v>58.450699999999998</v>
      </c>
      <c r="D394" s="286">
        <v>117.9826799919754</v>
      </c>
      <c r="E394" s="285">
        <f t="shared" si="18"/>
        <v>58.450699999999998</v>
      </c>
      <c r="F394" s="294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44468</v>
      </c>
      <c r="C395" s="285">
        <v>124.86559999999999</v>
      </c>
      <c r="D395" s="286">
        <v>117.9826799919754</v>
      </c>
      <c r="E395" s="285">
        <f t="shared" si="18"/>
        <v>117.9826799919754</v>
      </c>
      <c r="F395" s="294"/>
      <c r="G395" s="199" t="str">
        <f t="shared" si="19"/>
        <v/>
      </c>
      <c r="H395" s="287" t="str">
        <f t="shared" si="20"/>
        <v/>
      </c>
      <c r="I395" s="288"/>
    </row>
    <row r="396" spans="1:9">
      <c r="A396" s="283">
        <v>394</v>
      </c>
      <c r="B396" s="284">
        <v>44469</v>
      </c>
      <c r="C396" s="285">
        <v>86.568600000000004</v>
      </c>
      <c r="D396" s="286">
        <v>117.9826799919754</v>
      </c>
      <c r="E396" s="285">
        <f t="shared" ref="E396" si="21">IF(C396&gt;D396,D396,C396)</f>
        <v>86.568600000000004</v>
      </c>
      <c r="F396" s="294"/>
      <c r="G396" s="199"/>
      <c r="H396" s="287"/>
      <c r="I396" s="288"/>
    </row>
    <row r="397" spans="1:9">
      <c r="B397" s="284"/>
      <c r="C397" s="285"/>
      <c r="D397" s="286"/>
      <c r="E397" s="285"/>
      <c r="F397" s="294"/>
      <c r="G397" s="199"/>
      <c r="H397" s="287"/>
      <c r="I397" s="288"/>
    </row>
    <row r="398" spans="1:9">
      <c r="B398" s="284"/>
      <c r="C398" s="285"/>
      <c r="D398" s="286"/>
      <c r="E398" s="285"/>
      <c r="F398" s="294"/>
      <c r="G398" s="199"/>
      <c r="H398" s="287"/>
      <c r="I398" s="288"/>
    </row>
    <row r="399" spans="1:9">
      <c r="B399" s="284"/>
      <c r="C399" s="285"/>
      <c r="D399" s="286"/>
      <c r="E399" s="285"/>
      <c r="F399" s="294"/>
      <c r="G399" s="199"/>
      <c r="H399" s="287"/>
      <c r="I399" s="288"/>
    </row>
    <row r="400" spans="1:9">
      <c r="B400" s="284"/>
      <c r="C400" s="285"/>
      <c r="D400" s="286"/>
      <c r="E400" s="285"/>
      <c r="F400" s="294"/>
      <c r="G400" s="199"/>
      <c r="H400" s="287"/>
      <c r="I400" s="288"/>
    </row>
    <row r="401" spans="2:9">
      <c r="B401" s="284"/>
      <c r="C401" s="285"/>
      <c r="D401" s="286"/>
      <c r="E401" s="285"/>
      <c r="F401" s="294"/>
      <c r="G401" s="199"/>
      <c r="H401" s="287"/>
      <c r="I401" s="288"/>
    </row>
    <row r="402" spans="2:9">
      <c r="B402" s="284"/>
      <c r="C402" s="285"/>
      <c r="D402" s="286"/>
      <c r="E402" s="285"/>
      <c r="F402" s="294"/>
      <c r="G402" s="199"/>
      <c r="H402" s="287"/>
      <c r="I402" s="288"/>
    </row>
    <row r="403" spans="2:9">
      <c r="B403" s="284"/>
      <c r="C403" s="285"/>
      <c r="D403" s="286"/>
      <c r="E403" s="285"/>
      <c r="F403" s="294"/>
      <c r="G403" s="199"/>
      <c r="H403" s="287"/>
      <c r="I403" s="288"/>
    </row>
    <row r="404" spans="2:9">
      <c r="B404" s="284"/>
      <c r="C404" s="285"/>
      <c r="D404" s="286"/>
      <c r="E404" s="285"/>
      <c r="F404" s="294"/>
      <c r="G404" s="199"/>
      <c r="H404" s="287"/>
      <c r="I404" s="288"/>
    </row>
    <row r="405" spans="2:9">
      <c r="B405" s="284"/>
      <c r="C405" s="285"/>
      <c r="D405" s="286"/>
      <c r="E405" s="285"/>
      <c r="F405" s="294"/>
      <c r="G405" s="199"/>
      <c r="H405" s="287"/>
      <c r="I405" s="288"/>
    </row>
    <row r="406" spans="2:9">
      <c r="B406" s="284"/>
      <c r="C406" s="285"/>
      <c r="D406" s="286"/>
      <c r="E406" s="285"/>
      <c r="F406" s="294"/>
      <c r="G406" s="199"/>
      <c r="H406" s="287"/>
      <c r="I406" s="288"/>
    </row>
    <row r="407" spans="2:9">
      <c r="B407" s="284"/>
      <c r="C407" s="285"/>
      <c r="D407" s="286"/>
      <c r="E407" s="285"/>
      <c r="F407" s="294"/>
      <c r="G407" s="199"/>
      <c r="H407" s="287"/>
      <c r="I407" s="288"/>
    </row>
    <row r="408" spans="2:9">
      <c r="B408" s="284"/>
      <c r="C408" s="285"/>
      <c r="D408" s="286"/>
      <c r="E408" s="285"/>
      <c r="F408" s="294"/>
      <c r="G408" s="199"/>
      <c r="H408" s="287"/>
      <c r="I408" s="288"/>
    </row>
    <row r="409" spans="2:9">
      <c r="B409" s="284"/>
      <c r="C409" s="285"/>
      <c r="D409" s="286"/>
      <c r="E409" s="285"/>
      <c r="F409" s="294"/>
      <c r="G409" s="199"/>
      <c r="H409" s="287"/>
      <c r="I409" s="288"/>
    </row>
    <row r="410" spans="2:9">
      <c r="B410" s="284"/>
      <c r="C410" s="285"/>
      <c r="D410" s="286"/>
      <c r="E410" s="285"/>
      <c r="F410" s="294"/>
      <c r="G410" s="199"/>
      <c r="H410" s="287"/>
      <c r="I410" s="288"/>
    </row>
    <row r="411" spans="2:9">
      <c r="B411" s="284"/>
      <c r="C411" s="285"/>
      <c r="D411" s="286"/>
      <c r="E411" s="285"/>
      <c r="F411" s="294"/>
      <c r="G411" s="199"/>
      <c r="H411" s="287"/>
      <c r="I411" s="288"/>
    </row>
    <row r="412" spans="2:9">
      <c r="B412" s="284"/>
      <c r="C412" s="285"/>
      <c r="D412" s="286"/>
      <c r="E412" s="285"/>
      <c r="F412" s="294"/>
      <c r="G412" s="199"/>
      <c r="H412" s="287"/>
      <c r="I412" s="288"/>
    </row>
    <row r="413" spans="2:9">
      <c r="B413" s="284"/>
      <c r="C413" s="285"/>
      <c r="D413" s="286"/>
      <c r="E413" s="285"/>
      <c r="F413" s="294"/>
      <c r="G413" s="199"/>
      <c r="H413" s="287"/>
      <c r="I413" s="288"/>
    </row>
    <row r="414" spans="2:9">
      <c r="B414" s="284"/>
      <c r="C414" s="285"/>
      <c r="D414" s="286"/>
      <c r="E414" s="285"/>
      <c r="F414" s="294"/>
      <c r="G414" s="199"/>
      <c r="H414" s="287"/>
      <c r="I414" s="288"/>
    </row>
    <row r="415" spans="2:9">
      <c r="B415" s="284"/>
      <c r="C415" s="285"/>
      <c r="D415" s="286"/>
      <c r="E415" s="285"/>
      <c r="F415" s="294"/>
      <c r="G415" s="199"/>
      <c r="H415" s="287"/>
      <c r="I415" s="288"/>
    </row>
    <row r="416" spans="2:9">
      <c r="B416" s="284"/>
      <c r="C416" s="285"/>
      <c r="D416" s="286"/>
      <c r="E416" s="285"/>
      <c r="F416" s="294"/>
      <c r="G416" s="199"/>
      <c r="H416" s="287"/>
      <c r="I416" s="288"/>
    </row>
    <row r="417" spans="2:9">
      <c r="B417" s="284"/>
      <c r="C417" s="285"/>
      <c r="D417" s="286"/>
      <c r="E417" s="285"/>
      <c r="F417" s="294"/>
      <c r="G417" s="199"/>
      <c r="H417" s="287"/>
      <c r="I417" s="288"/>
    </row>
    <row r="418" spans="2:9">
      <c r="B418" s="284"/>
      <c r="C418" s="285"/>
      <c r="D418" s="286"/>
      <c r="E418" s="285"/>
      <c r="F418" s="294"/>
      <c r="G418" s="199"/>
      <c r="H418" s="287"/>
      <c r="I418" s="288"/>
    </row>
    <row r="419" spans="2:9">
      <c r="B419" s="284"/>
      <c r="C419" s="285"/>
      <c r="D419" s="286"/>
      <c r="E419" s="285"/>
      <c r="F419" s="294"/>
      <c r="G419" s="199"/>
      <c r="H419" s="287"/>
      <c r="I419" s="288"/>
    </row>
    <row r="420" spans="2:9">
      <c r="B420" s="284"/>
      <c r="C420" s="285"/>
      <c r="D420" s="286"/>
      <c r="E420" s="285"/>
      <c r="F420" s="294"/>
      <c r="G420" s="199"/>
      <c r="H420" s="287"/>
      <c r="I420" s="288"/>
    </row>
    <row r="421" spans="2:9">
      <c r="B421" s="284"/>
      <c r="C421" s="285"/>
      <c r="D421" s="286"/>
      <c r="E421" s="285"/>
      <c r="F421" s="294"/>
      <c r="G421" s="199"/>
      <c r="H421" s="287"/>
      <c r="I421" s="288"/>
    </row>
    <row r="422" spans="2:9">
      <c r="B422" s="284"/>
      <c r="C422" s="285"/>
      <c r="D422" s="286"/>
      <c r="E422" s="285"/>
      <c r="F422" s="294"/>
      <c r="G422" s="199"/>
      <c r="H422" s="287"/>
      <c r="I422" s="288"/>
    </row>
    <row r="423" spans="2:9">
      <c r="B423" s="284"/>
      <c r="C423" s="285"/>
      <c r="D423" s="286"/>
      <c r="E423" s="285"/>
      <c r="F423" s="294"/>
      <c r="G423" s="199"/>
      <c r="H423" s="287"/>
      <c r="I423" s="288"/>
    </row>
    <row r="424" spans="2:9">
      <c r="B424" s="284"/>
      <c r="C424" s="285"/>
      <c r="D424" s="286"/>
      <c r="E424" s="285"/>
      <c r="F424" s="294"/>
      <c r="G424" s="199"/>
      <c r="H424" s="287"/>
      <c r="I424" s="288"/>
    </row>
    <row r="425" spans="2:9">
      <c r="B425" s="284"/>
      <c r="C425" s="285"/>
      <c r="D425" s="286"/>
      <c r="E425" s="285"/>
      <c r="F425" s="294"/>
      <c r="G425" s="199"/>
      <c r="H425" s="287"/>
      <c r="I425" s="288"/>
    </row>
    <row r="426" spans="2:9">
      <c r="B426" s="284"/>
      <c r="C426" s="285"/>
      <c r="D426" s="286"/>
      <c r="E426" s="285"/>
      <c r="F426" s="294"/>
      <c r="G426" s="199"/>
      <c r="H426" s="287"/>
      <c r="I426" s="288"/>
    </row>
    <row r="427" spans="2:9">
      <c r="B427" s="284"/>
      <c r="C427" s="285"/>
      <c r="D427" s="286"/>
      <c r="E427" s="285"/>
      <c r="F427" s="294"/>
      <c r="G427" s="199"/>
      <c r="H427" s="287"/>
      <c r="I427" s="288"/>
    </row>
    <row r="428" spans="2:9">
      <c r="B428" s="284"/>
      <c r="C428" s="285"/>
      <c r="D428" s="286"/>
      <c r="E428" s="285"/>
      <c r="F428" s="294"/>
      <c r="G428" s="199"/>
      <c r="H428" s="287"/>
      <c r="I428" s="288"/>
    </row>
    <row r="429" spans="2:9">
      <c r="B429" s="284"/>
      <c r="C429" s="285"/>
      <c r="D429" s="286"/>
      <c r="E429" s="285"/>
      <c r="F429" s="294"/>
      <c r="G429" s="199"/>
      <c r="H429" s="287"/>
      <c r="I429" s="288"/>
    </row>
    <row r="430" spans="2:9">
      <c r="B430" s="284"/>
      <c r="C430" s="285"/>
      <c r="D430" s="286"/>
      <c r="E430" s="285"/>
      <c r="F430" s="294"/>
      <c r="G430" s="199"/>
      <c r="H430" s="287"/>
      <c r="I430" s="288"/>
    </row>
    <row r="431" spans="2:9">
      <c r="B431" s="284"/>
      <c r="C431" s="285"/>
      <c r="D431" s="286"/>
      <c r="E431" s="285"/>
      <c r="F431" s="294"/>
      <c r="G431" s="199"/>
      <c r="H431" s="287"/>
      <c r="I431" s="288"/>
    </row>
    <row r="432" spans="2:9">
      <c r="B432" s="284"/>
      <c r="C432" s="285"/>
      <c r="D432" s="286"/>
      <c r="E432" s="285"/>
      <c r="F432" s="294"/>
      <c r="G432" s="199"/>
      <c r="H432" s="287"/>
      <c r="I432" s="288"/>
    </row>
    <row r="433" spans="2:9">
      <c r="B433" s="284"/>
      <c r="C433" s="285"/>
      <c r="D433" s="286"/>
      <c r="E433" s="285"/>
      <c r="F433" s="294"/>
      <c r="G433" s="199"/>
      <c r="H433" s="287"/>
      <c r="I433" s="288"/>
    </row>
    <row r="434" spans="2:9">
      <c r="B434" s="284"/>
      <c r="C434" s="285"/>
      <c r="D434" s="286"/>
      <c r="E434" s="285"/>
      <c r="F434" s="294"/>
      <c r="G434" s="199"/>
      <c r="H434" s="287"/>
      <c r="I434" s="288"/>
    </row>
    <row r="435" spans="2:9">
      <c r="B435" s="284"/>
      <c r="C435" s="285"/>
      <c r="D435" s="286"/>
      <c r="E435" s="285"/>
      <c r="F435" s="294"/>
      <c r="G435" s="199"/>
      <c r="H435" s="287"/>
      <c r="I435" s="288"/>
    </row>
    <row r="436" spans="2:9">
      <c r="B436" s="284"/>
      <c r="C436" s="285"/>
      <c r="D436" s="286"/>
      <c r="E436" s="285"/>
      <c r="F436" s="294"/>
      <c r="G436" s="199"/>
      <c r="H436" s="287"/>
      <c r="I436" s="288"/>
    </row>
    <row r="437" spans="2:9">
      <c r="B437" s="284"/>
      <c r="C437" s="285"/>
      <c r="D437" s="286"/>
      <c r="E437" s="285"/>
      <c r="F437" s="294"/>
      <c r="G437" s="199"/>
      <c r="H437" s="287"/>
      <c r="I437" s="288"/>
    </row>
    <row r="438" spans="2:9">
      <c r="B438" s="284"/>
      <c r="C438" s="285"/>
      <c r="D438" s="286"/>
      <c r="E438" s="285"/>
      <c r="F438" s="294"/>
      <c r="G438" s="199"/>
      <c r="H438" s="287"/>
      <c r="I438" s="288"/>
    </row>
    <row r="439" spans="2:9">
      <c r="B439" s="284"/>
      <c r="C439" s="285"/>
      <c r="D439" s="286"/>
      <c r="E439" s="285"/>
      <c r="F439" s="294"/>
      <c r="G439" s="199"/>
      <c r="H439" s="287"/>
      <c r="I439" s="288"/>
    </row>
    <row r="440" spans="2:9">
      <c r="B440" s="284"/>
      <c r="C440" s="285"/>
      <c r="D440" s="286"/>
      <c r="E440" s="285"/>
      <c r="F440" s="294"/>
      <c r="G440" s="199"/>
      <c r="H440" s="287"/>
      <c r="I440" s="288"/>
    </row>
    <row r="441" spans="2:9">
      <c r="B441" s="284"/>
      <c r="C441" s="285"/>
      <c r="D441" s="286"/>
      <c r="E441" s="285"/>
      <c r="F441" s="294"/>
      <c r="G441" s="199"/>
      <c r="H441" s="287"/>
      <c r="I441" s="288"/>
    </row>
    <row r="442" spans="2:9">
      <c r="B442" s="284"/>
      <c r="C442" s="285"/>
      <c r="D442" s="286"/>
      <c r="E442" s="285"/>
      <c r="F442" s="294"/>
      <c r="G442" s="199"/>
      <c r="H442" s="287"/>
      <c r="I442" s="288"/>
    </row>
    <row r="443" spans="2:9">
      <c r="B443" s="284"/>
      <c r="C443" s="285"/>
      <c r="D443" s="286"/>
      <c r="E443" s="285"/>
      <c r="F443" s="294"/>
      <c r="G443" s="199"/>
      <c r="H443" s="287"/>
      <c r="I443" s="288"/>
    </row>
    <row r="444" spans="2:9">
      <c r="B444" s="284"/>
      <c r="C444" s="285"/>
      <c r="D444" s="286"/>
      <c r="E444" s="285"/>
      <c r="F444" s="294"/>
      <c r="G444" s="199"/>
      <c r="H444" s="287"/>
      <c r="I444" s="288"/>
    </row>
    <row r="445" spans="2:9">
      <c r="B445" s="284"/>
      <c r="C445" s="285"/>
      <c r="D445" s="286"/>
      <c r="E445" s="285"/>
      <c r="F445" s="294"/>
      <c r="G445" s="199"/>
      <c r="H445" s="287"/>
      <c r="I445" s="288"/>
    </row>
    <row r="446" spans="2:9">
      <c r="B446" s="284"/>
      <c r="C446" s="285"/>
      <c r="D446" s="286"/>
      <c r="E446" s="285"/>
      <c r="F446" s="294"/>
      <c r="G446" s="199"/>
      <c r="H446" s="287"/>
      <c r="I446" s="288"/>
    </row>
    <row r="447" spans="2:9">
      <c r="B447" s="284"/>
      <c r="C447" s="285"/>
      <c r="D447" s="286"/>
      <c r="E447" s="285"/>
      <c r="F447" s="294"/>
      <c r="G447" s="199"/>
      <c r="H447" s="287"/>
      <c r="I447" s="288"/>
    </row>
    <row r="448" spans="2:9">
      <c r="B448" s="284"/>
      <c r="C448" s="285"/>
      <c r="D448" s="286"/>
      <c r="E448" s="285"/>
      <c r="F448" s="294"/>
      <c r="G448" s="199"/>
      <c r="H448" s="287"/>
      <c r="I448" s="288"/>
    </row>
    <row r="449" spans="2:9">
      <c r="B449" s="284"/>
      <c r="C449" s="285"/>
      <c r="D449" s="286"/>
      <c r="E449" s="285"/>
      <c r="F449" s="294"/>
      <c r="G449" s="199"/>
      <c r="H449" s="287"/>
      <c r="I449" s="288"/>
    </row>
    <row r="450" spans="2:9">
      <c r="B450" s="284"/>
      <c r="C450" s="285"/>
      <c r="D450" s="286"/>
      <c r="E450" s="285"/>
      <c r="F450" s="294"/>
      <c r="G450" s="199"/>
      <c r="H450" s="287"/>
      <c r="I450" s="288"/>
    </row>
    <row r="451" spans="2:9">
      <c r="B451" s="284"/>
      <c r="C451" s="285"/>
      <c r="D451" s="286"/>
      <c r="E451" s="285"/>
      <c r="F451" s="294"/>
      <c r="G451" s="199"/>
      <c r="H451" s="287"/>
      <c r="I451" s="288"/>
    </row>
    <row r="452" spans="2:9">
      <c r="B452" s="284"/>
      <c r="C452" s="285"/>
      <c r="D452" s="286"/>
      <c r="E452" s="285"/>
      <c r="F452" s="294"/>
      <c r="G452" s="199"/>
      <c r="H452" s="287"/>
      <c r="I452" s="288"/>
    </row>
    <row r="453" spans="2:9">
      <c r="B453" s="284"/>
      <c r="C453" s="285"/>
      <c r="D453" s="286"/>
      <c r="E453" s="285"/>
      <c r="F453" s="294"/>
      <c r="G453" s="199"/>
      <c r="H453" s="287"/>
      <c r="I453" s="288"/>
    </row>
    <row r="454" spans="2:9">
      <c r="B454" s="284"/>
      <c r="C454" s="285"/>
      <c r="D454" s="286"/>
      <c r="E454" s="285"/>
      <c r="F454" s="294"/>
      <c r="G454" s="199"/>
      <c r="H454" s="287"/>
      <c r="I454" s="288"/>
    </row>
    <row r="455" spans="2:9">
      <c r="B455" s="284"/>
      <c r="C455" s="285"/>
      <c r="D455" s="286"/>
      <c r="E455" s="285"/>
      <c r="F455" s="294"/>
      <c r="G455" s="199"/>
      <c r="H455" s="287"/>
      <c r="I455" s="288"/>
    </row>
    <row r="456" spans="2:9">
      <c r="B456" s="284"/>
      <c r="C456" s="285"/>
      <c r="D456" s="286"/>
      <c r="E456" s="285"/>
      <c r="F456" s="294"/>
      <c r="G456" s="199"/>
      <c r="H456" s="287"/>
      <c r="I456" s="288"/>
    </row>
    <row r="457" spans="2:9">
      <c r="B457" s="284"/>
      <c r="C457" s="285"/>
      <c r="D457" s="286"/>
      <c r="E457" s="285"/>
      <c r="F457" s="294"/>
      <c r="G457" s="199"/>
      <c r="H457" s="287"/>
      <c r="I457" s="288"/>
    </row>
    <row r="458" spans="2:9">
      <c r="B458" s="284"/>
      <c r="C458" s="285"/>
      <c r="D458" s="286"/>
      <c r="E458" s="285"/>
      <c r="F458" s="294"/>
      <c r="G458" s="199"/>
      <c r="H458" s="287"/>
      <c r="I458" s="288"/>
    </row>
    <row r="459" spans="2:9">
      <c r="B459" s="284"/>
      <c r="C459" s="285"/>
      <c r="D459" s="286"/>
      <c r="E459" s="285"/>
      <c r="F459" s="294"/>
      <c r="G459" s="199"/>
      <c r="H459" s="287"/>
      <c r="I459" s="288"/>
    </row>
    <row r="460" spans="2:9">
      <c r="B460" s="284"/>
      <c r="C460" s="285"/>
      <c r="D460" s="286"/>
      <c r="E460" s="285"/>
      <c r="F460" s="294"/>
      <c r="G460" s="199"/>
      <c r="H460" s="287"/>
      <c r="I460" s="288"/>
    </row>
    <row r="461" spans="2:9">
      <c r="B461" s="284"/>
      <c r="C461" s="285"/>
      <c r="D461" s="286"/>
      <c r="E461" s="285"/>
      <c r="F461" s="294"/>
      <c r="G461" s="199"/>
      <c r="H461" s="287"/>
      <c r="I461" s="288"/>
    </row>
    <row r="462" spans="2:9">
      <c r="B462" s="284"/>
      <c r="C462" s="285"/>
      <c r="D462" s="286"/>
      <c r="E462" s="285"/>
      <c r="F462" s="294"/>
      <c r="G462" s="199"/>
      <c r="H462" s="287"/>
      <c r="I462" s="288"/>
    </row>
    <row r="463" spans="2:9">
      <c r="B463" s="284"/>
      <c r="C463" s="285"/>
      <c r="D463" s="286"/>
      <c r="E463" s="285"/>
      <c r="F463" s="294"/>
      <c r="G463" s="199"/>
      <c r="H463" s="287"/>
      <c r="I463" s="288"/>
    </row>
    <row r="464" spans="2:9">
      <c r="B464" s="284"/>
      <c r="C464" s="285"/>
      <c r="D464" s="286"/>
      <c r="E464" s="285"/>
      <c r="F464" s="294"/>
      <c r="G464" s="199"/>
      <c r="H464" s="287"/>
      <c r="I464" s="288"/>
    </row>
    <row r="465" spans="2:9">
      <c r="B465" s="284"/>
      <c r="C465" s="285"/>
      <c r="D465" s="286"/>
      <c r="E465" s="285"/>
      <c r="F465" s="294"/>
      <c r="G465" s="199"/>
      <c r="H465" s="287"/>
      <c r="I465" s="288"/>
    </row>
    <row r="466" spans="2:9">
      <c r="B466" s="284"/>
      <c r="C466" s="285"/>
      <c r="D466" s="286"/>
      <c r="E466" s="285"/>
      <c r="F466" s="294"/>
      <c r="G466" s="199"/>
      <c r="H466" s="287"/>
      <c r="I466" s="288"/>
    </row>
    <row r="467" spans="2:9">
      <c r="B467" s="284"/>
      <c r="C467" s="285"/>
      <c r="D467" s="286"/>
      <c r="E467" s="285"/>
      <c r="F467" s="294"/>
      <c r="G467" s="199"/>
      <c r="H467" s="287"/>
      <c r="I467" s="288"/>
    </row>
    <row r="468" spans="2:9">
      <c r="B468" s="284"/>
      <c r="C468" s="285"/>
      <c r="D468" s="286"/>
      <c r="E468" s="285"/>
      <c r="F468" s="294"/>
      <c r="G468" s="199"/>
      <c r="H468" s="287"/>
      <c r="I468" s="288"/>
    </row>
    <row r="469" spans="2:9">
      <c r="B469" s="284"/>
      <c r="C469" s="285"/>
      <c r="D469" s="286"/>
      <c r="E469" s="285"/>
      <c r="F469" s="294"/>
      <c r="G469" s="199"/>
      <c r="H469" s="287"/>
      <c r="I469" s="288"/>
    </row>
    <row r="470" spans="2:9">
      <c r="B470" s="284"/>
      <c r="C470" s="285"/>
      <c r="D470" s="286"/>
      <c r="E470" s="285"/>
      <c r="F470" s="294"/>
      <c r="G470" s="199"/>
      <c r="H470" s="287"/>
      <c r="I470" s="288"/>
    </row>
    <row r="471" spans="2:9">
      <c r="B471" s="284"/>
      <c r="C471" s="285"/>
      <c r="D471" s="286"/>
      <c r="E471" s="285"/>
      <c r="F471" s="294"/>
      <c r="G471" s="199"/>
      <c r="H471" s="287"/>
      <c r="I471" s="288"/>
    </row>
    <row r="472" spans="2:9">
      <c r="B472" s="284"/>
      <c r="C472" s="285"/>
      <c r="D472" s="286"/>
      <c r="E472" s="285"/>
      <c r="F472" s="294"/>
      <c r="G472" s="199"/>
      <c r="H472" s="287"/>
      <c r="I472" s="288"/>
    </row>
    <row r="473" spans="2:9">
      <c r="B473" s="284"/>
      <c r="C473" s="285"/>
      <c r="D473" s="286"/>
      <c r="E473" s="285"/>
      <c r="F473" s="294"/>
      <c r="G473" s="199"/>
      <c r="H473" s="287"/>
      <c r="I473" s="288"/>
    </row>
    <row r="474" spans="2:9">
      <c r="B474" s="284"/>
      <c r="C474" s="285"/>
      <c r="D474" s="286"/>
      <c r="E474" s="285"/>
      <c r="F474" s="294"/>
      <c r="G474" s="199"/>
      <c r="H474" s="287"/>
      <c r="I474" s="288"/>
    </row>
    <row r="475" spans="2:9">
      <c r="B475" s="284"/>
      <c r="C475" s="285"/>
      <c r="D475" s="286"/>
      <c r="E475" s="285"/>
      <c r="F475" s="294"/>
      <c r="G475" s="199"/>
      <c r="H475" s="287"/>
      <c r="I475" s="288"/>
    </row>
    <row r="476" spans="2:9">
      <c r="B476" s="284"/>
      <c r="C476" s="285"/>
      <c r="D476" s="286"/>
      <c r="E476" s="285"/>
      <c r="F476" s="294"/>
      <c r="G476" s="199"/>
      <c r="H476" s="287"/>
      <c r="I476" s="288"/>
    </row>
    <row r="477" spans="2:9">
      <c r="B477" s="284"/>
      <c r="C477" s="285"/>
      <c r="D477" s="286"/>
      <c r="E477" s="285"/>
      <c r="F477" s="294"/>
      <c r="G477" s="199"/>
      <c r="H477" s="287"/>
      <c r="I477" s="288"/>
    </row>
    <row r="478" spans="2:9">
      <c r="B478" s="284"/>
      <c r="C478" s="285"/>
      <c r="D478" s="286"/>
      <c r="E478" s="285"/>
      <c r="F478" s="294"/>
      <c r="G478" s="199"/>
      <c r="H478" s="287"/>
      <c r="I478" s="288"/>
    </row>
    <row r="479" spans="2:9">
      <c r="B479" s="284"/>
      <c r="C479" s="285"/>
      <c r="D479" s="286"/>
      <c r="E479" s="285"/>
      <c r="F479" s="294"/>
      <c r="G479" s="199"/>
      <c r="H479" s="287"/>
      <c r="I479" s="288"/>
    </row>
    <row r="480" spans="2:9">
      <c r="B480" s="284"/>
      <c r="C480" s="285"/>
      <c r="D480" s="286"/>
      <c r="E480" s="285"/>
      <c r="F480" s="294"/>
      <c r="G480" s="199"/>
      <c r="H480" s="287"/>
      <c r="I480" s="288"/>
    </row>
    <row r="481" spans="2:9">
      <c r="B481" s="284"/>
      <c r="C481" s="285"/>
      <c r="D481" s="286"/>
      <c r="E481" s="285"/>
      <c r="F481" s="294"/>
      <c r="G481" s="199"/>
      <c r="H481" s="287"/>
      <c r="I481" s="288"/>
    </row>
    <row r="482" spans="2:9">
      <c r="B482" s="284"/>
      <c r="C482" s="285"/>
      <c r="D482" s="286"/>
      <c r="E482" s="285"/>
      <c r="F482" s="294"/>
      <c r="G482" s="199"/>
      <c r="H482" s="287"/>
      <c r="I482" s="288"/>
    </row>
    <row r="483" spans="2:9">
      <c r="B483" s="284"/>
      <c r="C483" s="285"/>
      <c r="D483" s="286"/>
      <c r="E483" s="285"/>
      <c r="F483" s="294"/>
      <c r="G483" s="199"/>
      <c r="H483" s="287"/>
      <c r="I483" s="288"/>
    </row>
    <row r="484" spans="2:9">
      <c r="B484" s="284"/>
      <c r="C484" s="285"/>
      <c r="D484" s="286"/>
      <c r="E484" s="285"/>
      <c r="F484" s="294"/>
      <c r="G484" s="199"/>
      <c r="H484" s="287"/>
      <c r="I484" s="288"/>
    </row>
    <row r="485" spans="2:9">
      <c r="B485" s="284"/>
      <c r="C485" s="285"/>
      <c r="D485" s="286"/>
      <c r="E485" s="285"/>
      <c r="F485" s="294"/>
      <c r="G485" s="199"/>
      <c r="H485" s="287"/>
      <c r="I485" s="288"/>
    </row>
    <row r="486" spans="2:9">
      <c r="B486" s="284"/>
      <c r="C486" s="285"/>
      <c r="D486" s="286"/>
      <c r="E486" s="285"/>
      <c r="F486" s="294"/>
      <c r="G486" s="199"/>
      <c r="H486" s="287"/>
      <c r="I486" s="288"/>
    </row>
    <row r="487" spans="2:9">
      <c r="B487" s="284"/>
      <c r="C487" s="285"/>
      <c r="D487" s="286"/>
      <c r="E487" s="285"/>
      <c r="F487" s="294"/>
      <c r="G487" s="199"/>
      <c r="H487" s="287"/>
      <c r="I487" s="288"/>
    </row>
    <row r="488" spans="2:9">
      <c r="B488" s="284"/>
      <c r="C488" s="285"/>
      <c r="D488" s="286"/>
      <c r="E488" s="285"/>
      <c r="F488" s="294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G25" sqref="G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Septiembre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30" t="s">
        <v>63</v>
      </c>
      <c r="D7" s="12"/>
      <c r="E7" s="13"/>
      <c r="F7" s="331" t="str">
        <f>K3</f>
        <v>Septiembre 2021</v>
      </c>
      <c r="G7" s="332"/>
      <c r="H7" s="333" t="s">
        <v>64</v>
      </c>
      <c r="I7" s="333"/>
      <c r="J7" s="333" t="s">
        <v>71</v>
      </c>
      <c r="K7" s="333"/>
      <c r="L7" s="9"/>
    </row>
    <row r="8" spans="1:19" ht="12.75" customHeight="1">
      <c r="A8" s="7"/>
      <c r="B8" s="8"/>
      <c r="C8" s="330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1392.20737074</v>
      </c>
      <c r="G9" s="92">
        <f>VLOOKUP("Hidráulica",Dat_01!$A$8:$J$29,4,FALSE)*100</f>
        <v>-17.04792703</v>
      </c>
      <c r="H9" s="91">
        <f>VLOOKUP("Hidráulica",Dat_01!$A$8:$J$29,5,FALSE)/1000</f>
        <v>24838.94427693</v>
      </c>
      <c r="I9" s="92">
        <f>VLOOKUP("Hidráulica",Dat_01!$A$8:$J$29,7,FALSE)*100</f>
        <v>7.6831196399999993</v>
      </c>
      <c r="J9" s="91">
        <f>VLOOKUP("Hidráulica",Dat_01!$A$8:$J$29,8,FALSE)/1000</f>
        <v>32383.014979715997</v>
      </c>
      <c r="K9" s="92">
        <f>VLOOKUP("Hidráulica",Dat_01!$A$8:$J$29,10,FALSE)*100</f>
        <v>2.8336534200000001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3123.1962790000002</v>
      </c>
      <c r="G10" s="92">
        <f>VLOOKUP("Eólica",Dat_01!$A$8:$J$29,4,FALSE)*100</f>
        <v>-21.17605451</v>
      </c>
      <c r="H10" s="91">
        <f>VLOOKUP("Eólica",Dat_01!$A$8:$J$29,5,FALSE)/1000</f>
        <v>41813.023891999997</v>
      </c>
      <c r="I10" s="92">
        <f>VLOOKUP("Eólica",Dat_01!$A$8:$J$29,7,FALSE)*100</f>
        <v>14.26575471</v>
      </c>
      <c r="J10" s="91">
        <f>VLOOKUP("Eólica",Dat_01!$A$8:$J$29,8,FALSE)/1000</f>
        <v>59015.555677000004</v>
      </c>
      <c r="K10" s="92">
        <f>VLOOKUP("Eólica",Dat_01!$A$8:$J$29,10,FALSE)*100</f>
        <v>11.23687398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1866.7778960000001</v>
      </c>
      <c r="G11" s="92">
        <f>VLOOKUP("Solar fotovoltaica",Dat_01!$A$8:$J$29,4,FALSE)*100</f>
        <v>30.843839220000003</v>
      </c>
      <c r="H11" s="91">
        <f>VLOOKUP("Solar fotovoltaica",Dat_01!$A$8:$J$29,5,FALSE)/1000</f>
        <v>16314.990798000001</v>
      </c>
      <c r="I11" s="92">
        <f>VLOOKUP("Solar fotovoltaica",Dat_01!$A$8:$J$29,7,FALSE)*100</f>
        <v>34.601941019999998</v>
      </c>
      <c r="J11" s="91">
        <f>VLOOKUP("Solar fotovoltaica",Dat_01!$A$8:$J$29,8,FALSE)/1000</f>
        <v>19106.472096000001</v>
      </c>
      <c r="K11" s="92">
        <f>VLOOKUP("Solar fotovoltaica",Dat_01!$A$8:$J$29,10,FALSE)*100</f>
        <v>37.639411340000002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447.44465700000001</v>
      </c>
      <c r="G12" s="92">
        <f>VLOOKUP("Solar térmica",Dat_01!$A$8:$J$29,4,FALSE)*100</f>
        <v>-1.0426804700000001</v>
      </c>
      <c r="H12" s="91">
        <f>VLOOKUP("Solar térmica",Dat_01!$A$8:$J$29,5,FALSE)/1000</f>
        <v>4100.8798489999999</v>
      </c>
      <c r="I12" s="92">
        <f>VLOOKUP("Solar térmica",Dat_01!$A$8:$J$29,7,FALSE)*100</f>
        <v>2.1704980599999999</v>
      </c>
      <c r="J12" s="91">
        <f>VLOOKUP("Solar térmica",Dat_01!$A$8:$J$29,8,FALSE)/1000</f>
        <v>4625.4287400000003</v>
      </c>
      <c r="K12" s="92">
        <f>VLOOKUP("Solar térmica",Dat_01!$A$8:$J$29,10,FALSE)*100</f>
        <v>3.8070298599999997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395.18680599999999</v>
      </c>
      <c r="G13" s="92">
        <f>VLOOKUP("Otras renovables",Dat_01!$A$8:$J$29,4,FALSE)*100</f>
        <v>8.2707749999999997E-2</v>
      </c>
      <c r="H13" s="91">
        <f>VLOOKUP("Otras renovables",Dat_01!$A$8:$J$29,5,FALSE)/1000</f>
        <v>3407.319798</v>
      </c>
      <c r="I13" s="92">
        <f>VLOOKUP("Otras renovables",Dat_01!$A$8:$J$29,7,FALSE)*100</f>
        <v>5.1462638900000002</v>
      </c>
      <c r="J13" s="91">
        <f>VLOOKUP("Otras renovables",Dat_01!$A$8:$J$29,8,FALSE)/1000</f>
        <v>4637.057065</v>
      </c>
      <c r="K13" s="92">
        <f>VLOOKUP("Otras renovables",Dat_01!$A$8:$J$29,10,FALSE)*100</f>
        <v>11.47797793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55.639892500000002</v>
      </c>
      <c r="G14" s="92">
        <f>VLOOKUP("Residuos renovables",Dat_01!$A$8:$J$29,4,FALSE)*100</f>
        <v>-4.9015679299999997</v>
      </c>
      <c r="H14" s="91">
        <f>VLOOKUP("Residuos renovables",Dat_01!$A$8:$J$29,5,FALSE)/1000</f>
        <v>550.31548199999997</v>
      </c>
      <c r="I14" s="92">
        <f>VLOOKUP("Residuos renovables",Dat_01!$A$8:$J$29,7,FALSE)*100</f>
        <v>35.240423440000001</v>
      </c>
      <c r="J14" s="91">
        <f>VLOOKUP("Residuos renovables",Dat_01!$A$8:$J$29,8,FALSE)/1000</f>
        <v>749.52386799999999</v>
      </c>
      <c r="K14" s="92">
        <f>VLOOKUP("Residuos renovables",Dat_01!$A$8:$J$29,10,FALSE)*100</f>
        <v>26.101799660000001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7280.4529012400008</v>
      </c>
      <c r="G15" s="95">
        <f>((SUM(Dat_01!B8,Dat_01!B14:B17,Dat_01!B19)/SUM(Dat_01!C8,Dat_01!C14:C17,Dat_01!C19))-1)*100</f>
        <v>-8.6840884834251888</v>
      </c>
      <c r="H15" s="94">
        <f>SUM(H9:H14)</f>
        <v>91025.474095930011</v>
      </c>
      <c r="I15" s="95">
        <f>((SUM(Dat_01!E8,Dat_01!E14:E17,Dat_01!E19)/SUM(Dat_01!F8,Dat_01!F14:F17,Dat_01!F19))-1)*100</f>
        <v>14.581569458216359</v>
      </c>
      <c r="J15" s="94">
        <f>SUM(J9:J14)</f>
        <v>120517.05242571601</v>
      </c>
      <c r="K15" s="95">
        <f>((SUM(Dat_01!H8,Dat_01!H14:H17,Dat_01!H19)/SUM(Dat_01!I8,Dat_01!I14:I17,Dat_01!I19))-1)*100</f>
        <v>11.967273494835794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118.23987045600001</v>
      </c>
      <c r="G16" s="92">
        <f>VLOOKUP("Turbinación bombeo",Dat_01!$A$8:$J$29,4,FALSE)*100</f>
        <v>-36.995198590000001</v>
      </c>
      <c r="H16" s="91">
        <f>VLOOKUP("Turbinación bombeo",Dat_01!$A$8:$J$29,5,FALSE)/1000</f>
        <v>1943.8214167820001</v>
      </c>
      <c r="I16" s="92">
        <f>VLOOKUP("Turbinación bombeo",Dat_01!$A$8:$J$29,7,FALSE)*100</f>
        <v>-2.3799204899999999</v>
      </c>
      <c r="J16" s="91">
        <f>VLOOKUP("Turbinación bombeo",Dat_01!$A$8:$J$29,8,FALSE)/1000</f>
        <v>2700.7114879319997</v>
      </c>
      <c r="K16" s="92">
        <f>VLOOKUP("Turbinación bombeo",Dat_01!$A$8:$J$29,10,FALSE)*100</f>
        <v>3.8219895799999999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4890.5065250000007</v>
      </c>
      <c r="G17" s="92">
        <f>VLOOKUP("Nuclear",Dat_01!$A$8:$J$29,4,FALSE)*100</f>
        <v>0.39614645000000004</v>
      </c>
      <c r="H17" s="91">
        <f>VLOOKUP("Nuclear",Dat_01!$A$8:$J$29,5,FALSE)/1000</f>
        <v>41806.526270000002</v>
      </c>
      <c r="I17" s="92">
        <f>VLOOKUP("Nuclear",Dat_01!$A$8:$J$29,7,FALSE)*100</f>
        <v>1.18268975</v>
      </c>
      <c r="J17" s="91">
        <f>VLOOKUP("Nuclear",Dat_01!$A$8:$J$29,8,FALSE)/1000</f>
        <v>56245.437053000001</v>
      </c>
      <c r="K17" s="92">
        <f>VLOOKUP("Nuclear",Dat_01!$A$8:$J$29,10,FALSE)*100</f>
        <v>4.8847389799999998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4296.3758949999992</v>
      </c>
      <c r="G18" s="92">
        <f>VLOOKUP("Ciclo combinado",Dat_01!$A$8:$J$29,4,FALSE)*100</f>
        <v>-5.5009607100000002</v>
      </c>
      <c r="H18" s="91">
        <f>VLOOKUP("Ciclo combinado",Dat_01!$A$8:$J$29,5,FALSE)/1000</f>
        <v>23577.913862000001</v>
      </c>
      <c r="I18" s="92">
        <f>VLOOKUP("Ciclo combinado",Dat_01!$A$8:$J$29,7,FALSE)*100</f>
        <v>-20.824684769999998</v>
      </c>
      <c r="J18" s="91">
        <f>VLOOKUP("Ciclo combinado",Dat_01!$A$8:$J$29,8,FALSE)/1000</f>
        <v>32155.092252999999</v>
      </c>
      <c r="K18" s="92">
        <f>VLOOKUP("Ciclo combinado",Dat_01!$A$8:$J$29,10,FALSE)*100</f>
        <v>-23.477046900000001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477.93225000000001</v>
      </c>
      <c r="G19" s="92">
        <f>VLOOKUP("Carbón",Dat_01!$A$8:$J$29,4,FALSE)*100</f>
        <v>69.146662239999998</v>
      </c>
      <c r="H19" s="91">
        <f>VLOOKUP("Carbón",Dat_01!$A$8:$J$29,5,FALSE)/1000</f>
        <v>3115.6178100000002</v>
      </c>
      <c r="I19" s="92">
        <f>VLOOKUP("Carbón",Dat_01!$A$8:$J$29,7,FALSE)*100</f>
        <v>-22.237640769999999</v>
      </c>
      <c r="J19" s="91">
        <f>VLOOKUP("Carbón",Dat_01!$A$8:$J$29,8,FALSE)/1000</f>
        <v>3909.084942</v>
      </c>
      <c r="K19" s="92">
        <f>VLOOKUP("Carbón",Dat_01!$A$8:$J$29,10,FALSE)*100</f>
        <v>-30.246446900000002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55.639892500000002</v>
      </c>
      <c r="D20" s="12"/>
      <c r="E20" s="90" t="s">
        <v>9</v>
      </c>
      <c r="F20" s="91">
        <f>VLOOKUP("Cogeneración",Dat_01!$A$8:$J$29,2,FALSE)/1000</f>
        <v>2154.5010320000001</v>
      </c>
      <c r="G20" s="92">
        <f>VLOOKUP("Cogeneración",Dat_01!$A$8:$J$29,4,FALSE)*100</f>
        <v>-6.5102378899999991</v>
      </c>
      <c r="H20" s="91">
        <f>VLOOKUP("Cogeneración",Dat_01!$A$8:$J$29,5,FALSE)/1000</f>
        <v>19546.928731</v>
      </c>
      <c r="I20" s="92">
        <f>VLOOKUP("Cogeneración",Dat_01!$A$8:$J$29,7,FALSE)*100</f>
        <v>-1.75682377</v>
      </c>
      <c r="J20" s="91">
        <f>VLOOKUP("Cogeneración",Dat_01!$A$8:$J$29,8,FALSE)/1000</f>
        <v>26624.890704000001</v>
      </c>
      <c r="K20" s="92">
        <f>VLOOKUP("Cogeneración",Dat_01!$A$8:$J$29,10,FALSE)*100</f>
        <v>-2.11598861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167.38102849999999</v>
      </c>
      <c r="G21" s="92">
        <f>VLOOKUP("Residuos no renovables",Dat_01!$A$8:$J$29,4,FALSE)*100</f>
        <v>-3.74597179</v>
      </c>
      <c r="H21" s="91">
        <f>VLOOKUP("Residuos no renovables",Dat_01!$A$8:$J$29,5,FALSE)/1000</f>
        <v>1588.125329</v>
      </c>
      <c r="I21" s="92">
        <f>VLOOKUP("Residuos no renovables",Dat_01!$A$8:$J$29,7,FALSE)*100</f>
        <v>15.229894590000001</v>
      </c>
      <c r="J21" s="91">
        <f>VLOOKUP("Residuos no renovables",Dat_01!$A$8:$J$29,8,FALSE)/1000</f>
        <v>2105.6911260000002</v>
      </c>
      <c r="K21" s="92">
        <f>VLOOKUP("Residuos no renovables",Dat_01!$A$8:$J$29,10,FALSE)*100</f>
        <v>13.62781478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12104.936600956</v>
      </c>
      <c r="G22" s="95">
        <f>((SUM(Dat_01!B9:B13,Dat_01!B18,Dat_01!B20)/SUM(Dat_01!C9:C13,Dat_01!C18,Dat_01!C20))-1)*100</f>
        <v>-2.1137881422110594</v>
      </c>
      <c r="H22" s="94">
        <f>SUM(H16:H21)</f>
        <v>91578.933418781991</v>
      </c>
      <c r="I22" s="95">
        <f>((SUM(Dat_01!E9:E13,Dat_01!E18,Dat_01!E20)/SUM(Dat_01!F9:F13,Dat_01!F18,Dat_01!F20))-1)*100</f>
        <v>-6.9033455655921339</v>
      </c>
      <c r="J22" s="94">
        <f>SUM(J16:J21)</f>
        <v>123740.90756593201</v>
      </c>
      <c r="K22" s="95">
        <f>((SUM(Dat_01!H9:H13,Dat_01!H18,Dat_01!H20)/SUM(Dat_01!I9:I13,Dat_01!I18,Dat_01!I20))-1)*100</f>
        <v>-6.8953368571360691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-182.66000700000001</v>
      </c>
      <c r="G23" s="92">
        <f>VLOOKUP("Consumo de bombeo",Dat_01!$A$8:$J$29,4,FALSE)*100</f>
        <v>-17.632036970000001</v>
      </c>
      <c r="H23" s="91">
        <f>VLOOKUP("Consumo de bombeo",Dat_01!$A$8:$J$29,5,FALSE)/1000</f>
        <v>-3256.5531161260001</v>
      </c>
      <c r="I23" s="92">
        <f>VLOOKUP("Consumo de bombeo",Dat_01!$A$8:$J$29,7,FALSE)*100</f>
        <v>-5.23843119</v>
      </c>
      <c r="J23" s="91">
        <f>VLOOKUP("Consumo de bombeo",Dat_01!$A$8:$J$29,8,FALSE)/1000</f>
        <v>-4441.3056671260001</v>
      </c>
      <c r="K23" s="92">
        <f>VLOOKUP("Consumo de bombeo",Dat_01!$A$8:$J$29,10,FALSE)*100</f>
        <v>-4.9002655800000001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-37.549396999999999</v>
      </c>
      <c r="G24" s="92">
        <f>VLOOKUP("Enlace Península-Baleares",Dat_01!$A$8:$J$29,4,FALSE)*100</f>
        <v>-67.706377470000007</v>
      </c>
      <c r="H24" s="91">
        <f>VLOOKUP("Enlace Península-Baleares",Dat_01!$A$8:$J$29,5,FALSE)/1000</f>
        <v>-791.23690099999999</v>
      </c>
      <c r="I24" s="92">
        <f>VLOOKUP("Enlace Península-Baleares",Dat_01!$A$8:$J$29,7,FALSE)*100</f>
        <v>-27.142412170000004</v>
      </c>
      <c r="J24" s="91">
        <f>VLOOKUP("Enlace Península-Baleares",Dat_01!$A$8:$J$29,8,FALSE)/1000</f>
        <v>-1131.769626</v>
      </c>
      <c r="K24" s="92">
        <f>VLOOKUP("Enlace Península-Baleares",Dat_01!$A$8:$J$29,10,FALSE)*100</f>
        <v>-21.113526579999998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479.90047999999996</v>
      </c>
      <c r="G25" s="95" t="s">
        <v>18</v>
      </c>
      <c r="H25" s="97">
        <f>VLOOKUP("Saldos intercambios internacionales",Dat_01!$A$8:$J$29,5,FALSE)/1000</f>
        <v>3554.4944380000002</v>
      </c>
      <c r="I25" s="98">
        <f>VLOOKUP("Saldos intercambios internacionales",Dat_01!$A$8:$J$29,7,FALSE)*100</f>
        <v>23.385515080000001</v>
      </c>
      <c r="J25" s="97">
        <f>VLOOKUP("Saldos intercambios internacionales",Dat_01!$A$8:$J$29,8,FALSE)/1000</f>
        <v>3953.275662</v>
      </c>
      <c r="K25" s="98">
        <f>VLOOKUP("Saldos intercambios internacionales",Dat_01!$A$8:$J$29,10,FALSE)*100</f>
        <v>9.4132953599999993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19645.080578196001</v>
      </c>
      <c r="G26" s="101">
        <f>VLOOKUP("Demanda transporte (b.c.)",Dat_01!$A$8:$J$29,4,FALSE)*100</f>
        <v>1.3913943</v>
      </c>
      <c r="H26" s="100">
        <f>VLOOKUP("Demanda transporte (b.c.)",Dat_01!$A$8:$J$29,5,FALSE)/1000</f>
        <v>182111.11193458599</v>
      </c>
      <c r="I26" s="101">
        <f>VLOOKUP("Demanda transporte (b.c.)",Dat_01!$A$8:$J$29,7,FALSE)*100</f>
        <v>3.3726114300000001</v>
      </c>
      <c r="J26" s="100">
        <f>VLOOKUP("Demanda transporte (b.c.)",Dat_01!$A$8:$J$29,8,FALSE)/1000</f>
        <v>242638.16035952201</v>
      </c>
      <c r="K26" s="101">
        <f>VLOOKUP("Demanda transporte (b.c.)",Dat_01!$A$8:$J$29,10,FALSE)*100</f>
        <v>1.927629</v>
      </c>
      <c r="L26" s="19"/>
    </row>
    <row r="27" spans="1:19" ht="16.350000000000001" customHeight="1">
      <c r="E27" s="326" t="s">
        <v>83</v>
      </c>
      <c r="F27" s="327"/>
      <c r="G27" s="327"/>
      <c r="H27" s="327"/>
      <c r="I27" s="327"/>
      <c r="J27" s="327"/>
      <c r="K27" s="327"/>
      <c r="L27" s="16"/>
      <c r="M27" s="324"/>
      <c r="N27" s="324"/>
      <c r="O27" s="324"/>
      <c r="P27" s="324"/>
      <c r="Q27" s="324"/>
      <c r="R27" s="324"/>
      <c r="S27" s="324"/>
    </row>
    <row r="28" spans="1:19" ht="34.5" customHeight="1">
      <c r="E28" s="328" t="s">
        <v>187</v>
      </c>
      <c r="F28" s="329"/>
      <c r="G28" s="329"/>
      <c r="H28" s="329"/>
      <c r="I28" s="329"/>
      <c r="J28" s="329"/>
      <c r="K28" s="329"/>
      <c r="L28" s="16"/>
      <c r="M28" s="293"/>
      <c r="N28" s="293"/>
      <c r="O28" s="293"/>
      <c r="P28" s="293"/>
      <c r="Q28" s="293"/>
      <c r="R28" s="293"/>
      <c r="S28" s="293"/>
    </row>
    <row r="29" spans="1:19" ht="12.75" customHeight="1">
      <c r="E29" s="324" t="s">
        <v>54</v>
      </c>
      <c r="F29" s="324"/>
      <c r="G29" s="324"/>
      <c r="H29" s="324"/>
      <c r="I29" s="324"/>
      <c r="J29" s="324"/>
      <c r="K29" s="324"/>
      <c r="L29" s="16"/>
    </row>
    <row r="30" spans="1:19" ht="12.75" customHeight="1">
      <c r="E30" s="324" t="s">
        <v>72</v>
      </c>
      <c r="F30" s="324"/>
      <c r="G30" s="324"/>
      <c r="H30" s="324"/>
      <c r="I30" s="324"/>
      <c r="J30" s="324"/>
      <c r="K30" s="324"/>
      <c r="L30" s="16"/>
    </row>
    <row r="31" spans="1:19" ht="12.75" customHeight="1">
      <c r="E31" s="324" t="s">
        <v>154</v>
      </c>
      <c r="F31" s="324"/>
      <c r="G31" s="324"/>
      <c r="H31" s="324"/>
      <c r="I31" s="324"/>
      <c r="J31" s="324"/>
      <c r="K31" s="324"/>
      <c r="L31" s="16"/>
    </row>
    <row r="32" spans="1:19" ht="12.75" customHeight="1">
      <c r="E32" s="325" t="s">
        <v>156</v>
      </c>
      <c r="F32" s="325"/>
      <c r="G32" s="325"/>
      <c r="H32" s="325"/>
      <c r="I32" s="325"/>
      <c r="J32" s="325"/>
      <c r="K32" s="325"/>
      <c r="L32" s="16"/>
    </row>
    <row r="33" spans="5:12" ht="12.75" customHeight="1">
      <c r="E33" s="324" t="s">
        <v>158</v>
      </c>
      <c r="F33" s="324"/>
      <c r="G33" s="324"/>
      <c r="H33" s="324"/>
      <c r="I33" s="324"/>
      <c r="J33" s="324"/>
      <c r="K33" s="324"/>
      <c r="L33" s="16"/>
    </row>
    <row r="34" spans="5:12" ht="15" customHeight="1">
      <c r="E34" s="325" t="s">
        <v>74</v>
      </c>
      <c r="F34" s="325"/>
      <c r="G34" s="325"/>
      <c r="H34" s="325"/>
      <c r="I34" s="325"/>
      <c r="J34" s="325"/>
      <c r="K34" s="325"/>
    </row>
    <row r="35" spans="5:12" ht="24" customHeight="1">
      <c r="E35" s="325" t="s">
        <v>79</v>
      </c>
      <c r="F35" s="325"/>
      <c r="G35" s="325"/>
      <c r="H35" s="325"/>
      <c r="I35" s="325"/>
      <c r="J35" s="325"/>
      <c r="K35" s="325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H20" sqref="H2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Septiembre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4" t="s">
        <v>58</v>
      </c>
      <c r="D7" s="32"/>
      <c r="E7" s="39"/>
    </row>
    <row r="8" spans="2:7" s="29" customFormat="1" ht="12.75" customHeight="1">
      <c r="B8" s="28"/>
      <c r="C8" s="334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4" t="s">
        <v>60</v>
      </c>
      <c r="E23" s="41"/>
    </row>
    <row r="24" spans="2:6" ht="12.75" customHeight="1">
      <c r="C24" s="334"/>
      <c r="E24" s="37"/>
    </row>
    <row r="25" spans="2:6" ht="12.75" customHeight="1">
      <c r="C25" s="334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15" sqref="J1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Septiembre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5" t="s">
        <v>73</v>
      </c>
      <c r="D7" s="32"/>
      <c r="E7" s="39"/>
      <c r="F7" s="32"/>
    </row>
    <row r="8" spans="2:7" s="29" customFormat="1" ht="12.75" customHeight="1">
      <c r="B8" s="28"/>
      <c r="C8" s="335"/>
      <c r="D8" s="32"/>
      <c r="E8" s="39"/>
      <c r="F8" s="32"/>
    </row>
    <row r="9" spans="2:7" s="29" customFormat="1" ht="12.75" customHeight="1">
      <c r="B9" s="28"/>
      <c r="C9" s="335"/>
      <c r="D9" s="32"/>
      <c r="E9" s="39"/>
      <c r="F9" s="32"/>
    </row>
    <row r="10" spans="2:7" s="29" customFormat="1" ht="12.75" customHeight="1">
      <c r="B10" s="28"/>
      <c r="C10" s="335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62</v>
      </c>
      <c r="E7" s="4"/>
    </row>
    <row r="8" spans="3:25">
      <c r="C8" s="335"/>
      <c r="E8" s="4"/>
    </row>
    <row r="9" spans="3:25">
      <c r="C9" s="33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K16" sqref="K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191</v>
      </c>
      <c r="E7" s="4"/>
    </row>
    <row r="8" spans="3:25">
      <c r="C8" s="335"/>
      <c r="E8" s="4"/>
    </row>
    <row r="9" spans="3:25">
      <c r="C9" s="335"/>
      <c r="E9" s="4"/>
    </row>
    <row r="10" spans="3:25">
      <c r="C10" s="335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55</v>
      </c>
      <c r="E7" s="4"/>
    </row>
    <row r="8" spans="3:25">
      <c r="C8" s="33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5" t="s">
        <v>187</v>
      </c>
      <c r="F26" s="296"/>
      <c r="G26" s="296"/>
      <c r="H26" s="296"/>
      <c r="I26" s="296"/>
      <c r="J26" s="296"/>
      <c r="K26" s="296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61</v>
      </c>
      <c r="E7" s="4"/>
    </row>
    <row r="8" spans="3:25">
      <c r="C8" s="33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5" t="s">
        <v>187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8a808b56-9519-4f3c-a07e-328060d9d6d3"/>
    <ds:schemaRef ds:uri="http://schemas.microsoft.com/office/infopath/2007/PartnerControls"/>
    <ds:schemaRef ds:uri="fdc812d0-7ad8-4a82-9195-c1c1a874533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2021-10-14T12:00:58Z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