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0\NOV\INF_ELABORADA\"/>
    </mc:Choice>
  </mc:AlternateContent>
  <xr:revisionPtr revIDLastSave="0" documentId="13_ncr:1_{FF1C1BA9-1117-4ECF-A8B6-995454148782}" xr6:coauthVersionLast="45" xr6:coauthVersionMax="45" xr10:uidLastSave="{00000000-0000-0000-0000-000000000000}"/>
  <bookViews>
    <workbookView xWindow="-120" yWindow="-120" windowWidth="24240" windowHeight="13140" tabRatio="658" xr2:uid="{00000000-000D-0000-FFFF-FFFF00000000}"/>
  </bookViews>
  <sheets>
    <sheet name="Indice" sheetId="40" r:id="rId1"/>
    <sheet name="Mozart Reports" sheetId="45" state="veryHidden" r:id="rId2"/>
    <sheet name="P1" sheetId="6" r:id="rId3"/>
    <sheet name="P2" sheetId="29" r:id="rId4"/>
    <sheet name="P3" sheetId="11" r:id="rId5"/>
    <sheet name="P4" sheetId="10" r:id="rId6"/>
    <sheet name="P5" sheetId="13" r:id="rId7"/>
    <sheet name="P6" sheetId="30" r:id="rId8"/>
    <sheet name="P7" sheetId="31" r:id="rId9"/>
    <sheet name="P8" sheetId="14" r:id="rId10"/>
    <sheet name="P9" sheetId="15" r:id="rId11"/>
    <sheet name="P10" sheetId="58" r:id="rId12"/>
    <sheet name="P11" sheetId="57" r:id="rId13"/>
    <sheet name="P12" sheetId="21" r:id="rId14"/>
    <sheet name="P13" sheetId="23" r:id="rId15"/>
    <sheet name="Data 1" sheetId="48" state="hidden" r:id="rId16"/>
    <sheet name="Dat_01" sheetId="44" r:id="rId17"/>
    <sheet name="Dat_02" sheetId="47" r:id="rId18"/>
    <sheet name="Data 2" sheetId="49" state="hidden" r:id="rId19"/>
    <sheet name="Data 3" sheetId="43" r:id="rId20"/>
    <sheet name="Data 4" sheetId="59" r:id="rId21"/>
  </sheets>
  <externalReferences>
    <externalReference r:id="rId22"/>
    <externalReference r:id="rId23"/>
    <externalReference r:id="rId24"/>
  </externalReferences>
  <definedNames>
    <definedName name="_xlnm._FilterDatabase" localSheetId="20" hidden="1">'Data 4'!$B$1:$H$487</definedName>
    <definedName name="_xlnm.Print_Area" localSheetId="11">#REF!</definedName>
    <definedName name="_xlnm.Print_Area" localSheetId="12">#REF!</definedName>
    <definedName name="_xlnm.Print_Area">#REF!</definedName>
    <definedName name="_xlnm.Database" localSheetId="11">#REF!</definedName>
    <definedName name="_xlnm.Database" localSheetId="12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[1]!ccc</definedName>
    <definedName name="CCCCV" localSheetId="11">#REF!</definedName>
    <definedName name="CCCCV" localSheetId="12">#REF!</definedName>
    <definedName name="CCCCV">#REF!</definedName>
    <definedName name="CUADRO_ANTERIOR">[1]!CUADRO_ANTERIOR</definedName>
    <definedName name="cuadro_anterior_jcol">#N/A</definedName>
    <definedName name="CUADRO_PROXIMO">[1]!CUADRO_PROXIMO</definedName>
    <definedName name="cuadro_proximo_jcol">#N/A</definedName>
    <definedName name="DATOS" localSheetId="11">#REF!</definedName>
    <definedName name="DATOS" localSheetId="12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Eol_Dia" localSheetId="11">OFFSET([3]Dat_01!$W$180,0,0,COUNT([3]Dat_01!$W$180:$W$211),1)</definedName>
    <definedName name="Eol_Dia">OFFSET(Dat_01!$W$180,0,0,COUNT(Dat_01!$W$180:$W$211),1)</definedName>
    <definedName name="Eol_Fechas" localSheetId="11">OFFSET([3]Dat_01!$A$180,0,0,COUNT([3]Dat_01!$A$180:$A$211),1)</definedName>
    <definedName name="Eol_Fechas">OFFSET(Dat_01!$A$180,0,0,COUNT(Dat_01!$A$180:$A$211),1)</definedName>
    <definedName name="Eol_Porcentaje" localSheetId="11">OFFSET([3]Dat_01!$V$180,0,0,COUNT([3]Dat_01!$V$180:$V$211),1)</definedName>
    <definedName name="Eol_Porcentaje">OFFSET(Dat_01!$V$180,0,0,COUNT(Dat_01!$V$180:$V$211),1)</definedName>
    <definedName name="Fecha">[2]I.Precios!$A$1:$A$74</definedName>
    <definedName name="FINALIZAR">[1]!FINALIZAR</definedName>
    <definedName name="finalizar_jcol">#N/A</definedName>
    <definedName name="fl">#N/A</definedName>
    <definedName name="H_Eol" localSheetId="11">OFFSET([3]Dat_01!$J$220,0,0,COUNT([3]Dat_01!$I$220:$I$245),1)</definedName>
    <definedName name="H_Eol">OFFSET(Dat_01!$K$220,0,0,COUNT(Dat_01!$I$220:$I$245),1)</definedName>
    <definedName name="H_Gen" localSheetId="11">OFFSET([3]Dat_01!$Q$220,0,0,COUNT([3]Dat_01!$P$220:$P$245),1)</definedName>
    <definedName name="H_Gen">OFFSET(Dat_01!$R$220,0,0,COUNT(Dat_01!$P$220:$P$245),1)</definedName>
    <definedName name="H_Porcentaje" localSheetId="11">OFFSET([3]Dat_01!$V$220,0,0,COUNT([3]Dat_01!$V$220:$V$245),1)</definedName>
    <definedName name="H_Porcentaje">OFFSET(Dat_01!$V$220,0,0,COUNT(Dat_01!$V$220:$V$245),1)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[1]!IMPRESION</definedName>
    <definedName name="impresion_jcol">#N/A</definedName>
    <definedName name="jkhjklhjkhjkl">#N/A</definedName>
    <definedName name="MSTR.Balance_B.C._Mensual_Sistema_eléctrico" localSheetId="11">#REF!</definedName>
    <definedName name="MSTR.Balance_B.C._Mensual_Sistema_eléctrico">#REF!</definedName>
    <definedName name="MSTR.BANDA_PARA_CONSEJO_PROCESOS" localSheetId="11">#REF!</definedName>
    <definedName name="MSTR.BANDA_PARA_CONSEJO_PROCESOS" localSheetId="12">#REF!</definedName>
    <definedName name="MSTR.BANDA_PARA_CONSEJO_PROCESOS">#REF!</definedName>
    <definedName name="MSTR.BANDA_PARA_CONSEJO_PROCESOS1" localSheetId="11">#REF!</definedName>
    <definedName name="MSTR.BANDA_PARA_CONSEJO_PROCESOS1" localSheetId="12">#REF!</definedName>
    <definedName name="MSTR.BANDA_PARA_CONSEJO_PROCESOS1">#REF!</definedName>
    <definedName name="MSTR.BANDA_PARA_CONSEJO_PROCESOS10" localSheetId="11">#REF!</definedName>
    <definedName name="MSTR.BANDA_PARA_CONSEJO_PROCESOS10" localSheetId="12">#REF!</definedName>
    <definedName name="MSTR.BANDA_PARA_CONSEJO_PROCESOS10">#REF!</definedName>
    <definedName name="MSTR.BANDA_PARA_CONSEJO_PROCESOS2" localSheetId="11">#REF!</definedName>
    <definedName name="MSTR.BANDA_PARA_CONSEJO_PROCESOS2" localSheetId="12">#REF!</definedName>
    <definedName name="MSTR.BANDA_PARA_CONSEJO_PROCESOS2">#REF!</definedName>
    <definedName name="MSTR.BANDA_PARA_CONSEJO_PROCESOS3" localSheetId="11">#REF!</definedName>
    <definedName name="MSTR.BANDA_PARA_CONSEJO_PROCESOS3" localSheetId="12">#REF!</definedName>
    <definedName name="MSTR.BANDA_PARA_CONSEJO_PROCESOS3">#REF!</definedName>
    <definedName name="MSTR.BANDA_PARA_CONSEJO_PROCESOS4" localSheetId="11">#REF!</definedName>
    <definedName name="MSTR.BANDA_PARA_CONSEJO_PROCESOS4" localSheetId="12">#REF!</definedName>
    <definedName name="MSTR.BANDA_PARA_CONSEJO_PROCESOS4">#REF!</definedName>
    <definedName name="MSTR.BANDA_PARA_CONSEJO_PROCESOS5" localSheetId="11">#REF!</definedName>
    <definedName name="MSTR.BANDA_PARA_CONSEJO_PROCESOS5" localSheetId="12">#REF!</definedName>
    <definedName name="MSTR.BANDA_PARA_CONSEJO_PROCESOS5">#REF!</definedName>
    <definedName name="MSTR.BANDA_PARA_CONSEJO_PROCESOS6" localSheetId="11">#REF!</definedName>
    <definedName name="MSTR.BANDA_PARA_CONSEJO_PROCESOS6" localSheetId="12">#REF!</definedName>
    <definedName name="MSTR.BANDA_PARA_CONSEJO_PROCESOS6">#REF!</definedName>
    <definedName name="MSTR.BANDA_PARA_CONSEJO_PROCESOS7" localSheetId="11">#REF!</definedName>
    <definedName name="MSTR.BANDA_PARA_CONSEJO_PROCESOS7" localSheetId="12">#REF!</definedName>
    <definedName name="MSTR.BANDA_PARA_CONSEJO_PROCESOS7">#REF!</definedName>
    <definedName name="MSTR.BANDA_PARA_CONSEJO_PROCESOS8" localSheetId="11">#REF!</definedName>
    <definedName name="MSTR.BANDA_PARA_CONSEJO_PROCESOS8" localSheetId="12">#REF!</definedName>
    <definedName name="MSTR.BANDA_PARA_CONSEJO_PROCESOS8">#REF!</definedName>
    <definedName name="MSTR.BANDA_PARA_CONSEJO_PROCESOS9" localSheetId="11">#REF!</definedName>
    <definedName name="MSTR.BANDA_PARA_CONSEJO_PROCESOS9" localSheetId="12">#REF!</definedName>
    <definedName name="MSTR.BANDA_PARA_CONSEJO_PROCESOS9">#REF!</definedName>
    <definedName name="MSTR.Emisiones_CO2" localSheetId="11">#REF!</definedName>
    <definedName name="MSTR.Emisiones_CO2">#REF!</definedName>
    <definedName name="MSTR.Eolica_diaria_Balance">#REF!</definedName>
    <definedName name="MSTR.Liquidación_por_Segmentos" localSheetId="11">#REF!</definedName>
    <definedName name="MSTR.Liquidación_por_Segmentos" localSheetId="12">#REF!</definedName>
    <definedName name="MSTR.Liquidación_por_Segmentos">#REF!</definedName>
    <definedName name="MSTR.Liquidación_por_Segmentos1" localSheetId="11">#REF!</definedName>
    <definedName name="MSTR.Liquidación_por_Segmentos1" localSheetId="12">#REF!</definedName>
    <definedName name="MSTR.Liquidación_por_Segmentos1">#REF!</definedName>
    <definedName name="MSTR.Liquidación_por_Segmentos10" localSheetId="11">#REF!</definedName>
    <definedName name="MSTR.Liquidación_por_Segmentos10" localSheetId="12">#REF!</definedName>
    <definedName name="MSTR.Liquidación_por_Segmentos10">#REF!</definedName>
    <definedName name="MSTR.Liquidación_por_Segmentos11" localSheetId="11">#REF!</definedName>
    <definedName name="MSTR.Liquidación_por_Segmentos11" localSheetId="12">#REF!</definedName>
    <definedName name="MSTR.Liquidación_por_Segmentos11">#REF!</definedName>
    <definedName name="MSTR.Liquidación_por_Segmentos2" localSheetId="11">#REF!</definedName>
    <definedName name="MSTR.Liquidación_por_Segmentos2" localSheetId="12">#REF!</definedName>
    <definedName name="MSTR.Liquidación_por_Segmentos2">#REF!</definedName>
    <definedName name="MSTR.Liquidación_por_Segmentos3" localSheetId="11">#REF!</definedName>
    <definedName name="MSTR.Liquidación_por_Segmentos3" localSheetId="12">#REF!</definedName>
    <definedName name="MSTR.Liquidación_por_Segmentos3">#REF!</definedName>
    <definedName name="MSTR.Liquidación_por_Segmentos4" localSheetId="11">#REF!</definedName>
    <definedName name="MSTR.Liquidación_por_Segmentos4" localSheetId="12">#REF!</definedName>
    <definedName name="MSTR.Liquidación_por_Segmentos4">#REF!</definedName>
    <definedName name="MSTR.Liquidación_por_Segmentos5" localSheetId="11">#REF!</definedName>
    <definedName name="MSTR.Liquidación_por_Segmentos5" localSheetId="12">#REF!</definedName>
    <definedName name="MSTR.Liquidación_por_Segmentos5">#REF!</definedName>
    <definedName name="MSTR.Liquidación_por_Segmentos6" localSheetId="11">#REF!</definedName>
    <definedName name="MSTR.Liquidación_por_Segmentos6" localSheetId="12">#REF!</definedName>
    <definedName name="MSTR.Liquidación_por_Segmentos6">#REF!</definedName>
    <definedName name="MSTR.Liquidación_por_Segmentos7" localSheetId="11">#REF!</definedName>
    <definedName name="MSTR.Liquidación_por_Segmentos7" localSheetId="12">#REF!</definedName>
    <definedName name="MSTR.Liquidación_por_Segmentos7">#REF!</definedName>
    <definedName name="MSTR.Liquidación_por_Segmentos8" localSheetId="11">#REF!</definedName>
    <definedName name="MSTR.Liquidación_por_Segmentos8" localSheetId="12">#REF!</definedName>
    <definedName name="MSTR.Liquidación_por_Segmentos8">#REF!</definedName>
    <definedName name="MSTR.Liquidación_por_Segmentos9" localSheetId="11">#REF!</definedName>
    <definedName name="MSTR.Liquidación_por_Segmentos9" localSheetId="12">#REF!</definedName>
    <definedName name="MSTR.Liquidación_por_Segmentos9">#REF!</definedName>
    <definedName name="MSTR.Serie_Balance_Nuevo_Energía_Eléctrica_Mensual.1" localSheetId="11">#REF!</definedName>
    <definedName name="MSTR.Serie_Balance_Nuevo_Energía_Eléctrica_Mensual.1" localSheetId="12">#REF!</definedName>
    <definedName name="MSTR.Serie_Balance_Nuevo_Energía_Eléctrica_Mensual.1">#REF!</definedName>
    <definedName name="MSTR.Serie_Balance_Nuevo_Energía_Eléctrica_Mes_Baleares" localSheetId="11">#REF!</definedName>
    <definedName name="MSTR.Serie_Balance_Nuevo_Energía_Eléctrica_Mes_Baleares" localSheetId="12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[1]!nnn</definedName>
    <definedName name="nnnn">[1]!nnnn</definedName>
    <definedName name="nu">[1]!nu</definedName>
    <definedName name="nuevo">#N/A</definedName>
    <definedName name="PRINCIPAL">[1]!PRINCIPAL</definedName>
    <definedName name="principal_jcol">#N/A</definedName>
    <definedName name="Prod" localSheetId="11">OFFSET([3]Dat_02!$E$3,0,0,COUNT([3]Dat_02!$E$3:$E$500),1)</definedName>
    <definedName name="Prod">OFFSET(Dat_02!$E$3,0,0,COUNT(Dat_02!$E$3:$E$500),1)</definedName>
    <definedName name="Prod_Dia" localSheetId="11">OFFSET([3]Dat_02!$C$3,0,0,COUNT([3]Dat_02!$C$3:$C$500),1)</definedName>
    <definedName name="Prod_Dia">OFFSET(Dat_02!$C$3,0,0,COUNT(Dat_02!$C$3:$C$500),1)</definedName>
    <definedName name="Prod_Inter" localSheetId="11">OFFSET([3]Dat_02!$H$3,0,0,COUNT([3]Dat_02!#REF!),1)</definedName>
    <definedName name="Prod_Inter" localSheetId="12">OFFSET(Dat_02!$H$3,0,0,COUNT(Dat_02!#REF!),1)</definedName>
    <definedName name="Prod_Inter">OFFSET(Dat_02!$H$3,0,0,COUNT(Dat_02!#REF!),1)</definedName>
    <definedName name="Prod_Med" localSheetId="11">OFFSET([3]Dat_02!$D$3,0,0,COUNT([3]Dat_02!$D$3:$D$500),1)</definedName>
    <definedName name="Prod_Med">OFFSET(Dat_02!$D$3,0,0,COUNT(Dat_02!$D$3:$D$500),1)</definedName>
    <definedName name="rosa">[1]!rosa</definedName>
    <definedName name="rosa2">[1]!rosa2</definedName>
    <definedName name="v">#N/A</definedName>
    <definedName name="VV">[1]!VV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[1]!x</definedName>
    <definedName name="XX">[1]!XX</definedName>
    <definedName name="xxx">[1]!xxx</definedName>
    <definedName name="XXXX" localSheetId="11" xml:space="preserve">                                                                                       [3]Dat_01!$A$175:$S$210</definedName>
    <definedName name="XXXX" xml:space="preserve">                                                                                       Dat_01!$A$248:$O$262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2" i="43" l="1"/>
  <c r="J63" i="43"/>
  <c r="Q262" i="44"/>
  <c r="O166" i="44"/>
  <c r="B53" i="43" l="1"/>
  <c r="B41" i="43"/>
  <c r="B29" i="43"/>
  <c r="B17" i="43"/>
  <c r="F70" i="43" l="1"/>
  <c r="V220" i="44" l="1"/>
  <c r="V221" i="44"/>
  <c r="V181" i="44"/>
  <c r="W181" i="44"/>
  <c r="V182" i="44"/>
  <c r="W182" i="44"/>
  <c r="V183" i="44"/>
  <c r="W183" i="44"/>
  <c r="V184" i="44"/>
  <c r="W184" i="44"/>
  <c r="V185" i="44"/>
  <c r="W185" i="44"/>
  <c r="V186" i="44"/>
  <c r="W186" i="44"/>
  <c r="V187" i="44"/>
  <c r="W187" i="44"/>
  <c r="V188" i="44"/>
  <c r="W188" i="44"/>
  <c r="V189" i="44"/>
  <c r="W189" i="44"/>
  <c r="V190" i="44"/>
  <c r="W190" i="44"/>
  <c r="V191" i="44"/>
  <c r="W191" i="44"/>
  <c r="V192" i="44"/>
  <c r="W192" i="44"/>
  <c r="V193" i="44"/>
  <c r="W193" i="44"/>
  <c r="V194" i="44"/>
  <c r="W194" i="44"/>
  <c r="V195" i="44"/>
  <c r="W195" i="44"/>
  <c r="V196" i="44"/>
  <c r="W196" i="44"/>
  <c r="V197" i="44"/>
  <c r="W197" i="44"/>
  <c r="V198" i="44"/>
  <c r="W198" i="44"/>
  <c r="V199" i="44"/>
  <c r="W199" i="44"/>
  <c r="V200" i="44"/>
  <c r="W200" i="44"/>
  <c r="V201" i="44"/>
  <c r="W201" i="44"/>
  <c r="V202" i="44"/>
  <c r="W202" i="44"/>
  <c r="V203" i="44"/>
  <c r="W203" i="44"/>
  <c r="V204" i="44"/>
  <c r="W204" i="44"/>
  <c r="V205" i="44"/>
  <c r="W205" i="44"/>
  <c r="V206" i="44"/>
  <c r="W206" i="44"/>
  <c r="V207" i="44"/>
  <c r="W207" i="44"/>
  <c r="V208" i="44"/>
  <c r="W208" i="44"/>
  <c r="V209" i="44"/>
  <c r="W209" i="44"/>
  <c r="V210" i="44"/>
  <c r="W210" i="44"/>
  <c r="W180" i="44"/>
  <c r="V180" i="44"/>
  <c r="V244" i="44" l="1"/>
  <c r="V245" i="44"/>
  <c r="V246" i="44"/>
  <c r="V222" i="44"/>
  <c r="V223" i="44"/>
  <c r="V224" i="44"/>
  <c r="V225" i="44"/>
  <c r="V226" i="44"/>
  <c r="V227" i="44"/>
  <c r="V228" i="44"/>
  <c r="V229" i="44"/>
  <c r="V230" i="44"/>
  <c r="V231" i="44"/>
  <c r="V232" i="44"/>
  <c r="V233" i="44"/>
  <c r="V234" i="44"/>
  <c r="V235" i="44"/>
  <c r="V236" i="44"/>
  <c r="V237" i="44"/>
  <c r="V238" i="44"/>
  <c r="V239" i="44"/>
  <c r="V240" i="44"/>
  <c r="V241" i="44"/>
  <c r="V242" i="44"/>
  <c r="V243" i="44"/>
  <c r="E398" i="59" l="1"/>
  <c r="I25" i="6"/>
  <c r="B67" i="43" l="1"/>
  <c r="B80" i="43"/>
  <c r="B79" i="43"/>
  <c r="I211" i="44" l="1"/>
  <c r="B105" i="44" l="1"/>
  <c r="B104" i="44"/>
  <c r="B103" i="44"/>
  <c r="B102" i="44"/>
  <c r="B101" i="44"/>
  <c r="B100" i="44"/>
  <c r="B99" i="44"/>
  <c r="B98" i="44"/>
  <c r="B97" i="44"/>
  <c r="B96" i="44"/>
  <c r="C39" i="48" s="1"/>
  <c r="B95" i="44"/>
  <c r="B94" i="44"/>
  <c r="B106" i="44" l="1"/>
  <c r="F400" i="47" l="1"/>
  <c r="F399" i="47" l="1"/>
  <c r="H94" i="44" l="1"/>
  <c r="H96" i="44"/>
  <c r="H97" i="44"/>
  <c r="H98" i="44"/>
  <c r="H99" i="44"/>
  <c r="H100" i="44"/>
  <c r="H101" i="44"/>
  <c r="H102" i="44"/>
  <c r="H103" i="44"/>
  <c r="H104" i="44"/>
  <c r="H105" i="44"/>
  <c r="H95" i="44"/>
  <c r="E18" i="40" l="1"/>
  <c r="E397" i="59" l="1"/>
  <c r="E396" i="59"/>
  <c r="E398" i="47" l="1"/>
  <c r="E397" i="47"/>
  <c r="I54" i="43" l="1"/>
  <c r="I55" i="43"/>
  <c r="I56" i="43"/>
  <c r="I57" i="43"/>
  <c r="I58" i="43"/>
  <c r="I59" i="43"/>
  <c r="I60" i="43"/>
  <c r="I61" i="43"/>
  <c r="I62" i="43"/>
  <c r="I63" i="43"/>
  <c r="I64" i="43"/>
  <c r="B33" i="44" l="1"/>
  <c r="B50" i="44"/>
  <c r="G4" i="59" l="1"/>
  <c r="G6" i="59"/>
  <c r="G8" i="59"/>
  <c r="G10" i="59"/>
  <c r="G12" i="59"/>
  <c r="G14" i="59"/>
  <c r="G18" i="59"/>
  <c r="G28" i="59"/>
  <c r="G32" i="59"/>
  <c r="G35" i="59"/>
  <c r="G36" i="59"/>
  <c r="G40" i="59"/>
  <c r="G43" i="59"/>
  <c r="G51" i="59"/>
  <c r="G52" i="59"/>
  <c r="G55" i="59"/>
  <c r="G56" i="59"/>
  <c r="G59" i="59"/>
  <c r="G63" i="59"/>
  <c r="G71" i="59"/>
  <c r="G76" i="59"/>
  <c r="G96" i="59"/>
  <c r="G108" i="59"/>
  <c r="F94" i="59"/>
  <c r="G135" i="59"/>
  <c r="G152" i="59"/>
  <c r="G164" i="59"/>
  <c r="G171" i="59"/>
  <c r="G180" i="59"/>
  <c r="G199" i="59"/>
  <c r="G204" i="59"/>
  <c r="G207" i="59"/>
  <c r="G236" i="59"/>
  <c r="G239" i="59"/>
  <c r="G256" i="59"/>
  <c r="G283" i="59"/>
  <c r="G288" i="59"/>
  <c r="G311" i="59"/>
  <c r="G319" i="59"/>
  <c r="G327" i="59"/>
  <c r="G332" i="59"/>
  <c r="G335" i="59"/>
  <c r="F2" i="59"/>
  <c r="G19" i="59"/>
  <c r="G23" i="59"/>
  <c r="G24" i="59"/>
  <c r="G27" i="59"/>
  <c r="G31" i="59"/>
  <c r="G39" i="59"/>
  <c r="G44" i="59"/>
  <c r="G47" i="59"/>
  <c r="G3" i="59"/>
  <c r="G7" i="59"/>
  <c r="G11" i="59"/>
  <c r="G15" i="59"/>
  <c r="H393" i="59" l="1"/>
  <c r="H381" i="59"/>
  <c r="H369" i="59"/>
  <c r="H357" i="59"/>
  <c r="H345" i="59"/>
  <c r="G333" i="59"/>
  <c r="H333" i="59"/>
  <c r="H321" i="59"/>
  <c r="H309" i="59"/>
  <c r="H297" i="59"/>
  <c r="H285" i="59"/>
  <c r="H273" i="59"/>
  <c r="H257" i="59"/>
  <c r="H245" i="59"/>
  <c r="H233" i="59"/>
  <c r="H221" i="59"/>
  <c r="G209" i="59"/>
  <c r="H209" i="59"/>
  <c r="H197" i="59"/>
  <c r="G185" i="59"/>
  <c r="H185" i="59"/>
  <c r="H173" i="59"/>
  <c r="H161" i="59"/>
  <c r="H149" i="59"/>
  <c r="H137" i="59"/>
  <c r="H125" i="59"/>
  <c r="H113" i="59"/>
  <c r="H101" i="59"/>
  <c r="H89" i="59"/>
  <c r="H73" i="59"/>
  <c r="H394" i="59"/>
  <c r="H390" i="59"/>
  <c r="H386" i="59"/>
  <c r="H382" i="59"/>
  <c r="H378" i="59"/>
  <c r="H374" i="59"/>
  <c r="H370" i="59"/>
  <c r="H366" i="59"/>
  <c r="H362" i="59"/>
  <c r="H358" i="59"/>
  <c r="H354" i="59"/>
  <c r="H350" i="59"/>
  <c r="H346" i="59"/>
  <c r="G342" i="59"/>
  <c r="H342" i="59"/>
  <c r="H338" i="59"/>
  <c r="H334" i="59"/>
  <c r="H330" i="59"/>
  <c r="H326" i="59"/>
  <c r="H322" i="59"/>
  <c r="H318" i="59"/>
  <c r="H314" i="59"/>
  <c r="H310" i="59"/>
  <c r="H306" i="59"/>
  <c r="H302" i="59"/>
  <c r="G298" i="59"/>
  <c r="H298" i="59"/>
  <c r="H294" i="59"/>
  <c r="H290" i="59"/>
  <c r="G286" i="59"/>
  <c r="H286" i="59"/>
  <c r="H282" i="59"/>
  <c r="G278" i="59"/>
  <c r="H278" i="59"/>
  <c r="H274" i="59"/>
  <c r="G270" i="59"/>
  <c r="H270" i="59"/>
  <c r="H266" i="59"/>
  <c r="H262" i="59"/>
  <c r="G258" i="59"/>
  <c r="H258" i="59"/>
  <c r="H254" i="59"/>
  <c r="G250" i="59"/>
  <c r="H250" i="59"/>
  <c r="H246" i="59"/>
  <c r="G242" i="59"/>
  <c r="H242" i="59"/>
  <c r="H238" i="59"/>
  <c r="G234" i="59"/>
  <c r="H234" i="59"/>
  <c r="H230" i="59"/>
  <c r="H226" i="59"/>
  <c r="H222" i="59"/>
  <c r="G218" i="59"/>
  <c r="H218" i="59"/>
  <c r="G214" i="59"/>
  <c r="H214" i="59"/>
  <c r="H210" i="59"/>
  <c r="H206" i="59"/>
  <c r="G202" i="59"/>
  <c r="H202" i="59"/>
  <c r="G198" i="59"/>
  <c r="H198" i="59"/>
  <c r="H194" i="59"/>
  <c r="G190" i="59"/>
  <c r="H190" i="59"/>
  <c r="H186" i="59"/>
  <c r="G182" i="59"/>
  <c r="H182" i="59"/>
  <c r="H178" i="59"/>
  <c r="G174" i="59"/>
  <c r="H174" i="59"/>
  <c r="H170" i="59"/>
  <c r="H166" i="59"/>
  <c r="H162" i="59"/>
  <c r="H158" i="59"/>
  <c r="H154" i="59"/>
  <c r="H150" i="59"/>
  <c r="H146" i="59"/>
  <c r="H142" i="59"/>
  <c r="G138" i="59"/>
  <c r="H138" i="59"/>
  <c r="H134" i="59"/>
  <c r="H130" i="59"/>
  <c r="H126" i="59"/>
  <c r="H122" i="59"/>
  <c r="H118" i="59"/>
  <c r="H114" i="59"/>
  <c r="H110" i="59"/>
  <c r="H106" i="59"/>
  <c r="H102" i="59"/>
  <c r="H98" i="59"/>
  <c r="H94" i="59"/>
  <c r="H90" i="59"/>
  <c r="H86" i="59"/>
  <c r="H82" i="59"/>
  <c r="H78" i="59"/>
  <c r="H74" i="59"/>
  <c r="H70" i="59"/>
  <c r="H66" i="59"/>
  <c r="H62" i="59"/>
  <c r="G58" i="59"/>
  <c r="H58" i="59"/>
  <c r="G54" i="59"/>
  <c r="H54" i="59"/>
  <c r="G50" i="59"/>
  <c r="H50" i="59"/>
  <c r="G46" i="59"/>
  <c r="H46" i="59"/>
  <c r="G42" i="59"/>
  <c r="H42" i="59"/>
  <c r="G38" i="59"/>
  <c r="H38" i="59"/>
  <c r="G34" i="59"/>
  <c r="H34" i="59"/>
  <c r="G30" i="59"/>
  <c r="H30" i="59"/>
  <c r="G26" i="59"/>
  <c r="H26" i="59"/>
  <c r="G22" i="59"/>
  <c r="H22" i="59"/>
  <c r="H18" i="59"/>
  <c r="H14" i="59"/>
  <c r="H10" i="59"/>
  <c r="H6" i="59"/>
  <c r="H389" i="59"/>
  <c r="H377" i="59"/>
  <c r="G365" i="59"/>
  <c r="H365" i="59"/>
  <c r="H353" i="59"/>
  <c r="H341" i="59"/>
  <c r="H329" i="59"/>
  <c r="H317" i="59"/>
  <c r="H305" i="59"/>
  <c r="H293" i="59"/>
  <c r="H277" i="59"/>
  <c r="H265" i="59"/>
  <c r="H253" i="59"/>
  <c r="H241" i="59"/>
  <c r="H229" i="59"/>
  <c r="H217" i="59"/>
  <c r="H205" i="59"/>
  <c r="H193" i="59"/>
  <c r="H181" i="59"/>
  <c r="G169" i="59"/>
  <c r="H169" i="59"/>
  <c r="H157" i="59"/>
  <c r="H145" i="59"/>
  <c r="H133" i="59"/>
  <c r="H117" i="59"/>
  <c r="H105" i="59"/>
  <c r="H93" i="59"/>
  <c r="H81" i="59"/>
  <c r="H69" i="59"/>
  <c r="H61" i="59"/>
  <c r="H53" i="59"/>
  <c r="H45" i="59"/>
  <c r="H37" i="59"/>
  <c r="H29" i="59"/>
  <c r="H21" i="59"/>
  <c r="G13" i="59"/>
  <c r="H13" i="59"/>
  <c r="G9" i="59"/>
  <c r="H9" i="59"/>
  <c r="H2" i="59"/>
  <c r="H392" i="59"/>
  <c r="H388" i="59"/>
  <c r="G384" i="59"/>
  <c r="H384" i="59"/>
  <c r="H380" i="59"/>
  <c r="G376" i="59"/>
  <c r="H376" i="59"/>
  <c r="H372" i="59"/>
  <c r="G368" i="59"/>
  <c r="H368" i="59"/>
  <c r="H364" i="59"/>
  <c r="H360" i="59"/>
  <c r="H356" i="59"/>
  <c r="H352" i="59"/>
  <c r="H348" i="59"/>
  <c r="H344" i="59"/>
  <c r="G340" i="59"/>
  <c r="H340" i="59"/>
  <c r="H336" i="59"/>
  <c r="H332" i="59"/>
  <c r="H328" i="59"/>
  <c r="H324" i="59"/>
  <c r="H320" i="59"/>
  <c r="H316" i="59"/>
  <c r="H312" i="59"/>
  <c r="G308" i="59"/>
  <c r="H308" i="59"/>
  <c r="H304" i="59"/>
  <c r="H300" i="59"/>
  <c r="H296" i="59"/>
  <c r="G292" i="59"/>
  <c r="H292" i="59"/>
  <c r="H288" i="59"/>
  <c r="G284" i="59"/>
  <c r="H284" i="59"/>
  <c r="G280" i="59"/>
  <c r="H280" i="59"/>
  <c r="G276" i="59"/>
  <c r="H276" i="59"/>
  <c r="G272" i="59"/>
  <c r="H272" i="59"/>
  <c r="H268" i="59"/>
  <c r="G264" i="59"/>
  <c r="H264" i="59"/>
  <c r="G260" i="59"/>
  <c r="H260" i="59"/>
  <c r="H256" i="59"/>
  <c r="H252" i="59"/>
  <c r="H248" i="59"/>
  <c r="H244" i="59"/>
  <c r="H240" i="59"/>
  <c r="H236" i="59"/>
  <c r="H232" i="59"/>
  <c r="G228" i="59"/>
  <c r="H228" i="59"/>
  <c r="G224" i="59"/>
  <c r="H224" i="59"/>
  <c r="G220" i="59"/>
  <c r="H220" i="59"/>
  <c r="H216" i="59"/>
  <c r="H212" i="59"/>
  <c r="H208" i="59"/>
  <c r="H204" i="59"/>
  <c r="G200" i="59"/>
  <c r="H200" i="59"/>
  <c r="H196" i="59"/>
  <c r="H192" i="59"/>
  <c r="G188" i="59"/>
  <c r="H188" i="59"/>
  <c r="H184" i="59"/>
  <c r="H180" i="59"/>
  <c r="G176" i="59"/>
  <c r="H176" i="59"/>
  <c r="H172" i="59"/>
  <c r="G168" i="59"/>
  <c r="H168" i="59"/>
  <c r="H164" i="59"/>
  <c r="H160" i="59"/>
  <c r="H156" i="59"/>
  <c r="H152" i="59"/>
  <c r="H148" i="59"/>
  <c r="G144" i="59"/>
  <c r="H144" i="59"/>
  <c r="G140" i="59"/>
  <c r="H140" i="59"/>
  <c r="H136" i="59"/>
  <c r="H132" i="59"/>
  <c r="G128" i="59"/>
  <c r="H128" i="59"/>
  <c r="H124" i="59"/>
  <c r="H120" i="59"/>
  <c r="H116" i="59"/>
  <c r="G112" i="59"/>
  <c r="H112" i="59"/>
  <c r="G104" i="59"/>
  <c r="H104" i="59"/>
  <c r="G100" i="59"/>
  <c r="H100" i="59"/>
  <c r="H96" i="59"/>
  <c r="G92" i="59"/>
  <c r="H92" i="59"/>
  <c r="G88" i="59"/>
  <c r="H88" i="59"/>
  <c r="G84" i="59"/>
  <c r="H84" i="59"/>
  <c r="G80" i="59"/>
  <c r="H80" i="59"/>
  <c r="H76" i="59"/>
  <c r="G72" i="59"/>
  <c r="H72" i="59"/>
  <c r="G68" i="59"/>
  <c r="H68" i="59"/>
  <c r="G64" i="59"/>
  <c r="H64" i="59"/>
  <c r="G60" i="59"/>
  <c r="H60" i="59"/>
  <c r="H56" i="59"/>
  <c r="H52" i="59"/>
  <c r="G48" i="59"/>
  <c r="H48" i="59"/>
  <c r="H44" i="59"/>
  <c r="H40" i="59"/>
  <c r="H36" i="59"/>
  <c r="H32" i="59"/>
  <c r="H28" i="59"/>
  <c r="H24" i="59"/>
  <c r="G20" i="59"/>
  <c r="H20" i="59"/>
  <c r="H16" i="59"/>
  <c r="G16" i="59"/>
  <c r="H12" i="59"/>
  <c r="H8" i="59"/>
  <c r="H4" i="59"/>
  <c r="H385" i="59"/>
  <c r="H373" i="59"/>
  <c r="H361" i="59"/>
  <c r="H349" i="59"/>
  <c r="H337" i="59"/>
  <c r="G325" i="59"/>
  <c r="H325" i="59"/>
  <c r="H313" i="59"/>
  <c r="H301" i="59"/>
  <c r="H289" i="59"/>
  <c r="H281" i="59"/>
  <c r="H269" i="59"/>
  <c r="H261" i="59"/>
  <c r="H249" i="59"/>
  <c r="H237" i="59"/>
  <c r="G225" i="59"/>
  <c r="H225" i="59"/>
  <c r="H213" i="59"/>
  <c r="G201" i="59"/>
  <c r="H201" i="59"/>
  <c r="H189" i="59"/>
  <c r="H177" i="59"/>
  <c r="H165" i="59"/>
  <c r="H153" i="59"/>
  <c r="H141" i="59"/>
  <c r="H129" i="59"/>
  <c r="H121" i="59"/>
  <c r="H109" i="59"/>
  <c r="H97" i="59"/>
  <c r="H85" i="59"/>
  <c r="H77" i="59"/>
  <c r="H65" i="59"/>
  <c r="H57" i="59"/>
  <c r="H49" i="59"/>
  <c r="H41" i="59"/>
  <c r="H33" i="59"/>
  <c r="H25" i="59"/>
  <c r="G17" i="59"/>
  <c r="H17" i="59"/>
  <c r="G5" i="59"/>
  <c r="H5" i="59"/>
  <c r="H395" i="59"/>
  <c r="H391" i="59"/>
  <c r="H387" i="59"/>
  <c r="H383" i="59"/>
  <c r="H379" i="59"/>
  <c r="H375" i="59"/>
  <c r="H371" i="59"/>
  <c r="H367" i="59"/>
  <c r="H363" i="59"/>
  <c r="G359" i="59"/>
  <c r="H359" i="59"/>
  <c r="H355" i="59"/>
  <c r="H351" i="59"/>
  <c r="H347" i="59"/>
  <c r="H343" i="59"/>
  <c r="H339" i="59"/>
  <c r="H335" i="59"/>
  <c r="H331" i="59"/>
  <c r="H327" i="59"/>
  <c r="H323" i="59"/>
  <c r="H319" i="59"/>
  <c r="H315" i="59"/>
  <c r="H311" i="59"/>
  <c r="H307" i="59"/>
  <c r="H303" i="59"/>
  <c r="G299" i="59"/>
  <c r="H299" i="59"/>
  <c r="G295" i="59"/>
  <c r="H295" i="59"/>
  <c r="H291" i="59"/>
  <c r="H287" i="59"/>
  <c r="H283" i="59"/>
  <c r="H279" i="59"/>
  <c r="H275" i="59"/>
  <c r="G271" i="59"/>
  <c r="H271" i="59"/>
  <c r="H267" i="59"/>
  <c r="H263" i="59"/>
  <c r="G259" i="59"/>
  <c r="H259" i="59"/>
  <c r="H255" i="59"/>
  <c r="G251" i="59"/>
  <c r="H251" i="59"/>
  <c r="H247" i="59"/>
  <c r="G243" i="59"/>
  <c r="H243" i="59"/>
  <c r="H239" i="59"/>
  <c r="H235" i="59"/>
  <c r="H231" i="59"/>
  <c r="H227" i="59"/>
  <c r="G223" i="59"/>
  <c r="H223" i="59"/>
  <c r="H219" i="59"/>
  <c r="H215" i="59"/>
  <c r="G211" i="59"/>
  <c r="H211" i="59"/>
  <c r="H207" i="59"/>
  <c r="G203" i="59"/>
  <c r="H203" i="59"/>
  <c r="H199" i="59"/>
  <c r="G195" i="59"/>
  <c r="H195" i="59"/>
  <c r="G191" i="59"/>
  <c r="H191" i="59"/>
  <c r="H187" i="59"/>
  <c r="G183" i="59"/>
  <c r="H183" i="59"/>
  <c r="H179" i="59"/>
  <c r="G175" i="59"/>
  <c r="H175" i="59"/>
  <c r="H171" i="59"/>
  <c r="H167" i="59"/>
  <c r="G163" i="59"/>
  <c r="H163" i="59"/>
  <c r="H159" i="59"/>
  <c r="G155" i="59"/>
  <c r="H155" i="59"/>
  <c r="H151" i="59"/>
  <c r="G147" i="59"/>
  <c r="H147" i="59"/>
  <c r="H143" i="59"/>
  <c r="H139" i="59"/>
  <c r="H135" i="59"/>
  <c r="H131" i="59"/>
  <c r="H127" i="59"/>
  <c r="G123" i="59"/>
  <c r="H123" i="59"/>
  <c r="G119" i="59"/>
  <c r="H119" i="59"/>
  <c r="G115" i="59"/>
  <c r="H115" i="59"/>
  <c r="H111" i="59"/>
  <c r="H107" i="59"/>
  <c r="G103" i="59"/>
  <c r="H103" i="59"/>
  <c r="G99" i="59"/>
  <c r="H99" i="59"/>
  <c r="G95" i="59"/>
  <c r="H95" i="59"/>
  <c r="G91" i="59"/>
  <c r="H91" i="59"/>
  <c r="G87" i="59"/>
  <c r="H87" i="59"/>
  <c r="G83" i="59"/>
  <c r="H83" i="59"/>
  <c r="G79" i="59"/>
  <c r="H79" i="59"/>
  <c r="G75" i="59"/>
  <c r="H75" i="59"/>
  <c r="H71" i="59"/>
  <c r="G67" i="59"/>
  <c r="H67" i="59"/>
  <c r="H63" i="59"/>
  <c r="H59" i="59"/>
  <c r="H55" i="59"/>
  <c r="H51" i="59"/>
  <c r="H47" i="59"/>
  <c r="H43" i="59"/>
  <c r="H39" i="59"/>
  <c r="H35" i="59"/>
  <c r="H31" i="59"/>
  <c r="H27" i="59"/>
  <c r="H23" i="59"/>
  <c r="H19" i="59"/>
  <c r="H15" i="59"/>
  <c r="H11" i="59"/>
  <c r="H7" i="59"/>
  <c r="H3" i="59"/>
  <c r="G109" i="59"/>
  <c r="G53" i="59"/>
  <c r="G45" i="59"/>
  <c r="G312" i="59"/>
  <c r="G268" i="59"/>
  <c r="G132" i="59"/>
  <c r="G257" i="59"/>
  <c r="G221" i="59"/>
  <c r="G189" i="59"/>
  <c r="G145" i="59"/>
  <c r="G173" i="59"/>
  <c r="G61" i="59"/>
  <c r="G352" i="59"/>
  <c r="G149" i="59"/>
  <c r="G125" i="59"/>
  <c r="G307" i="59"/>
  <c r="G291" i="59"/>
  <c r="G275" i="59"/>
  <c r="G263" i="59"/>
  <c r="G255" i="59"/>
  <c r="G247" i="59"/>
  <c r="G351" i="59"/>
  <c r="G267" i="59"/>
  <c r="G184" i="59"/>
  <c r="G167" i="59"/>
  <c r="G111" i="59"/>
  <c r="G69" i="59"/>
  <c r="G301" i="59"/>
  <c r="G229" i="59"/>
  <c r="G177" i="59"/>
  <c r="G129" i="59"/>
  <c r="G117" i="59"/>
  <c r="G348" i="59"/>
  <c r="G324" i="59"/>
  <c r="G320" i="59"/>
  <c r="G316" i="59"/>
  <c r="G304" i="59"/>
  <c r="G300" i="59"/>
  <c r="G296" i="59"/>
  <c r="G252" i="59"/>
  <c r="G248" i="59"/>
  <c r="G244" i="59"/>
  <c r="G240" i="59"/>
  <c r="G232" i="59"/>
  <c r="G216" i="59"/>
  <c r="G212" i="59"/>
  <c r="G208" i="59"/>
  <c r="G196" i="59"/>
  <c r="G192" i="59"/>
  <c r="G172" i="59"/>
  <c r="G160" i="59"/>
  <c r="G156" i="59"/>
  <c r="G148" i="59"/>
  <c r="G136" i="59"/>
  <c r="G124" i="59"/>
  <c r="G120" i="59"/>
  <c r="G116" i="59"/>
  <c r="G261" i="59"/>
  <c r="G235" i="59"/>
  <c r="G227" i="59"/>
  <c r="G219" i="59"/>
  <c r="G187" i="59"/>
  <c r="G159" i="59"/>
  <c r="G151" i="59"/>
  <c r="G143" i="59"/>
  <c r="G139" i="59"/>
  <c r="G131" i="59"/>
  <c r="G127" i="59"/>
  <c r="G107" i="59"/>
  <c r="G249" i="59"/>
  <c r="G153" i="59"/>
  <c r="G133" i="59"/>
  <c r="G73" i="59"/>
  <c r="G57" i="59"/>
  <c r="G49" i="59"/>
  <c r="G37" i="59"/>
  <c r="G33" i="59"/>
  <c r="G25" i="59"/>
  <c r="G21" i="59"/>
  <c r="G341" i="59"/>
  <c r="G293" i="59"/>
  <c r="G253" i="59"/>
  <c r="G245" i="59"/>
  <c r="G237" i="59"/>
  <c r="G217" i="59"/>
  <c r="G213" i="59"/>
  <c r="G181" i="59"/>
  <c r="G165" i="59"/>
  <c r="G157" i="59"/>
  <c r="G137" i="59"/>
  <c r="G121" i="59"/>
  <c r="G113" i="59"/>
  <c r="G105" i="59"/>
  <c r="G97" i="59"/>
  <c r="G85" i="59"/>
  <c r="G65" i="59"/>
  <c r="G277" i="59"/>
  <c r="G265" i="59"/>
  <c r="G205" i="59"/>
  <c r="G93" i="59"/>
  <c r="G77" i="59"/>
  <c r="G29" i="59"/>
  <c r="G361" i="59"/>
  <c r="G329" i="59"/>
  <c r="G317" i="59"/>
  <c r="G309" i="59"/>
  <c r="G297" i="59"/>
  <c r="G241" i="59"/>
  <c r="G233" i="59"/>
  <c r="G197" i="59"/>
  <c r="G193" i="59"/>
  <c r="G161" i="59"/>
  <c r="G141" i="59"/>
  <c r="G81" i="59"/>
  <c r="G382" i="59"/>
  <c r="G349" i="59"/>
  <c r="G313" i="59"/>
  <c r="G101" i="59"/>
  <c r="G89" i="59"/>
  <c r="G41" i="59"/>
  <c r="G381" i="59"/>
  <c r="G393" i="59"/>
  <c r="G373" i="59"/>
  <c r="G389" i="59"/>
  <c r="G369" i="59"/>
  <c r="G62" i="59"/>
  <c r="G386" i="59"/>
  <c r="G322" i="59"/>
  <c r="G310" i="59"/>
  <c r="G290" i="59"/>
  <c r="G266" i="59"/>
  <c r="G254" i="59"/>
  <c r="G230" i="59"/>
  <c r="G194" i="59"/>
  <c r="G170" i="59"/>
  <c r="G158" i="59"/>
  <c r="G146" i="59"/>
  <c r="G134" i="59"/>
  <c r="G126" i="59"/>
  <c r="G118" i="59"/>
  <c r="G110" i="59"/>
  <c r="G98" i="59"/>
  <c r="G90" i="59"/>
  <c r="G82" i="59"/>
  <c r="G66" i="59"/>
  <c r="G370" i="59"/>
  <c r="G362" i="59"/>
  <c r="G350" i="59"/>
  <c r="G326" i="59"/>
  <c r="G314" i="59"/>
  <c r="G302" i="59"/>
  <c r="G246" i="59"/>
  <c r="G222" i="59"/>
  <c r="G210" i="59"/>
  <c r="G186" i="59"/>
  <c r="G178" i="59"/>
  <c r="G162" i="59"/>
  <c r="G150" i="59"/>
  <c r="G142" i="59"/>
  <c r="G130" i="59"/>
  <c r="G122" i="59"/>
  <c r="G114" i="59"/>
  <c r="G102" i="59"/>
  <c r="G94" i="59"/>
  <c r="G86" i="59"/>
  <c r="G78" i="59"/>
  <c r="G74" i="59"/>
  <c r="G70" i="59"/>
  <c r="G374" i="59"/>
  <c r="G390" i="59"/>
  <c r="G366" i="59"/>
  <c r="G330" i="59"/>
  <c r="G318" i="59"/>
  <c r="G306" i="59"/>
  <c r="G294" i="59"/>
  <c r="G282" i="59"/>
  <c r="G274" i="59"/>
  <c r="G262" i="59"/>
  <c r="G238" i="59"/>
  <c r="G226" i="59"/>
  <c r="G206" i="59"/>
  <c r="G166" i="59"/>
  <c r="G154" i="59"/>
  <c r="G106" i="59"/>
  <c r="G395" i="59"/>
  <c r="G391" i="59"/>
  <c r="G387" i="59"/>
  <c r="G379" i="59"/>
  <c r="G375" i="59"/>
  <c r="G371" i="59"/>
  <c r="G363" i="59"/>
  <c r="G385" i="59"/>
  <c r="G377" i="59"/>
  <c r="G353" i="59"/>
  <c r="G337" i="59"/>
  <c r="G321" i="59"/>
  <c r="G305" i="59"/>
  <c r="G289" i="59"/>
  <c r="G281" i="59"/>
  <c r="G273" i="59"/>
  <c r="G269" i="59"/>
  <c r="G357" i="59"/>
  <c r="G345" i="59"/>
  <c r="G285" i="59"/>
  <c r="G231" i="59"/>
  <c r="G179" i="59"/>
  <c r="G343" i="59"/>
  <c r="G323" i="59"/>
  <c r="G315" i="59"/>
  <c r="G303" i="59"/>
  <c r="G287" i="59"/>
  <c r="G279" i="59"/>
  <c r="G215" i="59"/>
  <c r="G394" i="59"/>
  <c r="G358" i="59"/>
  <c r="G334" i="59"/>
  <c r="G378" i="59"/>
  <c r="G354" i="59"/>
  <c r="G346" i="59"/>
  <c r="G338" i="59"/>
  <c r="G392" i="59"/>
  <c r="G388" i="59"/>
  <c r="G380" i="59"/>
  <c r="G372" i="59"/>
  <c r="G364" i="59"/>
  <c r="G360" i="59"/>
  <c r="G328" i="59"/>
  <c r="G383" i="59"/>
  <c r="G367" i="59"/>
  <c r="G355" i="59"/>
  <c r="G347" i="59"/>
  <c r="G339" i="59"/>
  <c r="G331" i="59"/>
  <c r="G356" i="59"/>
  <c r="G344" i="59"/>
  <c r="G336" i="59"/>
  <c r="G2" i="59"/>
  <c r="E197" i="59" l="1"/>
  <c r="E393" i="59"/>
  <c r="E332" i="59"/>
  <c r="E70" i="59"/>
  <c r="E102" i="59"/>
  <c r="E73" i="59"/>
  <c r="E173" i="59"/>
  <c r="E233" i="59"/>
  <c r="E363" i="59"/>
  <c r="E14" i="59"/>
  <c r="E369" i="59"/>
  <c r="E292" i="59"/>
  <c r="E349" i="59"/>
  <c r="E256" i="59"/>
  <c r="E247" i="59"/>
  <c r="E383" i="59"/>
  <c r="E81" i="59"/>
  <c r="E117" i="59"/>
  <c r="E169" i="59"/>
  <c r="E366" i="59"/>
  <c r="E153" i="59"/>
  <c r="E141" i="59"/>
  <c r="E140" i="59"/>
  <c r="E208" i="59"/>
  <c r="E229" i="59"/>
  <c r="E277" i="59"/>
  <c r="E296" i="59"/>
  <c r="E316" i="59"/>
  <c r="E18" i="59"/>
  <c r="E122" i="59"/>
  <c r="E338" i="59"/>
  <c r="E125" i="59"/>
  <c r="E95" i="59"/>
  <c r="E99" i="59"/>
  <c r="E236" i="59"/>
  <c r="E252" i="59"/>
  <c r="E276" i="59"/>
  <c r="E284" i="59"/>
  <c r="E288" i="59"/>
  <c r="E308" i="59"/>
  <c r="E312" i="59"/>
  <c r="E328" i="59"/>
  <c r="E348" i="59"/>
  <c r="E364" i="59"/>
  <c r="E392" i="59"/>
  <c r="E69" i="59"/>
  <c r="E265" i="59"/>
  <c r="E317" i="59"/>
  <c r="E365" i="59"/>
  <c r="E387" i="59"/>
  <c r="E8" i="59"/>
  <c r="E44" i="59"/>
  <c r="E320" i="59"/>
  <c r="E336" i="59"/>
  <c r="E380" i="59"/>
  <c r="E9" i="59"/>
  <c r="E13" i="59"/>
  <c r="E21" i="59"/>
  <c r="E53" i="59"/>
  <c r="E93" i="59"/>
  <c r="E133" i="59"/>
  <c r="E193" i="59"/>
  <c r="E293" i="59"/>
  <c r="E5" i="59"/>
  <c r="E10" i="59"/>
  <c r="E64" i="59"/>
  <c r="E190" i="59"/>
  <c r="E194" i="59"/>
  <c r="E270" i="59"/>
  <c r="E274" i="59"/>
  <c r="E278" i="59"/>
  <c r="E306" i="59"/>
  <c r="E101" i="59"/>
  <c r="E74" i="59"/>
  <c r="E106" i="59"/>
  <c r="E138" i="59"/>
  <c r="E154" i="59"/>
  <c r="E386" i="59"/>
  <c r="E89" i="59"/>
  <c r="E137" i="59"/>
  <c r="E17" i="59"/>
  <c r="E120" i="59"/>
  <c r="E160" i="59"/>
  <c r="E184" i="59"/>
  <c r="E204" i="59"/>
  <c r="E220" i="59"/>
  <c r="E228" i="59"/>
  <c r="E248" i="59"/>
  <c r="E131" i="59"/>
  <c r="E147" i="59"/>
  <c r="E179" i="59"/>
  <c r="E187" i="59"/>
  <c r="E211" i="59"/>
  <c r="E239" i="59"/>
  <c r="E283" i="59"/>
  <c r="E361" i="59"/>
  <c r="E20" i="59"/>
  <c r="E24" i="59"/>
  <c r="E40" i="59"/>
  <c r="E56" i="59"/>
  <c r="E152" i="59"/>
  <c r="E212" i="59"/>
  <c r="E240" i="59"/>
  <c r="E25" i="59"/>
  <c r="E57" i="59"/>
  <c r="E224" i="59"/>
  <c r="E232" i="59"/>
  <c r="E258" i="59"/>
  <c r="E151" i="59"/>
  <c r="E167" i="59"/>
  <c r="E263" i="59"/>
  <c r="E33" i="59"/>
  <c r="E158" i="59"/>
  <c r="E202" i="59"/>
  <c r="E319" i="59"/>
  <c r="E16" i="59"/>
  <c r="E149" i="59"/>
  <c r="E82" i="59"/>
  <c r="E98" i="59"/>
  <c r="E114" i="59"/>
  <c r="E130" i="59"/>
  <c r="E326" i="59"/>
  <c r="E346" i="59"/>
  <c r="E358" i="59"/>
  <c r="E59" i="59"/>
  <c r="E150" i="59"/>
  <c r="E379" i="59"/>
  <c r="E49" i="59"/>
  <c r="E269" i="59"/>
  <c r="E301" i="59"/>
  <c r="E373" i="59"/>
  <c r="E12" i="59"/>
  <c r="E28" i="59"/>
  <c r="E60" i="59"/>
  <c r="E68" i="59"/>
  <c r="E72" i="59"/>
  <c r="E76" i="59"/>
  <c r="E112" i="59"/>
  <c r="E116" i="59"/>
  <c r="E156" i="59"/>
  <c r="E176" i="59"/>
  <c r="E180" i="59"/>
  <c r="E63" i="59"/>
  <c r="E139" i="59"/>
  <c r="E163" i="59"/>
  <c r="E195" i="59"/>
  <c r="E223" i="59"/>
  <c r="E227" i="59"/>
  <c r="E243" i="59"/>
  <c r="E271" i="59"/>
  <c r="E323" i="59"/>
  <c r="E355" i="59"/>
  <c r="E97" i="59"/>
  <c r="E189" i="59"/>
  <c r="E124" i="59"/>
  <c r="E144" i="59"/>
  <c r="E148" i="59"/>
  <c r="E164" i="59"/>
  <c r="E188" i="59"/>
  <c r="E192" i="59"/>
  <c r="E87" i="59"/>
  <c r="E115" i="59"/>
  <c r="E123" i="59"/>
  <c r="E135" i="59"/>
  <c r="E143" i="59"/>
  <c r="E171" i="59"/>
  <c r="E207" i="59"/>
  <c r="E255" i="59"/>
  <c r="E109" i="59"/>
  <c r="E213" i="59"/>
  <c r="E234" i="59"/>
  <c r="E286" i="59"/>
  <c r="E310" i="59"/>
  <c r="E75" i="59"/>
  <c r="E67" i="59"/>
  <c r="E103" i="59"/>
  <c r="E119" i="59"/>
  <c r="E127" i="59"/>
  <c r="E183" i="59"/>
  <c r="E231" i="59"/>
  <c r="E251" i="59"/>
  <c r="E351" i="59"/>
  <c r="E371" i="59"/>
  <c r="E32" i="59"/>
  <c r="E80" i="59"/>
  <c r="E84" i="59"/>
  <c r="E88" i="59"/>
  <c r="E92" i="59"/>
  <c r="E96" i="59"/>
  <c r="E178" i="59"/>
  <c r="E210" i="59"/>
  <c r="E205" i="59"/>
  <c r="E353" i="59"/>
  <c r="E6" i="59"/>
  <c r="E22" i="59"/>
  <c r="E26" i="59"/>
  <c r="E30" i="59"/>
  <c r="E34" i="59"/>
  <c r="E38" i="59"/>
  <c r="E42" i="59"/>
  <c r="E46" i="59"/>
  <c r="E50" i="59"/>
  <c r="E54" i="59"/>
  <c r="E58" i="59"/>
  <c r="E94" i="59"/>
  <c r="E110" i="59"/>
  <c r="E126" i="59"/>
  <c r="E200" i="59"/>
  <c r="E31" i="59"/>
  <c r="E35" i="59"/>
  <c r="E155" i="59"/>
  <c r="E128" i="59"/>
  <c r="E132" i="59"/>
  <c r="E168" i="59"/>
  <c r="E172" i="59"/>
  <c r="E216" i="59"/>
  <c r="E244" i="59"/>
  <c r="E260" i="59"/>
  <c r="E268" i="59"/>
  <c r="E304" i="59"/>
  <c r="E324" i="59"/>
  <c r="E344" i="59"/>
  <c r="E360" i="59"/>
  <c r="E384" i="59"/>
  <c r="E388" i="59"/>
  <c r="E29" i="59"/>
  <c r="E61" i="59"/>
  <c r="E253" i="59"/>
  <c r="E136" i="59"/>
  <c r="E85" i="59"/>
  <c r="E121" i="59"/>
  <c r="E165" i="59"/>
  <c r="E177" i="59"/>
  <c r="E225" i="59"/>
  <c r="E237" i="59"/>
  <c r="E249" i="59"/>
  <c r="E281" i="59"/>
  <c r="E313" i="59"/>
  <c r="E385" i="59"/>
  <c r="E4" i="59"/>
  <c r="E36" i="59"/>
  <c r="E48" i="59"/>
  <c r="E52" i="59"/>
  <c r="E100" i="59"/>
  <c r="E104" i="59"/>
  <c r="E108" i="59"/>
  <c r="E295" i="59"/>
  <c r="E299" i="59"/>
  <c r="E311" i="59"/>
  <c r="E315" i="59"/>
  <c r="E327" i="59"/>
  <c r="E331" i="59"/>
  <c r="E343" i="59"/>
  <c r="E347" i="59"/>
  <c r="E391" i="59"/>
  <c r="E41" i="59"/>
  <c r="E77" i="59"/>
  <c r="E186" i="59"/>
  <c r="E214" i="59"/>
  <c r="E218" i="59"/>
  <c r="E222" i="59"/>
  <c r="E242" i="59"/>
  <c r="E246" i="59"/>
  <c r="E262" i="59"/>
  <c r="E314" i="59"/>
  <c r="E362" i="59"/>
  <c r="E378" i="59"/>
  <c r="E113" i="59"/>
  <c r="E161" i="59"/>
  <c r="E221" i="59"/>
  <c r="E273" i="59"/>
  <c r="E321" i="59"/>
  <c r="H108" i="59"/>
  <c r="E166" i="59"/>
  <c r="E79" i="59"/>
  <c r="E83" i="59"/>
  <c r="E91" i="59"/>
  <c r="E159" i="59"/>
  <c r="E289" i="59"/>
  <c r="E23" i="59"/>
  <c r="E39" i="59"/>
  <c r="E43" i="59"/>
  <c r="E55" i="59"/>
  <c r="E19" i="59"/>
  <c r="E7" i="59"/>
  <c r="E27" i="59"/>
  <c r="E111" i="59"/>
  <c r="E47" i="59"/>
  <c r="E11" i="59"/>
  <c r="E71" i="59"/>
  <c r="E215" i="59"/>
  <c r="E3" i="59"/>
  <c r="E15" i="59"/>
  <c r="E51" i="59"/>
  <c r="E303" i="59"/>
  <c r="E199" i="59"/>
  <c r="E254" i="59"/>
  <c r="E294" i="59"/>
  <c r="E335" i="59"/>
  <c r="E341" i="59"/>
  <c r="E305" i="59"/>
  <c r="E257" i="59"/>
  <c r="E37" i="59"/>
  <c r="E359" i="59"/>
  <c r="E203" i="59"/>
  <c r="E191" i="59"/>
  <c r="E90" i="59"/>
  <c r="E230" i="59"/>
  <c r="E345" i="59"/>
  <c r="E145" i="59"/>
  <c r="E300" i="59"/>
  <c r="E275" i="59"/>
  <c r="E65" i="59"/>
  <c r="E280" i="59"/>
  <c r="E372" i="59"/>
  <c r="E264" i="59"/>
  <c r="E307" i="59"/>
  <c r="E219" i="59"/>
  <c r="E377" i="59"/>
  <c r="E394" i="59"/>
  <c r="E157" i="59"/>
  <c r="E245" i="59"/>
  <c r="E45" i="59"/>
  <c r="E376" i="59"/>
  <c r="E279" i="59"/>
  <c r="E226" i="59"/>
  <c r="E206" i="59"/>
  <c r="E196" i="59"/>
  <c r="E285" i="59"/>
  <c r="E318" i="59"/>
  <c r="E146" i="59"/>
  <c r="E162" i="59"/>
  <c r="E350" i="59"/>
  <c r="E282" i="59"/>
  <c r="E266" i="59"/>
  <c r="E66" i="59"/>
  <c r="E322" i="59"/>
  <c r="E374" i="59"/>
  <c r="E62" i="59"/>
  <c r="E181" i="59"/>
  <c r="E185" i="59"/>
  <c r="E241" i="59"/>
  <c r="E309" i="59"/>
  <c r="E325" i="59"/>
  <c r="E329" i="59"/>
  <c r="E381" i="59"/>
  <c r="E105" i="59"/>
  <c r="E217" i="59"/>
  <c r="E357" i="59"/>
  <c r="E209" i="59"/>
  <c r="E261" i="59"/>
  <c r="E129" i="59"/>
  <c r="E267" i="59"/>
  <c r="E356" i="59"/>
  <c r="E382" i="59"/>
  <c r="E290" i="59"/>
  <c r="E368" i="59"/>
  <c r="E340" i="59"/>
  <c r="E107" i="59"/>
  <c r="E390" i="59"/>
  <c r="E370" i="59"/>
  <c r="E250" i="59"/>
  <c r="E238" i="59"/>
  <c r="E334" i="59"/>
  <c r="E259" i="59"/>
  <c r="E337" i="59"/>
  <c r="E342" i="59"/>
  <c r="E367" i="59"/>
  <c r="E302" i="59"/>
  <c r="E333" i="59"/>
  <c r="E235" i="59"/>
  <c r="E201" i="59"/>
  <c r="E142" i="59"/>
  <c r="E86" i="59"/>
  <c r="E297" i="59"/>
  <c r="E272" i="59"/>
  <c r="E339" i="59"/>
  <c r="E375" i="59"/>
  <c r="E330" i="59"/>
  <c r="E134" i="59"/>
  <c r="E389" i="59"/>
  <c r="E354" i="59"/>
  <c r="E175" i="59"/>
  <c r="E395" i="59"/>
  <c r="E298" i="59"/>
  <c r="E287" i="59"/>
  <c r="E78" i="59"/>
  <c r="E291" i="59"/>
  <c r="E118" i="59"/>
  <c r="E182" i="59"/>
  <c r="E198" i="59"/>
  <c r="E174" i="59"/>
  <c r="E170" i="59"/>
  <c r="E352" i="59"/>
  <c r="E2" i="59"/>
  <c r="M21" i="44" l="1"/>
  <c r="N141" i="44" l="1"/>
  <c r="G76" i="43" l="1"/>
  <c r="E76" i="43" l="1"/>
  <c r="I52" i="43" l="1"/>
  <c r="I51" i="43"/>
  <c r="I50" i="43"/>
  <c r="I49" i="43"/>
  <c r="I48" i="43"/>
  <c r="I47" i="43"/>
  <c r="I46" i="43"/>
  <c r="I45" i="43"/>
  <c r="I44" i="43"/>
  <c r="I43" i="43"/>
  <c r="I42" i="43"/>
  <c r="I41" i="43"/>
  <c r="I40" i="43"/>
  <c r="I39" i="43"/>
  <c r="I38" i="43"/>
  <c r="I37" i="43"/>
  <c r="I36" i="43"/>
  <c r="I35" i="43"/>
  <c r="I34" i="43"/>
  <c r="I33" i="43"/>
  <c r="I32" i="43"/>
  <c r="I31" i="43"/>
  <c r="I30" i="43"/>
  <c r="I29" i="43"/>
  <c r="I28" i="43"/>
  <c r="I27" i="43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/>
  <c r="I7" i="43"/>
  <c r="I6" i="43"/>
  <c r="I5" i="43"/>
  <c r="E19" i="40" l="1"/>
  <c r="B91" i="44" l="1"/>
  <c r="I53" i="43" l="1"/>
  <c r="G15" i="6" l="1"/>
  <c r="E3" i="47" l="1"/>
  <c r="B34" i="44" l="1"/>
  <c r="F17" i="47" l="1"/>
  <c r="F78" i="47" l="1"/>
  <c r="F230" i="47"/>
  <c r="F352" i="47"/>
  <c r="F291" i="47"/>
  <c r="F139" i="47"/>
  <c r="F200" i="47"/>
  <c r="F47" i="47"/>
  <c r="G322" i="47"/>
  <c r="F261" i="47"/>
  <c r="F108" i="47"/>
  <c r="G109" i="47"/>
  <c r="G383" i="47"/>
  <c r="F362" i="47"/>
  <c r="F358" i="47"/>
  <c r="F354" i="47"/>
  <c r="F350" i="47"/>
  <c r="F346" i="47"/>
  <c r="F342" i="47"/>
  <c r="F338" i="47"/>
  <c r="F334" i="47"/>
  <c r="F330" i="47"/>
  <c r="F365" i="47"/>
  <c r="F341" i="47"/>
  <c r="F361" i="47"/>
  <c r="F349" i="47"/>
  <c r="F364" i="47"/>
  <c r="F360" i="47"/>
  <c r="F356" i="47"/>
  <c r="F348" i="47"/>
  <c r="F344" i="47"/>
  <c r="F340" i="47"/>
  <c r="F336" i="47"/>
  <c r="F332" i="47"/>
  <c r="F328" i="47"/>
  <c r="F357" i="47"/>
  <c r="F353" i="47"/>
  <c r="F345" i="47"/>
  <c r="F337" i="47"/>
  <c r="F333" i="47"/>
  <c r="F329" i="47"/>
  <c r="F363" i="47"/>
  <c r="F359" i="47"/>
  <c r="F355" i="47"/>
  <c r="F351" i="47"/>
  <c r="F347" i="47"/>
  <c r="F343" i="47"/>
  <c r="F339" i="47"/>
  <c r="F335" i="47"/>
  <c r="F331" i="47"/>
  <c r="G352" i="47"/>
  <c r="G260" i="47"/>
  <c r="G230" i="47"/>
  <c r="G138" i="47"/>
  <c r="G78" i="47"/>
  <c r="G169" i="47"/>
  <c r="G17" i="47"/>
  <c r="G199" i="47"/>
  <c r="G47" i="47"/>
  <c r="G291" i="47"/>
  <c r="F398" i="47" l="1"/>
  <c r="F397" i="47"/>
  <c r="F396" i="47"/>
  <c r="E396" i="47"/>
  <c r="F395" i="47"/>
  <c r="E395" i="47"/>
  <c r="F394" i="47"/>
  <c r="E394" i="47"/>
  <c r="F393" i="47"/>
  <c r="E393" i="47"/>
  <c r="F392" i="47"/>
  <c r="E392" i="47"/>
  <c r="F391" i="47"/>
  <c r="E391" i="47"/>
  <c r="F390" i="47"/>
  <c r="E390" i="47"/>
  <c r="F389" i="47"/>
  <c r="E389" i="47"/>
  <c r="F388" i="47"/>
  <c r="E388" i="47"/>
  <c r="F387" i="47"/>
  <c r="E387" i="47"/>
  <c r="F386" i="47"/>
  <c r="E386" i="47"/>
  <c r="F385" i="47"/>
  <c r="E385" i="47"/>
  <c r="F384" i="47"/>
  <c r="E384" i="47"/>
  <c r="F383" i="47"/>
  <c r="E383" i="47"/>
  <c r="F382" i="47"/>
  <c r="E382" i="47"/>
  <c r="F381" i="47"/>
  <c r="E381" i="47"/>
  <c r="F380" i="47"/>
  <c r="E380" i="47"/>
  <c r="F379" i="47"/>
  <c r="E379" i="47"/>
  <c r="F378" i="47"/>
  <c r="E378" i="47"/>
  <c r="F377" i="47"/>
  <c r="E377" i="47"/>
  <c r="F376" i="47"/>
  <c r="E376" i="47"/>
  <c r="F375" i="47"/>
  <c r="E375" i="47"/>
  <c r="F374" i="47"/>
  <c r="E374" i="47"/>
  <c r="F373" i="47"/>
  <c r="E373" i="47"/>
  <c r="F372" i="47"/>
  <c r="E372" i="47"/>
  <c r="F371" i="47"/>
  <c r="E371" i="47"/>
  <c r="F370" i="47"/>
  <c r="E370" i="47"/>
  <c r="F369" i="47"/>
  <c r="E369" i="47"/>
  <c r="F368" i="47"/>
  <c r="E368" i="47"/>
  <c r="F367" i="47"/>
  <c r="E367" i="47"/>
  <c r="F366" i="47"/>
  <c r="E366" i="47"/>
  <c r="E365" i="47"/>
  <c r="E364" i="47"/>
  <c r="E363" i="47"/>
  <c r="E362" i="47"/>
  <c r="E361" i="47"/>
  <c r="E360" i="47"/>
  <c r="E359" i="47"/>
  <c r="E358" i="47"/>
  <c r="E357" i="47"/>
  <c r="E356" i="47"/>
  <c r="E355" i="47"/>
  <c r="E354" i="47"/>
  <c r="E353" i="47"/>
  <c r="E352" i="47"/>
  <c r="E351" i="47"/>
  <c r="E350" i="47"/>
  <c r="E349" i="47"/>
  <c r="E348" i="47"/>
  <c r="E347" i="47"/>
  <c r="E346" i="47"/>
  <c r="E345" i="47"/>
  <c r="E344" i="47"/>
  <c r="E343" i="47"/>
  <c r="E342" i="47"/>
  <c r="E341" i="47"/>
  <c r="E340" i="47"/>
  <c r="E339" i="47"/>
  <c r="E338" i="47"/>
  <c r="E337" i="47"/>
  <c r="E336" i="47"/>
  <c r="E335" i="47"/>
  <c r="E334" i="47"/>
  <c r="E333" i="47"/>
  <c r="E332" i="47"/>
  <c r="E331" i="47"/>
  <c r="E330" i="47"/>
  <c r="E329" i="47"/>
  <c r="E328" i="47"/>
  <c r="F327" i="47"/>
  <c r="E327" i="47"/>
  <c r="F326" i="47"/>
  <c r="E326" i="47"/>
  <c r="F325" i="47"/>
  <c r="E325" i="47"/>
  <c r="F324" i="47"/>
  <c r="E324" i="47"/>
  <c r="F323" i="47"/>
  <c r="E323" i="47"/>
  <c r="F322" i="47"/>
  <c r="E322" i="47"/>
  <c r="F321" i="47"/>
  <c r="E321" i="47"/>
  <c r="F320" i="47"/>
  <c r="E320" i="47"/>
  <c r="F319" i="47"/>
  <c r="E319" i="47"/>
  <c r="F318" i="47"/>
  <c r="E318" i="47"/>
  <c r="F317" i="47"/>
  <c r="E317" i="47"/>
  <c r="F316" i="47"/>
  <c r="E316" i="47"/>
  <c r="F315" i="47"/>
  <c r="E315" i="47"/>
  <c r="F314" i="47"/>
  <c r="E314" i="47"/>
  <c r="F313" i="47"/>
  <c r="E313" i="47"/>
  <c r="F312" i="47"/>
  <c r="E312" i="47"/>
  <c r="F311" i="47"/>
  <c r="E311" i="47"/>
  <c r="F310" i="47"/>
  <c r="E310" i="47"/>
  <c r="F309" i="47"/>
  <c r="E309" i="47"/>
  <c r="F308" i="47"/>
  <c r="E308" i="47"/>
  <c r="F307" i="47"/>
  <c r="E307" i="47"/>
  <c r="F306" i="47"/>
  <c r="E306" i="47"/>
  <c r="F305" i="47"/>
  <c r="E305" i="47"/>
  <c r="F304" i="47"/>
  <c r="E304" i="47"/>
  <c r="F303" i="47"/>
  <c r="E303" i="47"/>
  <c r="F302" i="47"/>
  <c r="E302" i="47"/>
  <c r="F301" i="47"/>
  <c r="E301" i="47"/>
  <c r="F300" i="47"/>
  <c r="E300" i="47"/>
  <c r="F299" i="47"/>
  <c r="E299" i="47"/>
  <c r="F298" i="47"/>
  <c r="E298" i="47"/>
  <c r="F297" i="47"/>
  <c r="E297" i="47"/>
  <c r="F296" i="47"/>
  <c r="E296" i="47"/>
  <c r="F295" i="47"/>
  <c r="E295" i="47"/>
  <c r="F294" i="47"/>
  <c r="E294" i="47"/>
  <c r="F293" i="47"/>
  <c r="E293" i="47"/>
  <c r="F292" i="47"/>
  <c r="E292" i="47"/>
  <c r="E291" i="47"/>
  <c r="F290" i="47"/>
  <c r="E290" i="47"/>
  <c r="F289" i="47"/>
  <c r="E289" i="47"/>
  <c r="F288" i="47"/>
  <c r="E288" i="47"/>
  <c r="F287" i="47"/>
  <c r="E287" i="47"/>
  <c r="F286" i="47"/>
  <c r="E286" i="47"/>
  <c r="F285" i="47"/>
  <c r="E285" i="47"/>
  <c r="F284" i="47"/>
  <c r="E284" i="47"/>
  <c r="F283" i="47"/>
  <c r="E283" i="47"/>
  <c r="F282" i="47"/>
  <c r="E282" i="47"/>
  <c r="F281" i="47"/>
  <c r="E281" i="47"/>
  <c r="F280" i="47"/>
  <c r="E280" i="47"/>
  <c r="F279" i="47"/>
  <c r="E279" i="47"/>
  <c r="F278" i="47"/>
  <c r="E278" i="47"/>
  <c r="F277" i="47"/>
  <c r="E277" i="47"/>
  <c r="F276" i="47"/>
  <c r="E276" i="47"/>
  <c r="F275" i="47"/>
  <c r="E275" i="47"/>
  <c r="F274" i="47"/>
  <c r="E274" i="47"/>
  <c r="F273" i="47"/>
  <c r="E273" i="47"/>
  <c r="F272" i="47"/>
  <c r="E272" i="47"/>
  <c r="F271" i="47"/>
  <c r="E271" i="47"/>
  <c r="F270" i="47"/>
  <c r="E270" i="47"/>
  <c r="F269" i="47"/>
  <c r="E269" i="47"/>
  <c r="F268" i="47"/>
  <c r="E268" i="47"/>
  <c r="F267" i="47"/>
  <c r="E267" i="47"/>
  <c r="F266" i="47"/>
  <c r="E266" i="47"/>
  <c r="F265" i="47"/>
  <c r="E265" i="47"/>
  <c r="F264" i="47"/>
  <c r="E264" i="47"/>
  <c r="F263" i="47"/>
  <c r="E263" i="47"/>
  <c r="F262" i="47"/>
  <c r="E262" i="47"/>
  <c r="E261" i="47"/>
  <c r="F260" i="47"/>
  <c r="E260" i="47"/>
  <c r="F259" i="47"/>
  <c r="E259" i="47"/>
  <c r="F258" i="47"/>
  <c r="E258" i="47"/>
  <c r="F257" i="47"/>
  <c r="E257" i="47"/>
  <c r="F256" i="47"/>
  <c r="E256" i="47"/>
  <c r="F255" i="47"/>
  <c r="E255" i="47"/>
  <c r="F254" i="47"/>
  <c r="E254" i="47"/>
  <c r="F253" i="47"/>
  <c r="E253" i="47"/>
  <c r="F252" i="47"/>
  <c r="E252" i="47"/>
  <c r="F251" i="47"/>
  <c r="E251" i="47"/>
  <c r="F250" i="47"/>
  <c r="E250" i="47"/>
  <c r="F249" i="47"/>
  <c r="E249" i="47"/>
  <c r="F248" i="47"/>
  <c r="E248" i="47"/>
  <c r="F247" i="47"/>
  <c r="E247" i="47"/>
  <c r="F246" i="47"/>
  <c r="E246" i="47"/>
  <c r="F245" i="47"/>
  <c r="E245" i="47"/>
  <c r="F244" i="47"/>
  <c r="E244" i="47"/>
  <c r="F243" i="47"/>
  <c r="E243" i="47"/>
  <c r="F242" i="47"/>
  <c r="E242" i="47"/>
  <c r="F241" i="47"/>
  <c r="E241" i="47"/>
  <c r="F240" i="47"/>
  <c r="E240" i="47"/>
  <c r="F239" i="47"/>
  <c r="E239" i="47"/>
  <c r="F238" i="47"/>
  <c r="E238" i="47"/>
  <c r="F237" i="47"/>
  <c r="E237" i="47"/>
  <c r="F236" i="47"/>
  <c r="E236" i="47"/>
  <c r="F235" i="47"/>
  <c r="E235" i="47"/>
  <c r="F234" i="47"/>
  <c r="E234" i="47"/>
  <c r="F233" i="47"/>
  <c r="E233" i="47"/>
  <c r="F232" i="47"/>
  <c r="E232" i="47"/>
  <c r="F231" i="47"/>
  <c r="E231" i="47"/>
  <c r="E230" i="47"/>
  <c r="F229" i="47"/>
  <c r="E229" i="47"/>
  <c r="F228" i="47"/>
  <c r="E228" i="47"/>
  <c r="F227" i="47"/>
  <c r="E227" i="47"/>
  <c r="F226" i="47"/>
  <c r="E226" i="47"/>
  <c r="F225" i="47"/>
  <c r="E225" i="47"/>
  <c r="F224" i="47"/>
  <c r="E224" i="47"/>
  <c r="F223" i="47"/>
  <c r="E223" i="47"/>
  <c r="F222" i="47"/>
  <c r="E222" i="47"/>
  <c r="F221" i="47"/>
  <c r="E221" i="47"/>
  <c r="F220" i="47"/>
  <c r="E220" i="47"/>
  <c r="F219" i="47"/>
  <c r="E219" i="47"/>
  <c r="F218" i="47"/>
  <c r="E218" i="47"/>
  <c r="F217" i="47"/>
  <c r="E217" i="47"/>
  <c r="F216" i="47"/>
  <c r="E216" i="47"/>
  <c r="F215" i="47"/>
  <c r="E215" i="47"/>
  <c r="F214" i="47"/>
  <c r="E214" i="47"/>
  <c r="F213" i="47"/>
  <c r="E213" i="47"/>
  <c r="F212" i="47"/>
  <c r="E212" i="47"/>
  <c r="F211" i="47"/>
  <c r="E211" i="47"/>
  <c r="F210" i="47"/>
  <c r="E210" i="47"/>
  <c r="F209" i="47"/>
  <c r="E209" i="47"/>
  <c r="F208" i="47"/>
  <c r="E208" i="47"/>
  <c r="F207" i="47"/>
  <c r="E207" i="47"/>
  <c r="F206" i="47"/>
  <c r="E206" i="47"/>
  <c r="F205" i="47"/>
  <c r="E205" i="47"/>
  <c r="F204" i="47"/>
  <c r="E204" i="47"/>
  <c r="F203" i="47"/>
  <c r="E203" i="47"/>
  <c r="F202" i="47"/>
  <c r="E202" i="47"/>
  <c r="F201" i="47"/>
  <c r="E201" i="47"/>
  <c r="E200" i="47"/>
  <c r="F199" i="47"/>
  <c r="E199" i="47"/>
  <c r="F198" i="47"/>
  <c r="E198" i="47"/>
  <c r="F197" i="47"/>
  <c r="E197" i="47"/>
  <c r="F196" i="47"/>
  <c r="E196" i="47"/>
  <c r="F195" i="47"/>
  <c r="E195" i="47"/>
  <c r="F194" i="47"/>
  <c r="E194" i="47"/>
  <c r="F193" i="47"/>
  <c r="E193" i="47"/>
  <c r="F192" i="47"/>
  <c r="E192" i="47"/>
  <c r="F191" i="47"/>
  <c r="E191" i="47"/>
  <c r="F190" i="47"/>
  <c r="E190" i="47"/>
  <c r="F189" i="47"/>
  <c r="E189" i="47"/>
  <c r="F188" i="47"/>
  <c r="E188" i="47"/>
  <c r="F187" i="47"/>
  <c r="E187" i="47"/>
  <c r="F186" i="47"/>
  <c r="E186" i="47"/>
  <c r="F185" i="47"/>
  <c r="E185" i="47"/>
  <c r="F184" i="47"/>
  <c r="E184" i="47"/>
  <c r="F183" i="47"/>
  <c r="E183" i="47"/>
  <c r="F182" i="47"/>
  <c r="E182" i="47"/>
  <c r="F181" i="47"/>
  <c r="E181" i="47"/>
  <c r="F180" i="47"/>
  <c r="E180" i="47"/>
  <c r="F179" i="47"/>
  <c r="E179" i="47"/>
  <c r="F178" i="47"/>
  <c r="E178" i="47"/>
  <c r="F177" i="47"/>
  <c r="E177" i="47"/>
  <c r="F176" i="47"/>
  <c r="E176" i="47"/>
  <c r="F175" i="47"/>
  <c r="E175" i="47"/>
  <c r="F174" i="47"/>
  <c r="E174" i="47"/>
  <c r="F173" i="47"/>
  <c r="E173" i="47"/>
  <c r="F172" i="47"/>
  <c r="E172" i="47"/>
  <c r="F171" i="47"/>
  <c r="E171" i="47"/>
  <c r="F170" i="47"/>
  <c r="E170" i="47"/>
  <c r="F169" i="47"/>
  <c r="E169" i="47"/>
  <c r="F168" i="47"/>
  <c r="E168" i="47"/>
  <c r="F167" i="47"/>
  <c r="E167" i="47"/>
  <c r="F166" i="47"/>
  <c r="E166" i="47"/>
  <c r="F165" i="47"/>
  <c r="E165" i="47"/>
  <c r="F164" i="47"/>
  <c r="E164" i="47"/>
  <c r="F163" i="47"/>
  <c r="E163" i="47"/>
  <c r="F162" i="47"/>
  <c r="E162" i="47"/>
  <c r="F161" i="47"/>
  <c r="E161" i="47"/>
  <c r="F160" i="47"/>
  <c r="E160" i="47"/>
  <c r="F159" i="47"/>
  <c r="E159" i="47"/>
  <c r="F158" i="47"/>
  <c r="E158" i="47"/>
  <c r="F157" i="47"/>
  <c r="E157" i="47"/>
  <c r="F156" i="47"/>
  <c r="E156" i="47"/>
  <c r="F155" i="47"/>
  <c r="E155" i="47"/>
  <c r="F154" i="47"/>
  <c r="E154" i="47"/>
  <c r="F153" i="47"/>
  <c r="E153" i="47"/>
  <c r="F152" i="47"/>
  <c r="E152" i="47"/>
  <c r="F151" i="47"/>
  <c r="E151" i="47"/>
  <c r="F150" i="47"/>
  <c r="E150" i="47"/>
  <c r="F149" i="47"/>
  <c r="E149" i="47"/>
  <c r="F148" i="47"/>
  <c r="E148" i="47"/>
  <c r="F147" i="47"/>
  <c r="E147" i="47"/>
  <c r="F146" i="47"/>
  <c r="E146" i="47"/>
  <c r="F145" i="47"/>
  <c r="E145" i="47"/>
  <c r="F144" i="47"/>
  <c r="E144" i="47"/>
  <c r="F143" i="47"/>
  <c r="E143" i="47"/>
  <c r="F142" i="47"/>
  <c r="E142" i="47"/>
  <c r="F141" i="47"/>
  <c r="E141" i="47"/>
  <c r="F140" i="47"/>
  <c r="E140" i="47"/>
  <c r="E139" i="47"/>
  <c r="F138" i="47"/>
  <c r="E138" i="47"/>
  <c r="F137" i="47"/>
  <c r="E137" i="47"/>
  <c r="F136" i="47"/>
  <c r="E136" i="47"/>
  <c r="F135" i="47"/>
  <c r="E135" i="47"/>
  <c r="F134" i="47"/>
  <c r="E134" i="47"/>
  <c r="F133" i="47"/>
  <c r="E133" i="47"/>
  <c r="F132" i="47"/>
  <c r="E132" i="47"/>
  <c r="F131" i="47"/>
  <c r="E131" i="47"/>
  <c r="F130" i="47"/>
  <c r="E130" i="47"/>
  <c r="F129" i="47"/>
  <c r="E129" i="47"/>
  <c r="F128" i="47"/>
  <c r="E128" i="47"/>
  <c r="F127" i="47"/>
  <c r="E127" i="47"/>
  <c r="F126" i="47"/>
  <c r="E126" i="47"/>
  <c r="F125" i="47"/>
  <c r="E125" i="47"/>
  <c r="F124" i="47"/>
  <c r="E124" i="47"/>
  <c r="F123" i="47"/>
  <c r="E123" i="47"/>
  <c r="F122" i="47"/>
  <c r="E122" i="47"/>
  <c r="F121" i="47"/>
  <c r="E121" i="47"/>
  <c r="F120" i="47"/>
  <c r="E120" i="47"/>
  <c r="F119" i="47"/>
  <c r="E119" i="47"/>
  <c r="F118" i="47"/>
  <c r="E118" i="47"/>
  <c r="F117" i="47"/>
  <c r="E117" i="47"/>
  <c r="F116" i="47"/>
  <c r="E116" i="47"/>
  <c r="F115" i="47"/>
  <c r="E115" i="47"/>
  <c r="F114" i="47"/>
  <c r="E114" i="47"/>
  <c r="F113" i="47"/>
  <c r="E113" i="47"/>
  <c r="F112" i="47"/>
  <c r="E112" i="47"/>
  <c r="F111" i="47"/>
  <c r="E111" i="47"/>
  <c r="F110" i="47"/>
  <c r="E110" i="47"/>
  <c r="F109" i="47"/>
  <c r="E109" i="47"/>
  <c r="E108" i="47"/>
  <c r="F107" i="47"/>
  <c r="E107" i="47"/>
  <c r="F106" i="47"/>
  <c r="E106" i="47"/>
  <c r="F105" i="47"/>
  <c r="E105" i="47"/>
  <c r="F104" i="47"/>
  <c r="E104" i="47"/>
  <c r="F103" i="47"/>
  <c r="E103" i="47"/>
  <c r="F102" i="47"/>
  <c r="E102" i="47"/>
  <c r="F101" i="47"/>
  <c r="E101" i="47"/>
  <c r="F100" i="47"/>
  <c r="E100" i="47"/>
  <c r="F99" i="47"/>
  <c r="E99" i="47"/>
  <c r="F98" i="47"/>
  <c r="E98" i="47"/>
  <c r="F97" i="47"/>
  <c r="E97" i="47"/>
  <c r="F96" i="47"/>
  <c r="E96" i="47"/>
  <c r="F95" i="47"/>
  <c r="E95" i="47"/>
  <c r="F94" i="47"/>
  <c r="E94" i="47"/>
  <c r="F93" i="47"/>
  <c r="E93" i="47"/>
  <c r="F92" i="47"/>
  <c r="E92" i="47"/>
  <c r="F91" i="47"/>
  <c r="E91" i="47"/>
  <c r="F90" i="47"/>
  <c r="E90" i="47"/>
  <c r="F89" i="47"/>
  <c r="E89" i="47"/>
  <c r="F88" i="47"/>
  <c r="E88" i="47"/>
  <c r="F87" i="47"/>
  <c r="E87" i="47"/>
  <c r="F86" i="47"/>
  <c r="E86" i="47"/>
  <c r="F85" i="47"/>
  <c r="E85" i="47"/>
  <c r="F84" i="47"/>
  <c r="E84" i="47"/>
  <c r="F83" i="47"/>
  <c r="E83" i="47"/>
  <c r="F82" i="47"/>
  <c r="E82" i="47"/>
  <c r="F81" i="47"/>
  <c r="E81" i="47"/>
  <c r="F80" i="47"/>
  <c r="E80" i="47"/>
  <c r="F79" i="47"/>
  <c r="E79" i="47"/>
  <c r="E78" i="47"/>
  <c r="F77" i="47"/>
  <c r="E77" i="47"/>
  <c r="F76" i="47"/>
  <c r="E76" i="47"/>
  <c r="F75" i="47"/>
  <c r="E75" i="47"/>
  <c r="F74" i="47"/>
  <c r="E74" i="47"/>
  <c r="F73" i="47"/>
  <c r="E73" i="47"/>
  <c r="F72" i="47"/>
  <c r="E72" i="47"/>
  <c r="F71" i="47"/>
  <c r="E71" i="47"/>
  <c r="F70" i="47"/>
  <c r="E70" i="47"/>
  <c r="F69" i="47"/>
  <c r="E69" i="47"/>
  <c r="F68" i="47"/>
  <c r="E68" i="47"/>
  <c r="F67" i="47"/>
  <c r="E67" i="47"/>
  <c r="F66" i="47"/>
  <c r="E66" i="47"/>
  <c r="F65" i="47"/>
  <c r="E65" i="47"/>
  <c r="F64" i="47"/>
  <c r="E64" i="47"/>
  <c r="F63" i="47"/>
  <c r="E63" i="47"/>
  <c r="F62" i="47"/>
  <c r="E62" i="47"/>
  <c r="F61" i="47"/>
  <c r="E61" i="47"/>
  <c r="F60" i="47"/>
  <c r="E60" i="47"/>
  <c r="F59" i="47"/>
  <c r="E59" i="47"/>
  <c r="F58" i="47"/>
  <c r="E58" i="47"/>
  <c r="F57" i="47"/>
  <c r="E57" i="47"/>
  <c r="F56" i="47"/>
  <c r="E56" i="47"/>
  <c r="F55" i="47"/>
  <c r="E55" i="47"/>
  <c r="F54" i="47"/>
  <c r="E54" i="47"/>
  <c r="F53" i="47"/>
  <c r="E53" i="47"/>
  <c r="F52" i="47"/>
  <c r="E52" i="47"/>
  <c r="F51" i="47"/>
  <c r="E51" i="47"/>
  <c r="F50" i="47"/>
  <c r="E50" i="47"/>
  <c r="F49" i="47"/>
  <c r="E49" i="47"/>
  <c r="F48" i="47"/>
  <c r="E48" i="47"/>
  <c r="E47" i="47"/>
  <c r="F46" i="47"/>
  <c r="E46" i="47"/>
  <c r="F45" i="47"/>
  <c r="E45" i="47"/>
  <c r="F44" i="47"/>
  <c r="E44" i="47"/>
  <c r="F43" i="47"/>
  <c r="E43" i="47"/>
  <c r="F42" i="47"/>
  <c r="E42" i="47"/>
  <c r="F41" i="47"/>
  <c r="E41" i="47"/>
  <c r="F40" i="47"/>
  <c r="E40" i="47"/>
  <c r="F39" i="47"/>
  <c r="E39" i="47"/>
  <c r="F38" i="47"/>
  <c r="E38" i="47"/>
  <c r="F37" i="47"/>
  <c r="E37" i="47"/>
  <c r="F36" i="47"/>
  <c r="E36" i="47"/>
  <c r="F35" i="47"/>
  <c r="E35" i="47"/>
  <c r="F34" i="47"/>
  <c r="E34" i="47"/>
  <c r="F33" i="47"/>
  <c r="E33" i="47"/>
  <c r="F32" i="47"/>
  <c r="E32" i="47"/>
  <c r="F31" i="47"/>
  <c r="E31" i="47"/>
  <c r="F30" i="47"/>
  <c r="E30" i="47"/>
  <c r="F29" i="47"/>
  <c r="E29" i="47"/>
  <c r="F28" i="47"/>
  <c r="E28" i="47"/>
  <c r="F27" i="47"/>
  <c r="E27" i="47"/>
  <c r="F26" i="47"/>
  <c r="E26" i="47"/>
  <c r="F25" i="47"/>
  <c r="E25" i="47"/>
  <c r="F24" i="47"/>
  <c r="E24" i="47"/>
  <c r="F23" i="47"/>
  <c r="E23" i="47"/>
  <c r="F22" i="47"/>
  <c r="E22" i="47"/>
  <c r="F21" i="47"/>
  <c r="E21" i="47"/>
  <c r="F20" i="47"/>
  <c r="E20" i="47"/>
  <c r="F19" i="47"/>
  <c r="E19" i="47"/>
  <c r="F18" i="47"/>
  <c r="E18" i="47"/>
  <c r="E17" i="47"/>
  <c r="F16" i="47"/>
  <c r="E16" i="47"/>
  <c r="F15" i="47"/>
  <c r="E15" i="47"/>
  <c r="F14" i="47"/>
  <c r="E14" i="47"/>
  <c r="F13" i="47"/>
  <c r="E13" i="47"/>
  <c r="F12" i="47"/>
  <c r="E12" i="47"/>
  <c r="F11" i="47"/>
  <c r="E11" i="47"/>
  <c r="F10" i="47"/>
  <c r="E10" i="47"/>
  <c r="F9" i="47"/>
  <c r="E9" i="47"/>
  <c r="F8" i="47"/>
  <c r="E8" i="47"/>
  <c r="F7" i="47"/>
  <c r="E7" i="47"/>
  <c r="F6" i="47"/>
  <c r="E6" i="47"/>
  <c r="F5" i="47"/>
  <c r="E5" i="47"/>
  <c r="F4" i="47"/>
  <c r="E4" i="47"/>
  <c r="F3" i="47"/>
  <c r="K22" i="6" l="1"/>
  <c r="I22" i="6"/>
  <c r="G22" i="6"/>
  <c r="K15" i="6"/>
  <c r="I15" i="6"/>
  <c r="I26" i="6" l="1"/>
  <c r="I24" i="6"/>
  <c r="I23" i="6"/>
  <c r="I21" i="6"/>
  <c r="I20" i="6"/>
  <c r="I19" i="6"/>
  <c r="I18" i="6"/>
  <c r="I17" i="6"/>
  <c r="I16" i="6"/>
  <c r="I14" i="6"/>
  <c r="I13" i="6"/>
  <c r="I12" i="6"/>
  <c r="I11" i="6"/>
  <c r="I10" i="6"/>
  <c r="I9" i="6"/>
  <c r="H26" i="6"/>
  <c r="H25" i="6"/>
  <c r="H24" i="6"/>
  <c r="H23" i="6"/>
  <c r="H21" i="6"/>
  <c r="H20" i="6"/>
  <c r="H19" i="6"/>
  <c r="H18" i="6"/>
  <c r="H17" i="6"/>
  <c r="H16" i="6"/>
  <c r="H14" i="6"/>
  <c r="H13" i="6"/>
  <c r="H12" i="6"/>
  <c r="H11" i="6"/>
  <c r="H10" i="6"/>
  <c r="H9" i="6"/>
  <c r="G26" i="6"/>
  <c r="G24" i="6"/>
  <c r="G23" i="6"/>
  <c r="G21" i="6"/>
  <c r="G20" i="6"/>
  <c r="G19" i="6"/>
  <c r="G18" i="6"/>
  <c r="G17" i="6"/>
  <c r="G16" i="6"/>
  <c r="G14" i="6"/>
  <c r="G13" i="6"/>
  <c r="G12" i="6"/>
  <c r="G11" i="6"/>
  <c r="G10" i="6"/>
  <c r="G9" i="6"/>
  <c r="F26" i="6"/>
  <c r="F25" i="6"/>
  <c r="F24" i="6"/>
  <c r="F23" i="6"/>
  <c r="F21" i="6"/>
  <c r="F20" i="6"/>
  <c r="F19" i="6"/>
  <c r="F18" i="6"/>
  <c r="F17" i="6"/>
  <c r="F16" i="6"/>
  <c r="F14" i="6"/>
  <c r="F13" i="6"/>
  <c r="F12" i="6"/>
  <c r="F11" i="6"/>
  <c r="F10" i="6"/>
  <c r="F9" i="6"/>
  <c r="K26" i="6"/>
  <c r="K25" i="6"/>
  <c r="K24" i="6"/>
  <c r="K23" i="6"/>
  <c r="K21" i="6"/>
  <c r="K20" i="6"/>
  <c r="K19" i="6"/>
  <c r="K18" i="6"/>
  <c r="K17" i="6"/>
  <c r="K16" i="6"/>
  <c r="K14" i="6"/>
  <c r="K13" i="6"/>
  <c r="K12" i="6"/>
  <c r="K11" i="6"/>
  <c r="K10" i="6"/>
  <c r="K9" i="6"/>
  <c r="J26" i="6"/>
  <c r="J25" i="6"/>
  <c r="J24" i="6"/>
  <c r="J23" i="6"/>
  <c r="J21" i="6"/>
  <c r="J20" i="6"/>
  <c r="J19" i="6"/>
  <c r="J18" i="6"/>
  <c r="J17" i="6"/>
  <c r="J16" i="6"/>
  <c r="J14" i="6"/>
  <c r="J13" i="6"/>
  <c r="J12" i="6"/>
  <c r="J11" i="6"/>
  <c r="J10" i="6"/>
  <c r="J9" i="6"/>
  <c r="B44" i="44" l="1"/>
  <c r="B43" i="44"/>
  <c r="B42" i="44"/>
  <c r="B41" i="44"/>
  <c r="B40" i="44"/>
  <c r="B39" i="44"/>
  <c r="B38" i="44"/>
  <c r="B37" i="44"/>
  <c r="B36" i="44"/>
  <c r="B35" i="44"/>
  <c r="B45" i="44" l="1"/>
  <c r="C35" i="44" s="1"/>
  <c r="E1209" i="47"/>
  <c r="E1208" i="47"/>
  <c r="E1207" i="47"/>
  <c r="E1206" i="47"/>
  <c r="E1205" i="47"/>
  <c r="E1204" i="47"/>
  <c r="E1203" i="47"/>
  <c r="E1202" i="47"/>
  <c r="E1201" i="47"/>
  <c r="E1200" i="47"/>
  <c r="E1199" i="47"/>
  <c r="E1198" i="47"/>
  <c r="E1197" i="47"/>
  <c r="E1196" i="47"/>
  <c r="E1195" i="47"/>
  <c r="E1194" i="47"/>
  <c r="E1193" i="47"/>
  <c r="E1192" i="47"/>
  <c r="E1191" i="47"/>
  <c r="E1190" i="47"/>
  <c r="E1189" i="47"/>
  <c r="E1188" i="47"/>
  <c r="E1187" i="47"/>
  <c r="E1186" i="47"/>
  <c r="E1185" i="47"/>
  <c r="E1184" i="47"/>
  <c r="E1183" i="47"/>
  <c r="E1182" i="47"/>
  <c r="E1181" i="47"/>
  <c r="E1180" i="47"/>
  <c r="E1179" i="47"/>
  <c r="E1178" i="47"/>
  <c r="E1177" i="47"/>
  <c r="E1176" i="47"/>
  <c r="E1175" i="47"/>
  <c r="E1174" i="47"/>
  <c r="E1173" i="47"/>
  <c r="E1172" i="47"/>
  <c r="E1171" i="47"/>
  <c r="E1170" i="47"/>
  <c r="E1169" i="47"/>
  <c r="E1168" i="47"/>
  <c r="E1167" i="47"/>
  <c r="E1166" i="47"/>
  <c r="E1165" i="47"/>
  <c r="E1164" i="47"/>
  <c r="E1163" i="47"/>
  <c r="E1162" i="47"/>
  <c r="E1161" i="47"/>
  <c r="E1160" i="47"/>
  <c r="E1159" i="47"/>
  <c r="E1158" i="47"/>
  <c r="E1157" i="47"/>
  <c r="E1156" i="47"/>
  <c r="E1155" i="47"/>
  <c r="E1154" i="47"/>
  <c r="E1153" i="47"/>
  <c r="E1152" i="47"/>
  <c r="E1151" i="47"/>
  <c r="E1150" i="47"/>
  <c r="E1149" i="47"/>
  <c r="E1148" i="47"/>
  <c r="E1147" i="47"/>
  <c r="E1146" i="47"/>
  <c r="E1145" i="47"/>
  <c r="E1144" i="47"/>
  <c r="E1143" i="47"/>
  <c r="E1142" i="47"/>
  <c r="E1141" i="47"/>
  <c r="E1140" i="47"/>
  <c r="E1139" i="47"/>
  <c r="E1138" i="47"/>
  <c r="E1137" i="47"/>
  <c r="E1136" i="47"/>
  <c r="E1135" i="47"/>
  <c r="E1134" i="47"/>
  <c r="E1133" i="47"/>
  <c r="E1132" i="47"/>
  <c r="E1131" i="47"/>
  <c r="E1130" i="47"/>
  <c r="E1129" i="47"/>
  <c r="E1128" i="47"/>
  <c r="E1127" i="47"/>
  <c r="E1126" i="47"/>
  <c r="E1125" i="47"/>
  <c r="E1124" i="47"/>
  <c r="E1123" i="47"/>
  <c r="E1122" i="47"/>
  <c r="E1121" i="47"/>
  <c r="E1120" i="47"/>
  <c r="E1119" i="47"/>
  <c r="E1118" i="47"/>
  <c r="E1117" i="47"/>
  <c r="E1116" i="47"/>
  <c r="E1115" i="47"/>
  <c r="E1114" i="47"/>
  <c r="E1113" i="47"/>
  <c r="E1112" i="47"/>
  <c r="E1111" i="47"/>
  <c r="E1110" i="47"/>
  <c r="E1109" i="47"/>
  <c r="E1108" i="47"/>
  <c r="E1107" i="47"/>
  <c r="E1106" i="47"/>
  <c r="E1105" i="47"/>
  <c r="E1104" i="47"/>
  <c r="E1103" i="47"/>
  <c r="E1102" i="47"/>
  <c r="E1101" i="47"/>
  <c r="E1100" i="47"/>
  <c r="E1099" i="47"/>
  <c r="E1098" i="47"/>
  <c r="E1097" i="47"/>
  <c r="E1096" i="47"/>
  <c r="E1095" i="47"/>
  <c r="E1094" i="47"/>
  <c r="E1093" i="47"/>
  <c r="E1092" i="47"/>
  <c r="E1091" i="47"/>
  <c r="E1090" i="47"/>
  <c r="E1089" i="47"/>
  <c r="E1088" i="47"/>
  <c r="E1087" i="47"/>
  <c r="E1086" i="47"/>
  <c r="E1085" i="47"/>
  <c r="E1084" i="47"/>
  <c r="E1083" i="47"/>
  <c r="E1082" i="47"/>
  <c r="E1081" i="47"/>
  <c r="E1080" i="47"/>
  <c r="E1079" i="47"/>
  <c r="E1078" i="47"/>
  <c r="E1077" i="47"/>
  <c r="E1076" i="47"/>
  <c r="E1075" i="47"/>
  <c r="E1074" i="47"/>
  <c r="E1073" i="47"/>
  <c r="E1072" i="47"/>
  <c r="E1071" i="47"/>
  <c r="E1070" i="47"/>
  <c r="E1069" i="47"/>
  <c r="E1068" i="47"/>
  <c r="E1067" i="47"/>
  <c r="E1066" i="47"/>
  <c r="E1065" i="47"/>
  <c r="E1064" i="47"/>
  <c r="E1063" i="47"/>
  <c r="E1062" i="47"/>
  <c r="E1061" i="47"/>
  <c r="E1060" i="47"/>
  <c r="E1059" i="47"/>
  <c r="E1058" i="47"/>
  <c r="E1057" i="47"/>
  <c r="E1056" i="47"/>
  <c r="E1055" i="47"/>
  <c r="E1054" i="47"/>
  <c r="E1053" i="47"/>
  <c r="E1052" i="47"/>
  <c r="E1051" i="47"/>
  <c r="E1050" i="47"/>
  <c r="E1049" i="47"/>
  <c r="E1048" i="47"/>
  <c r="E1047" i="47"/>
  <c r="E1046" i="47"/>
  <c r="E1045" i="47"/>
  <c r="E1044" i="47"/>
  <c r="E1043" i="47"/>
  <c r="E1042" i="47"/>
  <c r="E1041" i="47"/>
  <c r="E1040" i="47"/>
  <c r="E1039" i="47"/>
  <c r="E1038" i="47"/>
  <c r="E1037" i="47"/>
  <c r="E1036" i="47"/>
  <c r="E1035" i="47"/>
  <c r="E1034" i="47"/>
  <c r="E1033" i="47"/>
  <c r="E1032" i="47"/>
  <c r="E1031" i="47"/>
  <c r="E1030" i="47"/>
  <c r="E1029" i="47"/>
  <c r="E1028" i="47"/>
  <c r="E1027" i="47"/>
  <c r="E1026" i="47"/>
  <c r="E1025" i="47"/>
  <c r="E1024" i="47"/>
  <c r="E1023" i="47"/>
  <c r="E1022" i="47"/>
  <c r="E1021" i="47"/>
  <c r="E1020" i="47"/>
  <c r="E1019" i="47"/>
  <c r="E1018" i="47"/>
  <c r="E1017" i="47"/>
  <c r="E1016" i="47"/>
  <c r="E1015" i="47"/>
  <c r="E1014" i="47"/>
  <c r="E1013" i="47"/>
  <c r="E1012" i="47"/>
  <c r="E1011" i="47"/>
  <c r="E1010" i="47"/>
  <c r="E1009" i="47"/>
  <c r="E1008" i="47"/>
  <c r="E1007" i="47"/>
  <c r="E1006" i="47"/>
  <c r="E1005" i="47"/>
  <c r="E1004" i="47"/>
  <c r="E1003" i="47"/>
  <c r="E1002" i="47"/>
  <c r="E1001" i="47"/>
  <c r="E1000" i="47"/>
  <c r="E999" i="47"/>
  <c r="E998" i="47"/>
  <c r="E997" i="47"/>
  <c r="E996" i="47"/>
  <c r="E995" i="47"/>
  <c r="E994" i="47"/>
  <c r="E993" i="47"/>
  <c r="E992" i="47"/>
  <c r="E991" i="47"/>
  <c r="E990" i="47"/>
  <c r="E989" i="47"/>
  <c r="E988" i="47"/>
  <c r="E987" i="47"/>
  <c r="E986" i="47"/>
  <c r="E985" i="47"/>
  <c r="E984" i="47"/>
  <c r="E983" i="47"/>
  <c r="E982" i="47"/>
  <c r="E981" i="47"/>
  <c r="E980" i="47"/>
  <c r="E979" i="47"/>
  <c r="E978" i="47"/>
  <c r="E977" i="47"/>
  <c r="E976" i="47"/>
  <c r="E975" i="47"/>
  <c r="E974" i="47"/>
  <c r="E973" i="47"/>
  <c r="E972" i="47"/>
  <c r="E971" i="47"/>
  <c r="E970" i="47"/>
  <c r="E969" i="47"/>
  <c r="E968" i="47"/>
  <c r="E967" i="47"/>
  <c r="E966" i="47"/>
  <c r="E965" i="47"/>
  <c r="E964" i="47"/>
  <c r="E963" i="47"/>
  <c r="E962" i="47"/>
  <c r="E961" i="47"/>
  <c r="E960" i="47"/>
  <c r="E959" i="47"/>
  <c r="E958" i="47"/>
  <c r="E957" i="47"/>
  <c r="E956" i="47"/>
  <c r="E955" i="47"/>
  <c r="E954" i="47"/>
  <c r="E953" i="47"/>
  <c r="E952" i="47"/>
  <c r="E951" i="47"/>
  <c r="E950" i="47"/>
  <c r="E949" i="47"/>
  <c r="E948" i="47"/>
  <c r="E947" i="47"/>
  <c r="E946" i="47"/>
  <c r="E945" i="47"/>
  <c r="E944" i="47"/>
  <c r="E943" i="47"/>
  <c r="E942" i="47"/>
  <c r="E941" i="47"/>
  <c r="E940" i="47"/>
  <c r="E939" i="47"/>
  <c r="E938" i="47"/>
  <c r="E937" i="47"/>
  <c r="E936" i="47"/>
  <c r="E935" i="47"/>
  <c r="E934" i="47"/>
  <c r="E933" i="47"/>
  <c r="E932" i="47"/>
  <c r="E931" i="47"/>
  <c r="E930" i="47"/>
  <c r="E929" i="47"/>
  <c r="E928" i="47"/>
  <c r="E927" i="47"/>
  <c r="E926" i="47"/>
  <c r="E925" i="47"/>
  <c r="E924" i="47"/>
  <c r="E923" i="47"/>
  <c r="E922" i="47"/>
  <c r="E921" i="47"/>
  <c r="E920" i="47"/>
  <c r="E919" i="47"/>
  <c r="E918" i="47"/>
  <c r="E917" i="47"/>
  <c r="E916" i="47"/>
  <c r="E915" i="47"/>
  <c r="E914" i="47"/>
  <c r="E913" i="47"/>
  <c r="E912" i="47"/>
  <c r="E911" i="47"/>
  <c r="E910" i="47"/>
  <c r="E909" i="47"/>
  <c r="E908" i="47"/>
  <c r="E907" i="47"/>
  <c r="E906" i="47"/>
  <c r="E905" i="47"/>
  <c r="E904" i="47"/>
  <c r="E903" i="47"/>
  <c r="E902" i="47"/>
  <c r="E901" i="47"/>
  <c r="E900" i="47"/>
  <c r="E899" i="47"/>
  <c r="E898" i="47"/>
  <c r="E897" i="47"/>
  <c r="E896" i="47"/>
  <c r="E895" i="47"/>
  <c r="E894" i="47"/>
  <c r="E893" i="47"/>
  <c r="E892" i="47"/>
  <c r="E891" i="47"/>
  <c r="E890" i="47"/>
  <c r="E889" i="47"/>
  <c r="E888" i="47"/>
  <c r="E887" i="47"/>
  <c r="E886" i="47"/>
  <c r="E885" i="47"/>
  <c r="E884" i="47"/>
  <c r="E883" i="47"/>
  <c r="E882" i="47"/>
  <c r="E881" i="47"/>
  <c r="E880" i="47"/>
  <c r="E879" i="47"/>
  <c r="E878" i="47"/>
  <c r="E877" i="47"/>
  <c r="E876" i="47"/>
  <c r="E875" i="47"/>
  <c r="E874" i="47"/>
  <c r="E873" i="47"/>
  <c r="E872" i="47"/>
  <c r="E871" i="47"/>
  <c r="E870" i="47"/>
  <c r="E869" i="47"/>
  <c r="E868" i="47"/>
  <c r="E867" i="47"/>
  <c r="E866" i="47"/>
  <c r="E865" i="47"/>
  <c r="E864" i="47"/>
  <c r="E863" i="47"/>
  <c r="E862" i="47"/>
  <c r="E861" i="47"/>
  <c r="E860" i="47"/>
  <c r="E859" i="47"/>
  <c r="E858" i="47"/>
  <c r="E857" i="47"/>
  <c r="E856" i="47"/>
  <c r="E855" i="47"/>
  <c r="E854" i="47"/>
  <c r="E853" i="47"/>
  <c r="E852" i="47"/>
  <c r="E851" i="47"/>
  <c r="E850" i="47"/>
  <c r="E849" i="47"/>
  <c r="E848" i="47"/>
  <c r="E847" i="47"/>
  <c r="E846" i="47"/>
  <c r="E845" i="47"/>
  <c r="E844" i="47"/>
  <c r="E843" i="47"/>
  <c r="E842" i="47"/>
  <c r="E841" i="47"/>
  <c r="E840" i="47"/>
  <c r="E839" i="47"/>
  <c r="E838" i="47"/>
  <c r="E837" i="47"/>
  <c r="E836" i="47"/>
  <c r="E835" i="47"/>
  <c r="E834" i="47"/>
  <c r="E833" i="47"/>
  <c r="E832" i="47"/>
  <c r="E831" i="47"/>
  <c r="E830" i="47"/>
  <c r="E829" i="47"/>
  <c r="E828" i="47"/>
  <c r="E827" i="47"/>
  <c r="E826" i="47"/>
  <c r="E825" i="47"/>
  <c r="E824" i="47"/>
  <c r="E823" i="47"/>
  <c r="E822" i="47"/>
  <c r="E821" i="47"/>
  <c r="E820" i="47"/>
  <c r="E819" i="47"/>
  <c r="E818" i="47"/>
  <c r="E817" i="47"/>
  <c r="E816" i="47"/>
  <c r="E815" i="47"/>
  <c r="E814" i="47"/>
  <c r="E813" i="47"/>
  <c r="E812" i="47"/>
  <c r="E811" i="47"/>
  <c r="E810" i="47"/>
  <c r="E809" i="47"/>
  <c r="E808" i="47"/>
  <c r="E807" i="47"/>
  <c r="E806" i="47"/>
  <c r="E805" i="47"/>
  <c r="E804" i="47"/>
  <c r="E803" i="47"/>
  <c r="E802" i="47"/>
  <c r="E801" i="47"/>
  <c r="E800" i="47"/>
  <c r="E799" i="47"/>
  <c r="E798" i="47"/>
  <c r="E797" i="47"/>
  <c r="E796" i="47"/>
  <c r="E795" i="47"/>
  <c r="E794" i="47"/>
  <c r="E793" i="47"/>
  <c r="E792" i="47"/>
  <c r="E791" i="47"/>
  <c r="E790" i="47"/>
  <c r="E789" i="47"/>
  <c r="E788" i="47"/>
  <c r="E787" i="47"/>
  <c r="E786" i="47"/>
  <c r="E785" i="47"/>
  <c r="E784" i="47"/>
  <c r="E783" i="47"/>
  <c r="E782" i="47"/>
  <c r="E781" i="47"/>
  <c r="E780" i="47"/>
  <c r="E779" i="47"/>
  <c r="E778" i="47"/>
  <c r="E777" i="47"/>
  <c r="E776" i="47"/>
  <c r="E775" i="47"/>
  <c r="E774" i="47"/>
  <c r="E773" i="47"/>
  <c r="E772" i="47"/>
  <c r="E771" i="47"/>
  <c r="E770" i="47"/>
  <c r="E769" i="47"/>
  <c r="E768" i="47"/>
  <c r="E767" i="47"/>
  <c r="E766" i="47"/>
  <c r="E765" i="47"/>
  <c r="E764" i="47"/>
  <c r="E763" i="47"/>
  <c r="E762" i="47"/>
  <c r="E761" i="47"/>
  <c r="E760" i="47"/>
  <c r="E759" i="47"/>
  <c r="E758" i="47"/>
  <c r="E757" i="47"/>
  <c r="E756" i="47"/>
  <c r="E755" i="47"/>
  <c r="E754" i="47"/>
  <c r="E753" i="47"/>
  <c r="E752" i="47"/>
  <c r="E751" i="47"/>
  <c r="E750" i="47"/>
  <c r="E749" i="47"/>
  <c r="E748" i="47"/>
  <c r="E747" i="47"/>
  <c r="E746" i="47"/>
  <c r="E745" i="47"/>
  <c r="E744" i="47"/>
  <c r="E743" i="47"/>
  <c r="E742" i="47"/>
  <c r="E741" i="47"/>
  <c r="E740" i="47"/>
  <c r="E739" i="47"/>
  <c r="E738" i="47"/>
  <c r="E737" i="47"/>
  <c r="E736" i="47"/>
  <c r="E735" i="47"/>
  <c r="E734" i="47"/>
  <c r="E733" i="47"/>
  <c r="E732" i="47"/>
  <c r="E731" i="47"/>
  <c r="E730" i="47"/>
  <c r="E729" i="47"/>
  <c r="E728" i="47"/>
  <c r="E727" i="47"/>
  <c r="E726" i="47"/>
  <c r="E725" i="47"/>
  <c r="E724" i="47"/>
  <c r="E723" i="47"/>
  <c r="E722" i="47"/>
  <c r="E721" i="47"/>
  <c r="E720" i="47"/>
  <c r="E719" i="47"/>
  <c r="E718" i="47"/>
  <c r="E717" i="47"/>
  <c r="E716" i="47"/>
  <c r="E715" i="47"/>
  <c r="E714" i="47"/>
  <c r="E713" i="47"/>
  <c r="E712" i="47"/>
  <c r="E711" i="47"/>
  <c r="E710" i="47"/>
  <c r="E709" i="47"/>
  <c r="E708" i="47"/>
  <c r="E707" i="47"/>
  <c r="E706" i="47"/>
  <c r="E705" i="47"/>
  <c r="E704" i="47"/>
  <c r="E703" i="47"/>
  <c r="E702" i="47"/>
  <c r="E701" i="47"/>
  <c r="E700" i="47"/>
  <c r="E699" i="47"/>
  <c r="E698" i="47"/>
  <c r="E697" i="47"/>
  <c r="E696" i="47"/>
  <c r="E695" i="47"/>
  <c r="E694" i="47"/>
  <c r="E693" i="47"/>
  <c r="E692" i="47"/>
  <c r="E691" i="47"/>
  <c r="E690" i="47"/>
  <c r="E689" i="47"/>
  <c r="E688" i="47"/>
  <c r="E687" i="47"/>
  <c r="E686" i="47"/>
  <c r="E685" i="47"/>
  <c r="E684" i="47"/>
  <c r="E683" i="47"/>
  <c r="E682" i="47"/>
  <c r="E681" i="47"/>
  <c r="E680" i="47"/>
  <c r="E679" i="47"/>
  <c r="E678" i="47"/>
  <c r="E677" i="47"/>
  <c r="E676" i="47"/>
  <c r="E675" i="47"/>
  <c r="E674" i="47"/>
  <c r="E673" i="47"/>
  <c r="E672" i="47"/>
  <c r="E671" i="47"/>
  <c r="E670" i="47"/>
  <c r="E669" i="47"/>
  <c r="E668" i="47"/>
  <c r="E667" i="47"/>
  <c r="E666" i="47"/>
  <c r="E665" i="47"/>
  <c r="E664" i="47"/>
  <c r="E663" i="47"/>
  <c r="E662" i="47"/>
  <c r="E661" i="47"/>
  <c r="E660" i="47"/>
  <c r="E659" i="47"/>
  <c r="E658" i="47"/>
  <c r="E657" i="47"/>
  <c r="E656" i="47"/>
  <c r="E655" i="47"/>
  <c r="E654" i="47"/>
  <c r="E653" i="47"/>
  <c r="E652" i="47"/>
  <c r="E651" i="47"/>
  <c r="E650" i="47"/>
  <c r="E649" i="47"/>
  <c r="E648" i="47"/>
  <c r="E647" i="47"/>
  <c r="E646" i="47"/>
  <c r="E645" i="47"/>
  <c r="E644" i="47"/>
  <c r="E643" i="47"/>
  <c r="E642" i="47"/>
  <c r="E641" i="47"/>
  <c r="E640" i="47"/>
  <c r="E639" i="47"/>
  <c r="E638" i="47"/>
  <c r="E637" i="47"/>
  <c r="E636" i="47"/>
  <c r="E635" i="47"/>
  <c r="E634" i="47"/>
  <c r="E633" i="47"/>
  <c r="E632" i="47"/>
  <c r="E631" i="47"/>
  <c r="E630" i="47"/>
  <c r="E629" i="47"/>
  <c r="E628" i="47"/>
  <c r="E627" i="47"/>
  <c r="E626" i="47"/>
  <c r="E625" i="47"/>
  <c r="E624" i="47"/>
  <c r="E623" i="47"/>
  <c r="E622" i="47"/>
  <c r="E621" i="47"/>
  <c r="E620" i="47"/>
  <c r="E619" i="47"/>
  <c r="E618" i="47"/>
  <c r="E617" i="47"/>
  <c r="E616" i="47"/>
  <c r="E615" i="47"/>
  <c r="E614" i="47"/>
  <c r="E613" i="47"/>
  <c r="E612" i="47"/>
  <c r="E611" i="47"/>
  <c r="E610" i="47"/>
  <c r="E609" i="47"/>
  <c r="E608" i="47"/>
  <c r="E607" i="47"/>
  <c r="E606" i="47"/>
  <c r="E605" i="47"/>
  <c r="E604" i="47"/>
  <c r="E603" i="47"/>
  <c r="E602" i="47"/>
  <c r="E601" i="47"/>
  <c r="E600" i="47"/>
  <c r="E599" i="47"/>
  <c r="E598" i="47"/>
  <c r="E597" i="47"/>
  <c r="E596" i="47"/>
  <c r="E595" i="47"/>
  <c r="E594" i="47"/>
  <c r="E593" i="47"/>
  <c r="E592" i="47"/>
  <c r="E591" i="47"/>
  <c r="E590" i="47"/>
  <c r="E589" i="47"/>
  <c r="E588" i="47"/>
  <c r="E587" i="47"/>
  <c r="E586" i="47"/>
  <c r="E585" i="47"/>
  <c r="E584" i="47"/>
  <c r="E583" i="47"/>
  <c r="E582" i="47"/>
  <c r="E581" i="47"/>
  <c r="E580" i="47"/>
  <c r="E579" i="47"/>
  <c r="E578" i="47"/>
  <c r="E577" i="47"/>
  <c r="E576" i="47"/>
  <c r="E575" i="47"/>
  <c r="E574" i="47"/>
  <c r="E573" i="47"/>
  <c r="E572" i="47"/>
  <c r="E571" i="47"/>
  <c r="E570" i="47"/>
  <c r="E569" i="47"/>
  <c r="E568" i="47"/>
  <c r="E567" i="47"/>
  <c r="E566" i="47"/>
  <c r="E565" i="47"/>
  <c r="E564" i="47"/>
  <c r="E563" i="47"/>
  <c r="E562" i="47"/>
  <c r="E561" i="47"/>
  <c r="E560" i="47"/>
  <c r="E559" i="47"/>
  <c r="E558" i="47"/>
  <c r="E557" i="47"/>
  <c r="E556" i="47"/>
  <c r="E555" i="47"/>
  <c r="E554" i="47"/>
  <c r="E553" i="47"/>
  <c r="E552" i="47"/>
  <c r="E551" i="47"/>
  <c r="E550" i="47"/>
  <c r="E549" i="47"/>
  <c r="E548" i="47"/>
  <c r="E547" i="47"/>
  <c r="E546" i="47"/>
  <c r="E545" i="47"/>
  <c r="E544" i="47"/>
  <c r="E543" i="47"/>
  <c r="E542" i="47"/>
  <c r="E541" i="47"/>
  <c r="E540" i="47"/>
  <c r="E539" i="47"/>
  <c r="E538" i="47"/>
  <c r="E537" i="47"/>
  <c r="E536" i="47"/>
  <c r="E535" i="47"/>
  <c r="E534" i="47"/>
  <c r="E533" i="47"/>
  <c r="E532" i="47"/>
  <c r="E531" i="47"/>
  <c r="E530" i="47"/>
  <c r="E529" i="47"/>
  <c r="E528" i="47"/>
  <c r="E527" i="47"/>
  <c r="E526" i="47"/>
  <c r="E525" i="47"/>
  <c r="E524" i="47"/>
  <c r="E523" i="47"/>
  <c r="E522" i="47"/>
  <c r="E521" i="47"/>
  <c r="E520" i="47"/>
  <c r="E519" i="47"/>
  <c r="E518" i="47"/>
  <c r="E517" i="47"/>
  <c r="E516" i="47"/>
  <c r="E515" i="47"/>
  <c r="E514" i="47"/>
  <c r="E513" i="47"/>
  <c r="E512" i="47"/>
  <c r="E511" i="47"/>
  <c r="E510" i="47"/>
  <c r="E509" i="47"/>
  <c r="E508" i="47"/>
  <c r="E507" i="47"/>
  <c r="E506" i="47"/>
  <c r="E505" i="47"/>
  <c r="E504" i="47"/>
  <c r="E503" i="47"/>
  <c r="E502" i="47"/>
  <c r="E501" i="47"/>
  <c r="E500" i="47"/>
  <c r="E499" i="47"/>
  <c r="E498" i="47"/>
  <c r="E497" i="47"/>
  <c r="E496" i="47"/>
  <c r="E495" i="47"/>
  <c r="E494" i="47"/>
  <c r="E493" i="47"/>
  <c r="E492" i="47"/>
  <c r="E491" i="47"/>
  <c r="E490" i="47"/>
  <c r="E489" i="47"/>
  <c r="E488" i="47"/>
  <c r="E487" i="47"/>
  <c r="E486" i="47"/>
  <c r="E485" i="47"/>
  <c r="E484" i="47"/>
  <c r="E483" i="47"/>
  <c r="E482" i="47"/>
  <c r="E481" i="47"/>
  <c r="E480" i="47"/>
  <c r="E479" i="47"/>
  <c r="E478" i="47"/>
  <c r="E477" i="47"/>
  <c r="E476" i="47"/>
  <c r="E475" i="47"/>
  <c r="E474" i="47"/>
  <c r="E473" i="47"/>
  <c r="E472" i="47"/>
  <c r="E471" i="47"/>
  <c r="E470" i="47"/>
  <c r="E469" i="47"/>
  <c r="E468" i="47"/>
  <c r="E467" i="47"/>
  <c r="E466" i="47"/>
  <c r="E465" i="47"/>
  <c r="E464" i="47"/>
  <c r="E463" i="47"/>
  <c r="E462" i="47"/>
  <c r="E461" i="47"/>
  <c r="E460" i="47"/>
  <c r="E459" i="47"/>
  <c r="E458" i="47"/>
  <c r="E457" i="47"/>
  <c r="E456" i="47"/>
  <c r="E455" i="47"/>
  <c r="E454" i="47"/>
  <c r="E453" i="47"/>
  <c r="E452" i="47"/>
  <c r="E451" i="47"/>
  <c r="E450" i="47"/>
  <c r="E449" i="47"/>
  <c r="E448" i="47"/>
  <c r="E447" i="47"/>
  <c r="E446" i="47"/>
  <c r="E445" i="47"/>
  <c r="E444" i="47"/>
  <c r="E443" i="47"/>
  <c r="E442" i="47"/>
  <c r="E441" i="47"/>
  <c r="E440" i="47"/>
  <c r="E439" i="47"/>
  <c r="E438" i="47"/>
  <c r="E437" i="47"/>
  <c r="E436" i="47"/>
  <c r="E435" i="47"/>
  <c r="E434" i="47"/>
  <c r="E433" i="47"/>
  <c r="E432" i="47"/>
  <c r="E431" i="47"/>
  <c r="E430" i="47"/>
  <c r="E429" i="47"/>
  <c r="E428" i="47"/>
  <c r="E427" i="47"/>
  <c r="E426" i="47"/>
  <c r="E425" i="47"/>
  <c r="E424" i="47"/>
  <c r="E423" i="47"/>
  <c r="E422" i="47"/>
  <c r="E421" i="47"/>
  <c r="E420" i="47"/>
  <c r="E419" i="47"/>
  <c r="E418" i="47"/>
  <c r="E417" i="47"/>
  <c r="E416" i="47"/>
  <c r="E415" i="47"/>
  <c r="E414" i="47"/>
  <c r="E413" i="47"/>
  <c r="G412" i="47"/>
  <c r="F412" i="47"/>
  <c r="E412" i="47"/>
  <c r="G411" i="47"/>
  <c r="F411" i="47"/>
  <c r="E411" i="47"/>
  <c r="F410" i="47"/>
  <c r="E410" i="47"/>
  <c r="F409" i="47"/>
  <c r="E409" i="47"/>
  <c r="F408" i="47"/>
  <c r="E408" i="47"/>
  <c r="F407" i="47"/>
  <c r="E407" i="47"/>
  <c r="F406" i="47"/>
  <c r="E406" i="47"/>
  <c r="F405" i="47"/>
  <c r="E405" i="47"/>
  <c r="F404" i="47"/>
  <c r="E404" i="47"/>
  <c r="F403" i="47"/>
  <c r="E403" i="47"/>
  <c r="F402" i="47"/>
  <c r="E402" i="47"/>
  <c r="F401" i="47"/>
  <c r="E401" i="47"/>
  <c r="C36" i="44" l="1"/>
  <c r="C33" i="44"/>
  <c r="C34" i="44"/>
  <c r="C37" i="44"/>
  <c r="C42" i="44"/>
  <c r="C44" i="44"/>
  <c r="C43" i="44"/>
  <c r="C38" i="44"/>
  <c r="C40" i="44"/>
  <c r="C39" i="44"/>
  <c r="C41" i="44"/>
  <c r="D45" i="44"/>
  <c r="F34" i="44" l="1"/>
  <c r="F33" i="44"/>
  <c r="I76" i="43" l="1"/>
  <c r="K75" i="43" l="1"/>
  <c r="K74" i="43"/>
  <c r="K73" i="43"/>
  <c r="K72" i="43"/>
  <c r="K71" i="43"/>
  <c r="K70" i="43"/>
  <c r="J70" i="43" s="1"/>
  <c r="F7" i="15" l="1"/>
  <c r="B186" i="48" l="1"/>
  <c r="B157" i="48"/>
  <c r="B158" i="48"/>
  <c r="B159" i="48"/>
  <c r="B160" i="48"/>
  <c r="B161" i="48"/>
  <c r="B162" i="48"/>
  <c r="B163" i="48"/>
  <c r="B164" i="48"/>
  <c r="B165" i="48"/>
  <c r="B166" i="48"/>
  <c r="B167" i="48"/>
  <c r="B168" i="48"/>
  <c r="B169" i="48"/>
  <c r="B170" i="48"/>
  <c r="B171" i="48"/>
  <c r="B172" i="48"/>
  <c r="B173" i="48"/>
  <c r="B174" i="48"/>
  <c r="B175" i="48"/>
  <c r="B176" i="48"/>
  <c r="B177" i="48"/>
  <c r="B178" i="48"/>
  <c r="B179" i="48"/>
  <c r="B180" i="48"/>
  <c r="B181" i="48"/>
  <c r="B182" i="48"/>
  <c r="B183" i="48"/>
  <c r="B184" i="48"/>
  <c r="B185" i="48"/>
  <c r="B156" i="48"/>
  <c r="C157" i="48"/>
  <c r="C158" i="48"/>
  <c r="C159" i="48"/>
  <c r="C160" i="48"/>
  <c r="C161" i="48"/>
  <c r="C162" i="48"/>
  <c r="C163" i="48"/>
  <c r="C164" i="48"/>
  <c r="C165" i="48"/>
  <c r="C166" i="48"/>
  <c r="C167" i="48"/>
  <c r="C168" i="48"/>
  <c r="C169" i="48"/>
  <c r="C170" i="48"/>
  <c r="C171" i="48"/>
  <c r="C172" i="48"/>
  <c r="C173" i="48"/>
  <c r="C174" i="48"/>
  <c r="C175" i="48"/>
  <c r="C176" i="48"/>
  <c r="C177" i="48"/>
  <c r="C178" i="48"/>
  <c r="C179" i="48"/>
  <c r="C180" i="48"/>
  <c r="C181" i="48"/>
  <c r="C182" i="48"/>
  <c r="C183" i="48"/>
  <c r="C184" i="48"/>
  <c r="C185" i="48"/>
  <c r="C186" i="48"/>
  <c r="C156" i="48"/>
  <c r="J5" i="49" l="1"/>
  <c r="J6" i="49"/>
  <c r="J7" i="49"/>
  <c r="J8" i="49"/>
  <c r="J9" i="49"/>
  <c r="J10" i="49"/>
  <c r="J11" i="49"/>
  <c r="J12" i="49"/>
  <c r="J13" i="49"/>
  <c r="J14" i="49"/>
  <c r="J15" i="49"/>
  <c r="J16" i="49"/>
  <c r="J17" i="49"/>
  <c r="J19" i="49"/>
  <c r="J20" i="49"/>
  <c r="J21" i="49"/>
  <c r="J22" i="49"/>
  <c r="J23" i="49"/>
  <c r="J24" i="49"/>
  <c r="J25" i="49"/>
  <c r="J26" i="49"/>
  <c r="J27" i="49"/>
  <c r="J28" i="49"/>
  <c r="J29" i="49"/>
  <c r="J30" i="49"/>
  <c r="J31" i="49"/>
  <c r="J32" i="49"/>
  <c r="J33" i="49"/>
  <c r="J34" i="49"/>
  <c r="J35" i="49"/>
  <c r="J36" i="49"/>
  <c r="J37" i="49"/>
  <c r="J38" i="49"/>
  <c r="J39" i="49"/>
  <c r="J40" i="49"/>
  <c r="J41" i="49"/>
  <c r="J42" i="49"/>
  <c r="J43" i="49"/>
  <c r="J44" i="49"/>
  <c r="J45" i="49"/>
  <c r="J47" i="49"/>
  <c r="J50" i="49"/>
  <c r="J51" i="49"/>
  <c r="J52" i="49"/>
  <c r="J53" i="49"/>
  <c r="J54" i="49"/>
  <c r="J55" i="49"/>
  <c r="J56" i="49"/>
  <c r="J57" i="49"/>
  <c r="J58" i="49"/>
  <c r="J59" i="49"/>
  <c r="J60" i="49"/>
  <c r="J61" i="49"/>
  <c r="J62" i="49"/>
  <c r="J63" i="49"/>
  <c r="J64" i="49"/>
  <c r="J65" i="49"/>
  <c r="J66" i="49"/>
  <c r="J67" i="49"/>
  <c r="J68" i="49"/>
  <c r="J69" i="49"/>
  <c r="J70" i="49"/>
  <c r="J71" i="49"/>
  <c r="J72" i="49"/>
  <c r="J73" i="49"/>
  <c r="J74" i="49"/>
  <c r="J75" i="49"/>
  <c r="J76" i="49"/>
  <c r="J78" i="49"/>
  <c r="J81" i="49"/>
  <c r="J82" i="49"/>
  <c r="J83" i="49"/>
  <c r="J84" i="49"/>
  <c r="J85" i="49"/>
  <c r="J86" i="49"/>
  <c r="J87" i="49"/>
  <c r="J88" i="49"/>
  <c r="J89" i="49"/>
  <c r="J90" i="49"/>
  <c r="J91" i="49"/>
  <c r="J92" i="49"/>
  <c r="J93" i="49"/>
  <c r="J94" i="49"/>
  <c r="J95" i="49"/>
  <c r="J96" i="49"/>
  <c r="J97" i="49"/>
  <c r="J98" i="49"/>
  <c r="J99" i="49"/>
  <c r="J100" i="49"/>
  <c r="J101" i="49"/>
  <c r="J102" i="49"/>
  <c r="J103" i="49"/>
  <c r="J104" i="49"/>
  <c r="J105" i="49"/>
  <c r="J106" i="49"/>
  <c r="J111" i="49"/>
  <c r="J112" i="49"/>
  <c r="J113" i="49"/>
  <c r="J114" i="49"/>
  <c r="J115" i="49"/>
  <c r="J116" i="49"/>
  <c r="J117" i="49"/>
  <c r="J118" i="49"/>
  <c r="J119" i="49"/>
  <c r="J120" i="49"/>
  <c r="J121" i="49"/>
  <c r="J122" i="49"/>
  <c r="J123" i="49"/>
  <c r="J124" i="49"/>
  <c r="J125" i="49"/>
  <c r="J126" i="49"/>
  <c r="J127" i="49"/>
  <c r="J128" i="49"/>
  <c r="J129" i="49"/>
  <c r="J130" i="49"/>
  <c r="J131" i="49"/>
  <c r="J132" i="49"/>
  <c r="J133" i="49"/>
  <c r="J134" i="49"/>
  <c r="J135" i="49"/>
  <c r="J136" i="49"/>
  <c r="J137" i="49"/>
  <c r="J142" i="49"/>
  <c r="J143" i="49"/>
  <c r="J144" i="49"/>
  <c r="J145" i="49"/>
  <c r="J146" i="49"/>
  <c r="J147" i="49"/>
  <c r="J148" i="49"/>
  <c r="J149" i="49"/>
  <c r="J150" i="49"/>
  <c r="J151" i="49"/>
  <c r="J152" i="49"/>
  <c r="J153" i="49"/>
  <c r="J154" i="49"/>
  <c r="J155" i="49"/>
  <c r="J156" i="49"/>
  <c r="J157" i="49"/>
  <c r="J158" i="49"/>
  <c r="J159" i="49"/>
  <c r="J160" i="49"/>
  <c r="J161" i="49"/>
  <c r="J162" i="49"/>
  <c r="J163" i="49"/>
  <c r="J164" i="49"/>
  <c r="J165" i="49"/>
  <c r="J166" i="49"/>
  <c r="J167" i="49"/>
  <c r="J170" i="49"/>
  <c r="J172" i="49"/>
  <c r="J173" i="49"/>
  <c r="J174" i="49"/>
  <c r="J175" i="49"/>
  <c r="J176" i="49"/>
  <c r="J177" i="49"/>
  <c r="J178" i="49"/>
  <c r="J179" i="49"/>
  <c r="J180" i="49"/>
  <c r="J181" i="49"/>
  <c r="J182" i="49"/>
  <c r="J183" i="49"/>
  <c r="J184" i="49"/>
  <c r="J185" i="49"/>
  <c r="J186" i="49"/>
  <c r="J187" i="49"/>
  <c r="J188" i="49"/>
  <c r="J189" i="49"/>
  <c r="J190" i="49"/>
  <c r="J191" i="49"/>
  <c r="J192" i="49"/>
  <c r="J193" i="49"/>
  <c r="J194" i="49"/>
  <c r="J195" i="49"/>
  <c r="J196" i="49"/>
  <c r="J197" i="49"/>
  <c r="J198" i="49"/>
  <c r="J201" i="49"/>
  <c r="J203" i="49"/>
  <c r="J204" i="49"/>
  <c r="J205" i="49"/>
  <c r="J206" i="49"/>
  <c r="J207" i="49"/>
  <c r="J208" i="49"/>
  <c r="J209" i="49"/>
  <c r="J210" i="49"/>
  <c r="J211" i="49"/>
  <c r="J212" i="49"/>
  <c r="J213" i="49"/>
  <c r="J214" i="49"/>
  <c r="J215" i="49"/>
  <c r="J216" i="49"/>
  <c r="J217" i="49"/>
  <c r="J218" i="49"/>
  <c r="J219" i="49"/>
  <c r="J220" i="49"/>
  <c r="J221" i="49"/>
  <c r="J222" i="49"/>
  <c r="J223" i="49"/>
  <c r="J224" i="49"/>
  <c r="J225" i="49"/>
  <c r="J226" i="49"/>
  <c r="J227" i="49"/>
  <c r="J228" i="49"/>
  <c r="J229" i="49"/>
  <c r="J231" i="49"/>
  <c r="J233" i="49"/>
  <c r="J234" i="49"/>
  <c r="J235" i="49"/>
  <c r="J236" i="49"/>
  <c r="J237" i="49"/>
  <c r="J238" i="49"/>
  <c r="J239" i="49"/>
  <c r="J240" i="49"/>
  <c r="J241" i="49"/>
  <c r="J242" i="49"/>
  <c r="J243" i="49"/>
  <c r="J244" i="49"/>
  <c r="J245" i="49"/>
  <c r="J246" i="49"/>
  <c r="J247" i="49"/>
  <c r="J248" i="49"/>
  <c r="J249" i="49"/>
  <c r="J250" i="49"/>
  <c r="J251" i="49"/>
  <c r="J252" i="49"/>
  <c r="J253" i="49"/>
  <c r="J254" i="49"/>
  <c r="J255" i="49"/>
  <c r="J256" i="49"/>
  <c r="J257" i="49"/>
  <c r="J258" i="49"/>
  <c r="J259" i="49"/>
  <c r="J262" i="49"/>
  <c r="J264" i="49"/>
  <c r="J265" i="49"/>
  <c r="J266" i="49"/>
  <c r="J267" i="49"/>
  <c r="J268" i="49"/>
  <c r="J269" i="49"/>
  <c r="J270" i="49"/>
  <c r="J271" i="49"/>
  <c r="J272" i="49"/>
  <c r="J273" i="49"/>
  <c r="J274" i="49"/>
  <c r="J275" i="49"/>
  <c r="J276" i="49"/>
  <c r="J277" i="49"/>
  <c r="J278" i="49"/>
  <c r="J279" i="49"/>
  <c r="J280" i="49"/>
  <c r="J281" i="49"/>
  <c r="J282" i="49"/>
  <c r="J283" i="49"/>
  <c r="J284" i="49"/>
  <c r="J285" i="49"/>
  <c r="J286" i="49"/>
  <c r="J287" i="49"/>
  <c r="J288" i="49"/>
  <c r="J289" i="49"/>
  <c r="J290" i="49"/>
  <c r="J294" i="49"/>
  <c r="J295" i="49"/>
  <c r="J296" i="49"/>
  <c r="J297" i="49"/>
  <c r="J298" i="49"/>
  <c r="J299" i="49"/>
  <c r="J300" i="49"/>
  <c r="J301" i="49"/>
  <c r="J302" i="49"/>
  <c r="J303" i="49"/>
  <c r="J304" i="49"/>
  <c r="J305" i="49"/>
  <c r="J306" i="49"/>
  <c r="J307" i="49"/>
  <c r="J308" i="49"/>
  <c r="J309" i="49"/>
  <c r="J310" i="49"/>
  <c r="J311" i="49"/>
  <c r="J312" i="49"/>
  <c r="J313" i="49"/>
  <c r="J314" i="49"/>
  <c r="J315" i="49"/>
  <c r="J316" i="49"/>
  <c r="J317" i="49"/>
  <c r="J318" i="49"/>
  <c r="J319" i="49"/>
  <c r="J320" i="49"/>
  <c r="J323" i="49"/>
  <c r="J325" i="49"/>
  <c r="J326" i="49"/>
  <c r="J327" i="49"/>
  <c r="J328" i="49"/>
  <c r="J329" i="49"/>
  <c r="J330" i="49"/>
  <c r="J331" i="49"/>
  <c r="J332" i="49"/>
  <c r="J333" i="49"/>
  <c r="J334" i="49"/>
  <c r="J335" i="49"/>
  <c r="J336" i="49"/>
  <c r="J337" i="49"/>
  <c r="J338" i="49"/>
  <c r="J339" i="49"/>
  <c r="J340" i="49"/>
  <c r="J341" i="49"/>
  <c r="J342" i="49"/>
  <c r="J343" i="49"/>
  <c r="J344" i="49"/>
  <c r="J345" i="49"/>
  <c r="J346" i="49"/>
  <c r="J347" i="49"/>
  <c r="J348" i="49"/>
  <c r="J349" i="49"/>
  <c r="J350" i="49"/>
  <c r="J351" i="49"/>
  <c r="J354" i="49"/>
  <c r="J356" i="49"/>
  <c r="J357" i="49"/>
  <c r="J358" i="49"/>
  <c r="J359" i="49"/>
  <c r="J360" i="49"/>
  <c r="J361" i="49"/>
  <c r="J362" i="49"/>
  <c r="J363" i="49"/>
  <c r="J364" i="49"/>
  <c r="J365" i="49"/>
  <c r="J366" i="49"/>
  <c r="J367" i="49"/>
  <c r="J368" i="49"/>
  <c r="J369" i="49"/>
  <c r="J370" i="49"/>
  <c r="J371" i="49"/>
  <c r="J372" i="49"/>
  <c r="J373" i="49"/>
  <c r="J374" i="49"/>
  <c r="J375" i="49"/>
  <c r="J376" i="49"/>
  <c r="J377" i="49"/>
  <c r="J378" i="49"/>
  <c r="J379" i="49"/>
  <c r="J380" i="49"/>
  <c r="J381" i="49"/>
  <c r="J382" i="49"/>
  <c r="J384" i="49"/>
  <c r="J385" i="49"/>
  <c r="J386" i="49"/>
  <c r="J387" i="49"/>
  <c r="J388" i="49"/>
  <c r="J389" i="49"/>
  <c r="J390" i="49"/>
  <c r="J391" i="49"/>
  <c r="J392" i="49"/>
  <c r="J393" i="49"/>
  <c r="J394" i="49"/>
  <c r="J395" i="49"/>
  <c r="J396" i="49"/>
  <c r="J397" i="49"/>
  <c r="J398" i="49"/>
  <c r="J399" i="49"/>
  <c r="J4" i="49"/>
  <c r="K4" i="49" s="1"/>
  <c r="D130" i="48" l="1"/>
  <c r="E130" i="48"/>
  <c r="F130" i="48"/>
  <c r="G130" i="48"/>
  <c r="H130" i="48"/>
  <c r="I130" i="48"/>
  <c r="J130" i="48"/>
  <c r="K130" i="48"/>
  <c r="L130" i="48"/>
  <c r="M130" i="48"/>
  <c r="N130" i="48"/>
  <c r="O130" i="48"/>
  <c r="C130" i="48"/>
  <c r="D103" i="48"/>
  <c r="E103" i="48"/>
  <c r="F103" i="48"/>
  <c r="G103" i="48"/>
  <c r="H103" i="48"/>
  <c r="I103" i="48"/>
  <c r="J103" i="48"/>
  <c r="K103" i="48"/>
  <c r="L103" i="48"/>
  <c r="M103" i="48"/>
  <c r="N103" i="48"/>
  <c r="O103" i="48"/>
  <c r="C103" i="48"/>
  <c r="C43" i="48"/>
  <c r="Z197" i="48"/>
  <c r="Y197" i="48"/>
  <c r="X197" i="48"/>
  <c r="W197" i="48"/>
  <c r="V197" i="48"/>
  <c r="U197" i="48"/>
  <c r="T197" i="48"/>
  <c r="S197" i="48"/>
  <c r="R197" i="48"/>
  <c r="Q197" i="48"/>
  <c r="P197" i="48"/>
  <c r="O197" i="48"/>
  <c r="N197" i="48"/>
  <c r="M197" i="48"/>
  <c r="L197" i="48"/>
  <c r="K197" i="48"/>
  <c r="J197" i="48"/>
  <c r="I197" i="48"/>
  <c r="H197" i="48"/>
  <c r="G197" i="48"/>
  <c r="F197" i="48"/>
  <c r="E197" i="48"/>
  <c r="D197" i="48"/>
  <c r="C197" i="48"/>
  <c r="AA194" i="48"/>
  <c r="AA193" i="48"/>
  <c r="F51" i="48"/>
  <c r="F35" i="48"/>
  <c r="AA197" i="48" l="1"/>
  <c r="C64" i="48"/>
  <c r="C63" i="48"/>
  <c r="C62" i="48"/>
  <c r="C61" i="48"/>
  <c r="C60" i="48"/>
  <c r="C59" i="48"/>
  <c r="C58" i="48"/>
  <c r="C56" i="48"/>
  <c r="C55" i="48"/>
  <c r="C54" i="48"/>
  <c r="C53" i="48"/>
  <c r="C48" i="48"/>
  <c r="C47" i="48"/>
  <c r="C46" i="48"/>
  <c r="C45" i="48"/>
  <c r="C44" i="48"/>
  <c r="C42" i="48"/>
  <c r="C40" i="48"/>
  <c r="C38" i="48"/>
  <c r="C37" i="48"/>
  <c r="F54" i="48" l="1"/>
  <c r="F38" i="48"/>
  <c r="C41" i="48"/>
  <c r="F37" i="48" s="1"/>
  <c r="C57" i="48"/>
  <c r="C65" i="48" s="1"/>
  <c r="C49" i="48" l="1"/>
  <c r="F53" i="48"/>
  <c r="C5" i="48"/>
  <c r="F399" i="49" l="1"/>
  <c r="E399" i="49"/>
  <c r="F398" i="49"/>
  <c r="E398" i="49"/>
  <c r="F397" i="49"/>
  <c r="E397" i="49"/>
  <c r="F396" i="49"/>
  <c r="E396" i="49"/>
  <c r="F395" i="49"/>
  <c r="E395" i="49"/>
  <c r="F394" i="49"/>
  <c r="E394" i="49"/>
  <c r="F393" i="49"/>
  <c r="E393" i="49"/>
  <c r="F392" i="49"/>
  <c r="E392" i="49"/>
  <c r="F391" i="49"/>
  <c r="E391" i="49"/>
  <c r="F390" i="49"/>
  <c r="E390" i="49"/>
  <c r="F389" i="49"/>
  <c r="E389" i="49"/>
  <c r="F388" i="49"/>
  <c r="E388" i="49"/>
  <c r="F387" i="49"/>
  <c r="E387" i="49"/>
  <c r="F386" i="49"/>
  <c r="E386" i="49"/>
  <c r="F385" i="49"/>
  <c r="E385" i="49"/>
  <c r="F384" i="49"/>
  <c r="E384" i="49"/>
  <c r="F383" i="49"/>
  <c r="E383" i="49"/>
  <c r="F382" i="49"/>
  <c r="E382" i="49"/>
  <c r="F381" i="49"/>
  <c r="E381" i="49"/>
  <c r="F380" i="49"/>
  <c r="E380" i="49"/>
  <c r="F379" i="49"/>
  <c r="E379" i="49"/>
  <c r="F378" i="49"/>
  <c r="E378" i="49"/>
  <c r="F377" i="49"/>
  <c r="E377" i="49"/>
  <c r="F376" i="49"/>
  <c r="E376" i="49"/>
  <c r="F375" i="49"/>
  <c r="E375" i="49"/>
  <c r="F374" i="49"/>
  <c r="E374" i="49"/>
  <c r="F373" i="49"/>
  <c r="E373" i="49"/>
  <c r="F372" i="49"/>
  <c r="E372" i="49"/>
  <c r="F371" i="49"/>
  <c r="E371" i="49"/>
  <c r="F370" i="49"/>
  <c r="E370" i="49"/>
  <c r="F369" i="49"/>
  <c r="E369" i="49"/>
  <c r="F368" i="49"/>
  <c r="E368" i="49"/>
  <c r="F367" i="49"/>
  <c r="E367" i="49"/>
  <c r="F366" i="49"/>
  <c r="E366" i="49"/>
  <c r="F365" i="49"/>
  <c r="E365" i="49"/>
  <c r="F364" i="49"/>
  <c r="E364" i="49"/>
  <c r="F363" i="49"/>
  <c r="E363" i="49"/>
  <c r="F362" i="49"/>
  <c r="E362" i="49"/>
  <c r="F361" i="49"/>
  <c r="E361" i="49"/>
  <c r="F360" i="49"/>
  <c r="E360" i="49"/>
  <c r="F359" i="49"/>
  <c r="E359" i="49"/>
  <c r="F358" i="49"/>
  <c r="E358" i="49"/>
  <c r="F357" i="49"/>
  <c r="E357" i="49"/>
  <c r="F356" i="49"/>
  <c r="E356" i="49"/>
  <c r="E355" i="49"/>
  <c r="F354" i="49"/>
  <c r="E354" i="49"/>
  <c r="E353" i="49"/>
  <c r="F352" i="49"/>
  <c r="E352" i="49"/>
  <c r="F351" i="49"/>
  <c r="E351" i="49"/>
  <c r="F350" i="49"/>
  <c r="E350" i="49"/>
  <c r="F349" i="49"/>
  <c r="E349" i="49"/>
  <c r="F348" i="49"/>
  <c r="E348" i="49"/>
  <c r="F347" i="49"/>
  <c r="E347" i="49"/>
  <c r="F346" i="49"/>
  <c r="E346" i="49"/>
  <c r="F345" i="49"/>
  <c r="E345" i="49"/>
  <c r="F344" i="49"/>
  <c r="E344" i="49"/>
  <c r="F343" i="49"/>
  <c r="E343" i="49"/>
  <c r="F342" i="49"/>
  <c r="E342" i="49"/>
  <c r="F341" i="49"/>
  <c r="E341" i="49"/>
  <c r="F340" i="49"/>
  <c r="E340" i="49"/>
  <c r="F339" i="49"/>
  <c r="E339" i="49"/>
  <c r="F338" i="49"/>
  <c r="E338" i="49"/>
  <c r="F337" i="49"/>
  <c r="E337" i="49"/>
  <c r="F336" i="49"/>
  <c r="E336" i="49"/>
  <c r="F335" i="49"/>
  <c r="E335" i="49"/>
  <c r="F334" i="49"/>
  <c r="E334" i="49"/>
  <c r="F333" i="49"/>
  <c r="E333" i="49"/>
  <c r="F332" i="49"/>
  <c r="E332" i="49"/>
  <c r="F331" i="49"/>
  <c r="E331" i="49"/>
  <c r="F330" i="49"/>
  <c r="E330" i="49"/>
  <c r="F329" i="49"/>
  <c r="E329" i="49"/>
  <c r="F328" i="49"/>
  <c r="E328" i="49"/>
  <c r="F327" i="49"/>
  <c r="E327" i="49"/>
  <c r="F326" i="49"/>
  <c r="E326" i="49"/>
  <c r="F325" i="49"/>
  <c r="E325" i="49"/>
  <c r="E324" i="49"/>
  <c r="F323" i="49"/>
  <c r="E323" i="49"/>
  <c r="F322" i="49"/>
  <c r="E322" i="49"/>
  <c r="E321" i="49"/>
  <c r="F320" i="49"/>
  <c r="E320" i="49"/>
  <c r="F319" i="49"/>
  <c r="E319" i="49"/>
  <c r="F318" i="49"/>
  <c r="E318" i="49"/>
  <c r="F317" i="49"/>
  <c r="E317" i="49"/>
  <c r="F316" i="49"/>
  <c r="E316" i="49"/>
  <c r="F315" i="49"/>
  <c r="E315" i="49"/>
  <c r="F314" i="49"/>
  <c r="E314" i="49"/>
  <c r="F313" i="49"/>
  <c r="E313" i="49"/>
  <c r="F312" i="49"/>
  <c r="E312" i="49"/>
  <c r="F311" i="49"/>
  <c r="E311" i="49"/>
  <c r="F310" i="49"/>
  <c r="E310" i="49"/>
  <c r="F309" i="49"/>
  <c r="E309" i="49"/>
  <c r="F308" i="49"/>
  <c r="E308" i="49"/>
  <c r="F307" i="49"/>
  <c r="E307" i="49"/>
  <c r="F306" i="49"/>
  <c r="E306" i="49"/>
  <c r="F305" i="49"/>
  <c r="E305" i="49"/>
  <c r="F304" i="49"/>
  <c r="E304" i="49"/>
  <c r="F303" i="49"/>
  <c r="E303" i="49"/>
  <c r="F302" i="49"/>
  <c r="E302" i="49"/>
  <c r="F301" i="49"/>
  <c r="E301" i="49"/>
  <c r="F300" i="49"/>
  <c r="E300" i="49"/>
  <c r="F299" i="49"/>
  <c r="E299" i="49"/>
  <c r="F298" i="49"/>
  <c r="E298" i="49"/>
  <c r="F297" i="49"/>
  <c r="E297" i="49"/>
  <c r="F296" i="49"/>
  <c r="E296" i="49"/>
  <c r="F295" i="49"/>
  <c r="E295" i="49"/>
  <c r="F294" i="49"/>
  <c r="E294" i="49"/>
  <c r="E293" i="49"/>
  <c r="E292" i="49"/>
  <c r="F291" i="49"/>
  <c r="E291" i="49"/>
  <c r="F290" i="49"/>
  <c r="E290" i="49"/>
  <c r="F289" i="49"/>
  <c r="E289" i="49"/>
  <c r="F288" i="49"/>
  <c r="E288" i="49"/>
  <c r="F287" i="49"/>
  <c r="E287" i="49"/>
  <c r="F286" i="49"/>
  <c r="E286" i="49"/>
  <c r="F285" i="49"/>
  <c r="E285" i="49"/>
  <c r="F284" i="49"/>
  <c r="E284" i="49"/>
  <c r="F283" i="49"/>
  <c r="E283" i="49"/>
  <c r="F282" i="49"/>
  <c r="E282" i="49"/>
  <c r="F281" i="49"/>
  <c r="E281" i="49"/>
  <c r="F280" i="49"/>
  <c r="E280" i="49"/>
  <c r="F279" i="49"/>
  <c r="E279" i="49"/>
  <c r="F278" i="49"/>
  <c r="E278" i="49"/>
  <c r="F277" i="49"/>
  <c r="E277" i="49"/>
  <c r="F276" i="49"/>
  <c r="E276" i="49"/>
  <c r="F275" i="49"/>
  <c r="E275" i="49"/>
  <c r="F274" i="49"/>
  <c r="E274" i="49"/>
  <c r="F273" i="49"/>
  <c r="E273" i="49"/>
  <c r="F272" i="49"/>
  <c r="E272" i="49"/>
  <c r="F271" i="49"/>
  <c r="E271" i="49"/>
  <c r="F270" i="49"/>
  <c r="E270" i="49"/>
  <c r="F269" i="49"/>
  <c r="E269" i="49"/>
  <c r="F268" i="49"/>
  <c r="E268" i="49"/>
  <c r="F267" i="49"/>
  <c r="E267" i="49"/>
  <c r="F266" i="49"/>
  <c r="E266" i="49"/>
  <c r="F265" i="49"/>
  <c r="E265" i="49"/>
  <c r="F264" i="49"/>
  <c r="E264" i="49"/>
  <c r="E263" i="49"/>
  <c r="F262" i="49"/>
  <c r="E262" i="49"/>
  <c r="F261" i="49"/>
  <c r="E261" i="49"/>
  <c r="E260" i="49"/>
  <c r="F259" i="49"/>
  <c r="E259" i="49"/>
  <c r="F258" i="49"/>
  <c r="E258" i="49"/>
  <c r="F257" i="49"/>
  <c r="E257" i="49"/>
  <c r="F256" i="49"/>
  <c r="E256" i="49"/>
  <c r="F255" i="49"/>
  <c r="E255" i="49"/>
  <c r="F254" i="49"/>
  <c r="E254" i="49"/>
  <c r="F253" i="49"/>
  <c r="E253" i="49"/>
  <c r="F252" i="49"/>
  <c r="E252" i="49"/>
  <c r="F251" i="49"/>
  <c r="E251" i="49"/>
  <c r="F250" i="49"/>
  <c r="E250" i="49"/>
  <c r="F249" i="49"/>
  <c r="E249" i="49"/>
  <c r="F248" i="49"/>
  <c r="E248" i="49"/>
  <c r="F247" i="49"/>
  <c r="E247" i="49"/>
  <c r="F246" i="49"/>
  <c r="E246" i="49"/>
  <c r="F245" i="49"/>
  <c r="E245" i="49"/>
  <c r="F244" i="49"/>
  <c r="E244" i="49"/>
  <c r="F243" i="49"/>
  <c r="E243" i="49"/>
  <c r="F242" i="49"/>
  <c r="E242" i="49"/>
  <c r="F241" i="49"/>
  <c r="E241" i="49"/>
  <c r="F240" i="49"/>
  <c r="E240" i="49"/>
  <c r="F239" i="49"/>
  <c r="E239" i="49"/>
  <c r="F238" i="49"/>
  <c r="E238" i="49"/>
  <c r="F237" i="49"/>
  <c r="E237" i="49"/>
  <c r="F236" i="49"/>
  <c r="E236" i="49"/>
  <c r="F235" i="49"/>
  <c r="E235" i="49"/>
  <c r="F234" i="49"/>
  <c r="E234" i="49"/>
  <c r="F233" i="49"/>
  <c r="E233" i="49"/>
  <c r="E232" i="49"/>
  <c r="F231" i="49"/>
  <c r="E231" i="49"/>
  <c r="F230" i="49"/>
  <c r="E230" i="49"/>
  <c r="F229" i="49"/>
  <c r="E229" i="49"/>
  <c r="F228" i="49"/>
  <c r="E228" i="49"/>
  <c r="F227" i="49"/>
  <c r="E227" i="49"/>
  <c r="F226" i="49"/>
  <c r="E226" i="49"/>
  <c r="F225" i="49"/>
  <c r="E225" i="49"/>
  <c r="F224" i="49"/>
  <c r="E224" i="49"/>
  <c r="F223" i="49"/>
  <c r="E223" i="49"/>
  <c r="F222" i="49"/>
  <c r="E222" i="49"/>
  <c r="F221" i="49"/>
  <c r="E221" i="49"/>
  <c r="F220" i="49"/>
  <c r="E220" i="49"/>
  <c r="F219" i="49"/>
  <c r="E219" i="49"/>
  <c r="F218" i="49"/>
  <c r="E218" i="49"/>
  <c r="F217" i="49"/>
  <c r="E217" i="49"/>
  <c r="F216" i="49"/>
  <c r="E216" i="49"/>
  <c r="F215" i="49"/>
  <c r="E215" i="49"/>
  <c r="F214" i="49"/>
  <c r="E214" i="49"/>
  <c r="F213" i="49"/>
  <c r="E213" i="49"/>
  <c r="F212" i="49"/>
  <c r="E212" i="49"/>
  <c r="F211" i="49"/>
  <c r="E211" i="49"/>
  <c r="F210" i="49"/>
  <c r="E210" i="49"/>
  <c r="F209" i="49"/>
  <c r="E209" i="49"/>
  <c r="F208" i="49"/>
  <c r="E208" i="49"/>
  <c r="F207" i="49"/>
  <c r="E207" i="49"/>
  <c r="F206" i="49"/>
  <c r="E206" i="49"/>
  <c r="F205" i="49"/>
  <c r="E205" i="49"/>
  <c r="F204" i="49"/>
  <c r="E204" i="49"/>
  <c r="F203" i="49"/>
  <c r="E203" i="49"/>
  <c r="F202" i="49"/>
  <c r="E202" i="49"/>
  <c r="F201" i="49"/>
  <c r="E201" i="49"/>
  <c r="E200" i="49"/>
  <c r="E199" i="49"/>
  <c r="F198" i="49"/>
  <c r="E198" i="49"/>
  <c r="F197" i="49"/>
  <c r="E197" i="49"/>
  <c r="F196" i="49"/>
  <c r="E196" i="49"/>
  <c r="F195" i="49"/>
  <c r="E195" i="49"/>
  <c r="F194" i="49"/>
  <c r="E194" i="49"/>
  <c r="F193" i="49"/>
  <c r="E193" i="49"/>
  <c r="F192" i="49"/>
  <c r="E192" i="49"/>
  <c r="F191" i="49"/>
  <c r="E191" i="49"/>
  <c r="F190" i="49"/>
  <c r="E190" i="49"/>
  <c r="F189" i="49"/>
  <c r="E189" i="49"/>
  <c r="F188" i="49"/>
  <c r="E188" i="49"/>
  <c r="F187" i="49"/>
  <c r="E187" i="49"/>
  <c r="F186" i="49"/>
  <c r="E186" i="49"/>
  <c r="F185" i="49"/>
  <c r="E185" i="49"/>
  <c r="F184" i="49"/>
  <c r="E184" i="49"/>
  <c r="F183" i="49"/>
  <c r="E183" i="49"/>
  <c r="F182" i="49"/>
  <c r="E182" i="49"/>
  <c r="F181" i="49"/>
  <c r="E181" i="49"/>
  <c r="F180" i="49"/>
  <c r="E180" i="49"/>
  <c r="F179" i="49"/>
  <c r="E179" i="49"/>
  <c r="F178" i="49"/>
  <c r="E178" i="49"/>
  <c r="F177" i="49"/>
  <c r="E177" i="49"/>
  <c r="F176" i="49"/>
  <c r="E176" i="49"/>
  <c r="F175" i="49"/>
  <c r="E175" i="49"/>
  <c r="F174" i="49"/>
  <c r="E174" i="49"/>
  <c r="F173" i="49"/>
  <c r="E173" i="49"/>
  <c r="F172" i="49"/>
  <c r="E172" i="49"/>
  <c r="F171" i="49"/>
  <c r="E171" i="49"/>
  <c r="F170" i="49"/>
  <c r="E170" i="49"/>
  <c r="E169" i="49"/>
  <c r="E168" i="49"/>
  <c r="F167" i="49"/>
  <c r="E167" i="49"/>
  <c r="F166" i="49"/>
  <c r="E166" i="49"/>
  <c r="F165" i="49"/>
  <c r="E165" i="49"/>
  <c r="F164" i="49"/>
  <c r="E164" i="49"/>
  <c r="F163" i="49"/>
  <c r="E163" i="49"/>
  <c r="F162" i="49"/>
  <c r="E162" i="49"/>
  <c r="F161" i="49"/>
  <c r="E161" i="49"/>
  <c r="F160" i="49"/>
  <c r="E160" i="49"/>
  <c r="F159" i="49"/>
  <c r="E159" i="49"/>
  <c r="F158" i="49"/>
  <c r="E158" i="49"/>
  <c r="F157" i="49"/>
  <c r="E157" i="49"/>
  <c r="F156" i="49"/>
  <c r="E156" i="49"/>
  <c r="F155" i="49"/>
  <c r="E155" i="49"/>
  <c r="F154" i="49"/>
  <c r="E154" i="49"/>
  <c r="F153" i="49"/>
  <c r="E153" i="49"/>
  <c r="F152" i="49"/>
  <c r="E152" i="49"/>
  <c r="F151" i="49"/>
  <c r="E151" i="49"/>
  <c r="F150" i="49"/>
  <c r="E150" i="49"/>
  <c r="F149" i="49"/>
  <c r="E149" i="49"/>
  <c r="F148" i="49"/>
  <c r="E148" i="49"/>
  <c r="F147" i="49"/>
  <c r="E147" i="49"/>
  <c r="F146" i="49"/>
  <c r="E146" i="49"/>
  <c r="F145" i="49"/>
  <c r="E145" i="49"/>
  <c r="F144" i="49"/>
  <c r="E144" i="49"/>
  <c r="F143" i="49"/>
  <c r="E143" i="49"/>
  <c r="F142" i="49"/>
  <c r="E142" i="49"/>
  <c r="E141" i="49"/>
  <c r="F140" i="49"/>
  <c r="E140" i="49"/>
  <c r="E139" i="49"/>
  <c r="E138" i="49"/>
  <c r="F137" i="49"/>
  <c r="E137" i="49"/>
  <c r="F136" i="49"/>
  <c r="E136" i="49"/>
  <c r="F135" i="49"/>
  <c r="E135" i="49"/>
  <c r="F134" i="49"/>
  <c r="E134" i="49"/>
  <c r="F133" i="49"/>
  <c r="E133" i="49"/>
  <c r="F132" i="49"/>
  <c r="E132" i="49"/>
  <c r="F131" i="49"/>
  <c r="E131" i="49"/>
  <c r="F130" i="49"/>
  <c r="E130" i="49"/>
  <c r="F129" i="49"/>
  <c r="E129" i="49"/>
  <c r="F128" i="49"/>
  <c r="E128" i="49"/>
  <c r="F127" i="49"/>
  <c r="E127" i="49"/>
  <c r="F126" i="49"/>
  <c r="E126" i="49"/>
  <c r="F125" i="49"/>
  <c r="E125" i="49"/>
  <c r="F124" i="49"/>
  <c r="E124" i="49"/>
  <c r="F123" i="49"/>
  <c r="E123" i="49"/>
  <c r="F122" i="49"/>
  <c r="E122" i="49"/>
  <c r="F121" i="49"/>
  <c r="E121" i="49"/>
  <c r="F120" i="49"/>
  <c r="E120" i="49"/>
  <c r="F119" i="49"/>
  <c r="E119" i="49"/>
  <c r="F118" i="49"/>
  <c r="E118" i="49"/>
  <c r="F117" i="49"/>
  <c r="E117" i="49"/>
  <c r="F116" i="49"/>
  <c r="E116" i="49"/>
  <c r="F115" i="49"/>
  <c r="E115" i="49"/>
  <c r="F114" i="49"/>
  <c r="E114" i="49"/>
  <c r="F113" i="49"/>
  <c r="E113" i="49"/>
  <c r="F112" i="49"/>
  <c r="E112" i="49"/>
  <c r="F111" i="49"/>
  <c r="E111" i="49"/>
  <c r="F110" i="49"/>
  <c r="E110" i="49"/>
  <c r="E109" i="49"/>
  <c r="E108" i="49"/>
  <c r="E107" i="49"/>
  <c r="F106" i="49"/>
  <c r="E106" i="49"/>
  <c r="F105" i="49"/>
  <c r="E105" i="49"/>
  <c r="F104" i="49"/>
  <c r="E104" i="49"/>
  <c r="F103" i="49"/>
  <c r="E103" i="49"/>
  <c r="F102" i="49"/>
  <c r="E102" i="49"/>
  <c r="F101" i="49"/>
  <c r="E101" i="49"/>
  <c r="F100" i="49"/>
  <c r="E100" i="49"/>
  <c r="F99" i="49"/>
  <c r="E99" i="49"/>
  <c r="F98" i="49"/>
  <c r="E98" i="49"/>
  <c r="F97" i="49"/>
  <c r="E97" i="49"/>
  <c r="F96" i="49"/>
  <c r="E96" i="49"/>
  <c r="F95" i="49"/>
  <c r="E95" i="49"/>
  <c r="F94" i="49"/>
  <c r="E94" i="49"/>
  <c r="F93" i="49"/>
  <c r="E93" i="49"/>
  <c r="F92" i="49"/>
  <c r="E92" i="49"/>
  <c r="F91" i="49"/>
  <c r="E91" i="49"/>
  <c r="F90" i="49"/>
  <c r="E90" i="49"/>
  <c r="F89" i="49"/>
  <c r="E89" i="49"/>
  <c r="F88" i="49"/>
  <c r="E88" i="49"/>
  <c r="F87" i="49"/>
  <c r="E87" i="49"/>
  <c r="F86" i="49"/>
  <c r="E86" i="49"/>
  <c r="F85" i="49"/>
  <c r="E85" i="49"/>
  <c r="F84" i="49"/>
  <c r="E84" i="49"/>
  <c r="F83" i="49"/>
  <c r="E83" i="49"/>
  <c r="F82" i="49"/>
  <c r="E82" i="49"/>
  <c r="F81" i="49"/>
  <c r="E81" i="49"/>
  <c r="E80" i="49"/>
  <c r="F79" i="49"/>
  <c r="E79" i="49"/>
  <c r="F78" i="49"/>
  <c r="E78" i="49"/>
  <c r="E77" i="49"/>
  <c r="F76" i="49"/>
  <c r="E76" i="49"/>
  <c r="F75" i="49"/>
  <c r="E75" i="49"/>
  <c r="F74" i="49"/>
  <c r="E74" i="49"/>
  <c r="F73" i="49"/>
  <c r="E73" i="49"/>
  <c r="F72" i="49"/>
  <c r="E72" i="49"/>
  <c r="F71" i="49"/>
  <c r="E71" i="49"/>
  <c r="F70" i="49"/>
  <c r="E70" i="49"/>
  <c r="F69" i="49"/>
  <c r="E69" i="49"/>
  <c r="F68" i="49"/>
  <c r="E68" i="49"/>
  <c r="F67" i="49"/>
  <c r="E67" i="49"/>
  <c r="F66" i="49"/>
  <c r="E66" i="49"/>
  <c r="F65" i="49"/>
  <c r="E65" i="49"/>
  <c r="F64" i="49"/>
  <c r="E64" i="49"/>
  <c r="F63" i="49"/>
  <c r="E63" i="49"/>
  <c r="F62" i="49"/>
  <c r="E62" i="49"/>
  <c r="F61" i="49"/>
  <c r="E61" i="49"/>
  <c r="F60" i="49"/>
  <c r="E60" i="49"/>
  <c r="F59" i="49"/>
  <c r="E59" i="49"/>
  <c r="F58" i="49"/>
  <c r="E58" i="49"/>
  <c r="F57" i="49"/>
  <c r="E57" i="49"/>
  <c r="F56" i="49"/>
  <c r="E56" i="49"/>
  <c r="F55" i="49"/>
  <c r="E55" i="49"/>
  <c r="F54" i="49"/>
  <c r="E54" i="49"/>
  <c r="F53" i="49"/>
  <c r="E53" i="49"/>
  <c r="F52" i="49"/>
  <c r="E52" i="49"/>
  <c r="F51" i="49"/>
  <c r="E51" i="49"/>
  <c r="F50" i="49"/>
  <c r="E50" i="49"/>
  <c r="F49" i="49"/>
  <c r="E49" i="49"/>
  <c r="E48" i="49"/>
  <c r="F47" i="49"/>
  <c r="E47" i="49"/>
  <c r="E46" i="49"/>
  <c r="F45" i="49"/>
  <c r="E45" i="49"/>
  <c r="F44" i="49"/>
  <c r="E44" i="49"/>
  <c r="F43" i="49"/>
  <c r="E43" i="49"/>
  <c r="F42" i="49"/>
  <c r="E42" i="49"/>
  <c r="F41" i="49"/>
  <c r="E41" i="49"/>
  <c r="F40" i="49"/>
  <c r="E40" i="49"/>
  <c r="F39" i="49"/>
  <c r="E39" i="49"/>
  <c r="F38" i="49"/>
  <c r="E38" i="49"/>
  <c r="F37" i="49"/>
  <c r="E37" i="49"/>
  <c r="F36" i="49"/>
  <c r="E36" i="49"/>
  <c r="F35" i="49"/>
  <c r="E35" i="49"/>
  <c r="F34" i="49"/>
  <c r="E34" i="49"/>
  <c r="F33" i="49"/>
  <c r="E33" i="49"/>
  <c r="F32" i="49"/>
  <c r="E32" i="49"/>
  <c r="F31" i="49"/>
  <c r="E31" i="49"/>
  <c r="F30" i="49"/>
  <c r="E30" i="49"/>
  <c r="F29" i="49"/>
  <c r="E29" i="49"/>
  <c r="F28" i="49"/>
  <c r="E28" i="49"/>
  <c r="F27" i="49"/>
  <c r="E27" i="49"/>
  <c r="F26" i="49"/>
  <c r="E26" i="49"/>
  <c r="F25" i="49"/>
  <c r="E25" i="49"/>
  <c r="F24" i="49"/>
  <c r="E24" i="49"/>
  <c r="F23" i="49"/>
  <c r="E23" i="49"/>
  <c r="F22" i="49"/>
  <c r="E22" i="49"/>
  <c r="F21" i="49"/>
  <c r="E21" i="49"/>
  <c r="F20" i="49"/>
  <c r="E20" i="49"/>
  <c r="F19" i="49"/>
  <c r="E19" i="49"/>
  <c r="E18" i="49"/>
  <c r="F17" i="49"/>
  <c r="E17" i="49"/>
  <c r="F16" i="49"/>
  <c r="E16" i="49"/>
  <c r="F15" i="49"/>
  <c r="E15" i="49"/>
  <c r="F14" i="49"/>
  <c r="E14" i="49"/>
  <c r="F13" i="49"/>
  <c r="E13" i="49"/>
  <c r="F12" i="49"/>
  <c r="E12" i="49"/>
  <c r="F11" i="49"/>
  <c r="E11" i="49"/>
  <c r="F10" i="49"/>
  <c r="E10" i="49"/>
  <c r="F9" i="49"/>
  <c r="E9" i="49"/>
  <c r="F8" i="49"/>
  <c r="E8" i="49"/>
  <c r="F7" i="49"/>
  <c r="E7" i="49"/>
  <c r="F6" i="49"/>
  <c r="E6" i="49"/>
  <c r="F5" i="49"/>
  <c r="E5" i="49"/>
  <c r="F4" i="49"/>
  <c r="E4" i="49"/>
  <c r="F263" i="49" l="1"/>
  <c r="J263" i="49"/>
  <c r="F293" i="49"/>
  <c r="J293" i="49"/>
  <c r="F355" i="49"/>
  <c r="J355" i="49"/>
  <c r="F232" i="49"/>
  <c r="J232" i="49"/>
  <c r="F324" i="49"/>
  <c r="J324" i="49"/>
  <c r="F107" i="49"/>
  <c r="J107" i="49"/>
  <c r="F46" i="49"/>
  <c r="J46" i="49"/>
  <c r="F168" i="49"/>
  <c r="J168" i="49"/>
  <c r="F77" i="49"/>
  <c r="J77" i="49"/>
  <c r="F139" i="49"/>
  <c r="J139" i="49"/>
  <c r="F80" i="49"/>
  <c r="J80" i="49"/>
  <c r="F108" i="49"/>
  <c r="J108" i="49"/>
  <c r="F292" i="49"/>
  <c r="J292" i="49"/>
  <c r="F138" i="49"/>
  <c r="J138" i="49"/>
  <c r="F169" i="49"/>
  <c r="J169" i="49"/>
  <c r="F353" i="49"/>
  <c r="J353" i="49"/>
  <c r="F141" i="49"/>
  <c r="J141" i="49"/>
  <c r="F200" i="49"/>
  <c r="J200" i="49"/>
  <c r="F109" i="49"/>
  <c r="J109" i="49"/>
  <c r="F199" i="49"/>
  <c r="J199" i="49"/>
  <c r="F321" i="49"/>
  <c r="J321" i="49"/>
  <c r="F18" i="49"/>
  <c r="J18" i="49"/>
  <c r="F48" i="49"/>
  <c r="J48" i="49"/>
  <c r="F260" i="49"/>
  <c r="J260" i="49"/>
  <c r="J383" i="49"/>
  <c r="J352" i="49"/>
  <c r="J322" i="49"/>
  <c r="J291" i="49"/>
  <c r="J261" i="49"/>
  <c r="J230" i="49"/>
  <c r="J202" i="49"/>
  <c r="J171" i="49"/>
  <c r="J140" i="49"/>
  <c r="J110" i="49"/>
  <c r="J79" i="49"/>
  <c r="J49" i="49"/>
  <c r="G5" i="49"/>
  <c r="G6" i="49"/>
  <c r="G7" i="49"/>
  <c r="G8" i="49"/>
  <c r="G9" i="49"/>
  <c r="G10" i="49"/>
  <c r="G11" i="49"/>
  <c r="G12" i="49"/>
  <c r="G13" i="49"/>
  <c r="G14" i="49"/>
  <c r="G15" i="49"/>
  <c r="G16" i="49"/>
  <c r="G17" i="49"/>
  <c r="G18" i="49"/>
  <c r="G19" i="49"/>
  <c r="G20" i="49"/>
  <c r="G21" i="49"/>
  <c r="G22" i="49"/>
  <c r="G23" i="49"/>
  <c r="G24" i="49"/>
  <c r="G25" i="49"/>
  <c r="G26" i="49"/>
  <c r="G27" i="49"/>
  <c r="G28" i="49"/>
  <c r="G29" i="49"/>
  <c r="G30" i="49"/>
  <c r="G31" i="49"/>
  <c r="G32" i="49"/>
  <c r="G33" i="49"/>
  <c r="G34" i="49"/>
  <c r="G35" i="49"/>
  <c r="G36" i="49"/>
  <c r="G37" i="49"/>
  <c r="G38" i="49"/>
  <c r="G39" i="49"/>
  <c r="G40" i="49"/>
  <c r="G41" i="49"/>
  <c r="G42" i="49"/>
  <c r="G43" i="49"/>
  <c r="G44" i="49"/>
  <c r="G45" i="49"/>
  <c r="G46" i="49"/>
  <c r="G47" i="49"/>
  <c r="G48" i="49"/>
  <c r="G49" i="49"/>
  <c r="G50" i="49"/>
  <c r="G51" i="49"/>
  <c r="G52" i="49"/>
  <c r="G53" i="49"/>
  <c r="G54" i="49"/>
  <c r="G55" i="49"/>
  <c r="G56" i="49"/>
  <c r="G57" i="49"/>
  <c r="G58" i="49"/>
  <c r="G59" i="49"/>
  <c r="G60" i="49"/>
  <c r="G61" i="49"/>
  <c r="G62" i="49"/>
  <c r="G63" i="49"/>
  <c r="G64" i="49"/>
  <c r="G65" i="49"/>
  <c r="G66" i="49"/>
  <c r="G67" i="49"/>
  <c r="G68" i="49"/>
  <c r="G69" i="49"/>
  <c r="G70" i="49"/>
  <c r="G71" i="49"/>
  <c r="G72" i="49"/>
  <c r="G73" i="49"/>
  <c r="G74" i="49"/>
  <c r="G75" i="49"/>
  <c r="G76" i="49"/>
  <c r="G77" i="49"/>
  <c r="G78" i="49"/>
  <c r="G79" i="49"/>
  <c r="G80" i="49"/>
  <c r="G81" i="49"/>
  <c r="G82" i="49"/>
  <c r="G83" i="49"/>
  <c r="G84" i="49"/>
  <c r="G85" i="49"/>
  <c r="G86" i="49"/>
  <c r="G87" i="49"/>
  <c r="G88" i="49"/>
  <c r="G89" i="49"/>
  <c r="G90" i="49"/>
  <c r="G91" i="49"/>
  <c r="G92" i="49"/>
  <c r="G93" i="49"/>
  <c r="G94" i="49"/>
  <c r="G95" i="49"/>
  <c r="G96" i="49"/>
  <c r="G97" i="49"/>
  <c r="G98" i="49"/>
  <c r="G99" i="49"/>
  <c r="G100" i="49"/>
  <c r="G101" i="49"/>
  <c r="G102" i="49"/>
  <c r="G103" i="49"/>
  <c r="G104" i="49"/>
  <c r="G105" i="49"/>
  <c r="G106" i="49"/>
  <c r="G107" i="49"/>
  <c r="G108" i="49"/>
  <c r="G109" i="49"/>
  <c r="G110" i="49"/>
  <c r="G111" i="49"/>
  <c r="G112" i="49"/>
  <c r="G113" i="49"/>
  <c r="G114" i="49"/>
  <c r="G115" i="49"/>
  <c r="G116" i="49"/>
  <c r="G117" i="49"/>
  <c r="G118" i="49"/>
  <c r="G119" i="49"/>
  <c r="G120" i="49"/>
  <c r="G121" i="49"/>
  <c r="G122" i="49"/>
  <c r="G123" i="49"/>
  <c r="G124" i="49"/>
  <c r="G125" i="49"/>
  <c r="G126" i="49"/>
  <c r="G127" i="49"/>
  <c r="G128" i="49"/>
  <c r="G129" i="49"/>
  <c r="G130" i="49"/>
  <c r="G131" i="49"/>
  <c r="G132" i="49"/>
  <c r="G133" i="49"/>
  <c r="G134" i="49"/>
  <c r="G135" i="49"/>
  <c r="G136" i="49"/>
  <c r="G137" i="49"/>
  <c r="G138" i="49"/>
  <c r="G139" i="49"/>
  <c r="G140" i="49"/>
  <c r="G141" i="49"/>
  <c r="G142" i="49"/>
  <c r="G143" i="49"/>
  <c r="G144" i="49"/>
  <c r="G145" i="49"/>
  <c r="G146" i="49"/>
  <c r="G147" i="49"/>
  <c r="G148" i="49"/>
  <c r="G149" i="49"/>
  <c r="G150" i="49"/>
  <c r="G151" i="49"/>
  <c r="G152" i="49"/>
  <c r="G153" i="49"/>
  <c r="G154" i="49"/>
  <c r="G155" i="49"/>
  <c r="G156" i="49"/>
  <c r="G157" i="49"/>
  <c r="G158" i="49"/>
  <c r="G159" i="49"/>
  <c r="G160" i="49"/>
  <c r="G161" i="49"/>
  <c r="G162" i="49"/>
  <c r="G163" i="49"/>
  <c r="G164" i="49"/>
  <c r="G165" i="49"/>
  <c r="G166" i="49"/>
  <c r="G167" i="49"/>
  <c r="G168" i="49"/>
  <c r="G169" i="49"/>
  <c r="G170" i="49"/>
  <c r="G171" i="49"/>
  <c r="G172" i="49"/>
  <c r="G173" i="49"/>
  <c r="G174" i="49"/>
  <c r="G175" i="49"/>
  <c r="G176" i="49"/>
  <c r="G177" i="49"/>
  <c r="G178" i="49"/>
  <c r="G179" i="49"/>
  <c r="G180" i="49"/>
  <c r="G181" i="49"/>
  <c r="G182" i="49"/>
  <c r="G183" i="49"/>
  <c r="G184" i="49"/>
  <c r="G185" i="49"/>
  <c r="G186" i="49"/>
  <c r="G187" i="49"/>
  <c r="G188" i="49"/>
  <c r="G189" i="49"/>
  <c r="G190" i="49"/>
  <c r="G191" i="49"/>
  <c r="G192" i="49"/>
  <c r="G193" i="49"/>
  <c r="G194" i="49"/>
  <c r="G195" i="49"/>
  <c r="G196" i="49"/>
  <c r="G197" i="49"/>
  <c r="G198" i="49"/>
  <c r="G199" i="49"/>
  <c r="G200" i="49"/>
  <c r="G201" i="49"/>
  <c r="G202" i="49"/>
  <c r="G203" i="49"/>
  <c r="G204" i="49"/>
  <c r="G205" i="49"/>
  <c r="G206" i="49"/>
  <c r="G207" i="49"/>
  <c r="G208" i="49"/>
  <c r="G209" i="49"/>
  <c r="G210" i="49"/>
  <c r="G211" i="49"/>
  <c r="G212" i="49"/>
  <c r="G213" i="49"/>
  <c r="G214" i="49"/>
  <c r="G215" i="49"/>
  <c r="G216" i="49"/>
  <c r="G217" i="49"/>
  <c r="G218" i="49"/>
  <c r="G219" i="49"/>
  <c r="G220" i="49"/>
  <c r="G221" i="49"/>
  <c r="G222" i="49"/>
  <c r="G223" i="49"/>
  <c r="G224" i="49"/>
  <c r="G225" i="49"/>
  <c r="G226" i="49"/>
  <c r="G227" i="49"/>
  <c r="G228" i="49"/>
  <c r="G229" i="49"/>
  <c r="G230" i="49"/>
  <c r="G231" i="49"/>
  <c r="G232" i="49"/>
  <c r="G233" i="49"/>
  <c r="G234" i="49"/>
  <c r="G235" i="49"/>
  <c r="G236" i="49"/>
  <c r="G237" i="49"/>
  <c r="G238" i="49"/>
  <c r="G239" i="49"/>
  <c r="G240" i="49"/>
  <c r="G241" i="49"/>
  <c r="G242" i="49"/>
  <c r="G243" i="49"/>
  <c r="G244" i="49"/>
  <c r="G245" i="49"/>
  <c r="G246" i="49"/>
  <c r="G247" i="49"/>
  <c r="G248" i="49"/>
  <c r="G249" i="49"/>
  <c r="G250" i="49"/>
  <c r="G251" i="49"/>
  <c r="G252" i="49"/>
  <c r="G253" i="49"/>
  <c r="G254" i="49"/>
  <c r="G255" i="49"/>
  <c r="G256" i="49"/>
  <c r="G257" i="49"/>
  <c r="G258" i="49"/>
  <c r="G259" i="49"/>
  <c r="G260" i="49"/>
  <c r="G261" i="49"/>
  <c r="G262" i="49"/>
  <c r="G263" i="49"/>
  <c r="G264" i="49"/>
  <c r="G265" i="49"/>
  <c r="G266" i="49"/>
  <c r="G267" i="49"/>
  <c r="G268" i="49"/>
  <c r="G269" i="49"/>
  <c r="G270" i="49"/>
  <c r="G271" i="49"/>
  <c r="G272" i="49"/>
  <c r="G273" i="49"/>
  <c r="G274" i="49"/>
  <c r="G275" i="49"/>
  <c r="G276" i="49"/>
  <c r="G277" i="49"/>
  <c r="G278" i="49"/>
  <c r="G279" i="49"/>
  <c r="G280" i="49"/>
  <c r="G281" i="49"/>
  <c r="G282" i="49"/>
  <c r="G283" i="49"/>
  <c r="G284" i="49"/>
  <c r="G285" i="49"/>
  <c r="G286" i="49"/>
  <c r="G287" i="49"/>
  <c r="G288" i="49"/>
  <c r="G289" i="49"/>
  <c r="G290" i="49"/>
  <c r="G291" i="49"/>
  <c r="G292" i="49"/>
  <c r="G293" i="49"/>
  <c r="G294" i="49"/>
  <c r="G295" i="49"/>
  <c r="G296" i="49"/>
  <c r="G297" i="49"/>
  <c r="G298" i="49"/>
  <c r="G299" i="49"/>
  <c r="G300" i="49"/>
  <c r="G301" i="49"/>
  <c r="G302" i="49"/>
  <c r="G303" i="49"/>
  <c r="G304" i="49"/>
  <c r="G305" i="49"/>
  <c r="G306" i="49"/>
  <c r="G307" i="49"/>
  <c r="G308" i="49"/>
  <c r="G309" i="49"/>
  <c r="G310" i="49"/>
  <c r="G311" i="49"/>
  <c r="G312" i="49"/>
  <c r="G313" i="49"/>
  <c r="G314" i="49"/>
  <c r="G315" i="49"/>
  <c r="G316" i="49"/>
  <c r="G317" i="49"/>
  <c r="G318" i="49"/>
  <c r="G319" i="49"/>
  <c r="G320" i="49"/>
  <c r="G321" i="49"/>
  <c r="G322" i="49"/>
  <c r="G323" i="49"/>
  <c r="G324" i="49"/>
  <c r="G325" i="49"/>
  <c r="G326" i="49"/>
  <c r="G327" i="49"/>
  <c r="G328" i="49"/>
  <c r="G329" i="49"/>
  <c r="G330" i="49"/>
  <c r="G331" i="49"/>
  <c r="G332" i="49"/>
  <c r="G333" i="49"/>
  <c r="G334" i="49"/>
  <c r="G335" i="49"/>
  <c r="G336" i="49"/>
  <c r="G337" i="49"/>
  <c r="G338" i="49"/>
  <c r="G339" i="49"/>
  <c r="G340" i="49"/>
  <c r="G341" i="49"/>
  <c r="G342" i="49"/>
  <c r="G343" i="49"/>
  <c r="G344" i="49"/>
  <c r="G345" i="49"/>
  <c r="G346" i="49"/>
  <c r="G347" i="49"/>
  <c r="G348" i="49"/>
  <c r="G349" i="49"/>
  <c r="G350" i="49"/>
  <c r="G351" i="49"/>
  <c r="G352" i="49"/>
  <c r="G353" i="49"/>
  <c r="G354" i="49"/>
  <c r="G355" i="49"/>
  <c r="G356" i="49"/>
  <c r="G357" i="49"/>
  <c r="G358" i="49"/>
  <c r="G359" i="49"/>
  <c r="G360" i="49"/>
  <c r="G361" i="49"/>
  <c r="G362" i="49"/>
  <c r="G363" i="49"/>
  <c r="G364" i="49"/>
  <c r="G365" i="49"/>
  <c r="G366" i="49"/>
  <c r="G367" i="49"/>
  <c r="G368" i="49"/>
  <c r="G369" i="49"/>
  <c r="G370" i="49"/>
  <c r="G371" i="49"/>
  <c r="G372" i="49"/>
  <c r="G373" i="49"/>
  <c r="G374" i="49"/>
  <c r="G375" i="49"/>
  <c r="G376" i="49"/>
  <c r="G377" i="49"/>
  <c r="G378" i="49"/>
  <c r="G379" i="49"/>
  <c r="G380" i="49"/>
  <c r="G381" i="49"/>
  <c r="G382" i="49"/>
  <c r="G383" i="49"/>
  <c r="G384" i="49"/>
  <c r="G385" i="49"/>
  <c r="G386" i="49"/>
  <c r="G387" i="49"/>
  <c r="G388" i="49"/>
  <c r="G389" i="49"/>
  <c r="G390" i="49"/>
  <c r="G391" i="49"/>
  <c r="G392" i="49"/>
  <c r="G393" i="49"/>
  <c r="G394" i="49"/>
  <c r="G395" i="49"/>
  <c r="G396" i="49"/>
  <c r="G397" i="49"/>
  <c r="G398" i="49"/>
  <c r="G399" i="49"/>
  <c r="G4" i="49"/>
  <c r="D156" i="48" l="1"/>
  <c r="E156" i="48"/>
  <c r="D157" i="48" l="1"/>
  <c r="D158" i="48"/>
  <c r="D159" i="48"/>
  <c r="D160" i="48"/>
  <c r="D161" i="48"/>
  <c r="D162" i="48"/>
  <c r="D163" i="48"/>
  <c r="D164" i="48"/>
  <c r="D165" i="48"/>
  <c r="D166" i="48"/>
  <c r="D167" i="48"/>
  <c r="D168" i="48"/>
  <c r="D169" i="48"/>
  <c r="D170" i="48"/>
  <c r="D171" i="48"/>
  <c r="D172" i="48"/>
  <c r="D173" i="48"/>
  <c r="D174" i="48"/>
  <c r="D175" i="48"/>
  <c r="D176" i="48"/>
  <c r="D177" i="48"/>
  <c r="D178" i="48"/>
  <c r="D179" i="48"/>
  <c r="D180" i="48"/>
  <c r="D181" i="48"/>
  <c r="D182" i="48"/>
  <c r="D183" i="48"/>
  <c r="D184" i="48"/>
  <c r="D185" i="48"/>
  <c r="D186" i="48"/>
  <c r="E157" i="48"/>
  <c r="E158" i="48"/>
  <c r="E159" i="48"/>
  <c r="E160" i="48"/>
  <c r="E161" i="48"/>
  <c r="E162" i="48"/>
  <c r="E163" i="48"/>
  <c r="E164" i="48"/>
  <c r="E165" i="48"/>
  <c r="E166" i="48"/>
  <c r="E167" i="48"/>
  <c r="E168" i="48"/>
  <c r="E169" i="48"/>
  <c r="E170" i="48"/>
  <c r="E171" i="48"/>
  <c r="E172" i="48"/>
  <c r="E173" i="48"/>
  <c r="E174" i="48"/>
  <c r="E175" i="48"/>
  <c r="E176" i="48"/>
  <c r="E177" i="48"/>
  <c r="E178" i="48"/>
  <c r="E179" i="48"/>
  <c r="E180" i="48"/>
  <c r="E181" i="48"/>
  <c r="E182" i="48"/>
  <c r="E183" i="48"/>
  <c r="E184" i="48"/>
  <c r="E185" i="48"/>
  <c r="E186" i="48"/>
  <c r="D189" i="48" l="1"/>
  <c r="E189" i="48" s="1"/>
  <c r="D76" i="43" l="1"/>
  <c r="H76" i="43" s="1"/>
  <c r="C76" i="43"/>
  <c r="F76" i="43" s="1"/>
  <c r="J75" i="43"/>
  <c r="H75" i="43"/>
  <c r="F75" i="43"/>
  <c r="J74" i="43"/>
  <c r="H74" i="43"/>
  <c r="F74" i="43"/>
  <c r="J73" i="43"/>
  <c r="H73" i="43"/>
  <c r="J72" i="43"/>
  <c r="H72" i="43"/>
  <c r="F72" i="43"/>
  <c r="J71" i="43"/>
  <c r="H71" i="43"/>
  <c r="F71" i="43"/>
  <c r="H70" i="43"/>
  <c r="K76" i="43" l="1"/>
  <c r="J76" i="43" l="1"/>
  <c r="I5" i="49"/>
  <c r="I6" i="49"/>
  <c r="I7" i="49"/>
  <c r="I8" i="49"/>
  <c r="I9" i="49"/>
  <c r="I10" i="49"/>
  <c r="I11" i="49"/>
  <c r="I12" i="49"/>
  <c r="I13" i="49"/>
  <c r="I14" i="49"/>
  <c r="I15" i="49"/>
  <c r="I16" i="49"/>
  <c r="I17" i="49"/>
  <c r="I18" i="49"/>
  <c r="I19" i="49"/>
  <c r="I20" i="49"/>
  <c r="I21" i="49"/>
  <c r="I22" i="49"/>
  <c r="I23" i="49"/>
  <c r="I24" i="49"/>
  <c r="I25" i="49"/>
  <c r="I26" i="49"/>
  <c r="I27" i="49"/>
  <c r="I28" i="49"/>
  <c r="I29" i="49"/>
  <c r="I30" i="49"/>
  <c r="I31" i="49"/>
  <c r="I32" i="49"/>
  <c r="I33" i="49"/>
  <c r="I34" i="49"/>
  <c r="I35" i="49"/>
  <c r="I36" i="49"/>
  <c r="I37" i="49"/>
  <c r="I38" i="49"/>
  <c r="I39" i="49"/>
  <c r="I40" i="49"/>
  <c r="I41" i="49"/>
  <c r="I42" i="49"/>
  <c r="I43" i="49"/>
  <c r="I44" i="49"/>
  <c r="I45" i="49"/>
  <c r="I46" i="49"/>
  <c r="I47" i="49"/>
  <c r="I48" i="49"/>
  <c r="I49" i="49"/>
  <c r="I50" i="49"/>
  <c r="I51" i="49"/>
  <c r="I52" i="49"/>
  <c r="I53" i="49"/>
  <c r="I54" i="49"/>
  <c r="I55" i="49"/>
  <c r="I56" i="49"/>
  <c r="I57" i="49"/>
  <c r="I58" i="49"/>
  <c r="I59" i="49"/>
  <c r="I60" i="49"/>
  <c r="I61" i="49"/>
  <c r="I62" i="49"/>
  <c r="I63" i="49"/>
  <c r="I64" i="49"/>
  <c r="I65" i="49"/>
  <c r="I66" i="49"/>
  <c r="I67" i="49"/>
  <c r="I68" i="49"/>
  <c r="I69" i="49"/>
  <c r="I70" i="49"/>
  <c r="I71" i="49"/>
  <c r="I72" i="49"/>
  <c r="I73" i="49"/>
  <c r="I74" i="49"/>
  <c r="I75" i="49"/>
  <c r="I76" i="49"/>
  <c r="I77" i="49"/>
  <c r="I78" i="49"/>
  <c r="I79" i="49"/>
  <c r="I80" i="49"/>
  <c r="I81" i="49"/>
  <c r="I82" i="49"/>
  <c r="I83" i="49"/>
  <c r="I84" i="49"/>
  <c r="I85" i="49"/>
  <c r="I86" i="49"/>
  <c r="I87" i="49"/>
  <c r="I88" i="49"/>
  <c r="I89" i="49"/>
  <c r="I90" i="49"/>
  <c r="I91" i="49"/>
  <c r="I92" i="49"/>
  <c r="I93" i="49"/>
  <c r="I94" i="49"/>
  <c r="I95" i="49"/>
  <c r="I96" i="49"/>
  <c r="I97" i="49"/>
  <c r="I98" i="49"/>
  <c r="I99" i="49"/>
  <c r="I100" i="49"/>
  <c r="I101" i="49"/>
  <c r="I102" i="49"/>
  <c r="I103" i="49"/>
  <c r="I104" i="49"/>
  <c r="I105" i="49"/>
  <c r="I106" i="49"/>
  <c r="I107" i="49"/>
  <c r="I108" i="49"/>
  <c r="I109" i="49"/>
  <c r="I110" i="49"/>
  <c r="I111" i="49"/>
  <c r="I112" i="49"/>
  <c r="I113" i="49"/>
  <c r="I114" i="49"/>
  <c r="I115" i="49"/>
  <c r="I116" i="49"/>
  <c r="I117" i="49"/>
  <c r="I118" i="49"/>
  <c r="I119" i="49"/>
  <c r="I120" i="49"/>
  <c r="I121" i="49"/>
  <c r="I122" i="49"/>
  <c r="I123" i="49"/>
  <c r="I124" i="49"/>
  <c r="I125" i="49"/>
  <c r="I126" i="49"/>
  <c r="I127" i="49"/>
  <c r="I128" i="49"/>
  <c r="I129" i="49"/>
  <c r="I130" i="49"/>
  <c r="I131" i="49"/>
  <c r="I132" i="49"/>
  <c r="I133" i="49"/>
  <c r="I134" i="49"/>
  <c r="I135" i="49"/>
  <c r="I136" i="49"/>
  <c r="I137" i="49"/>
  <c r="I138" i="49"/>
  <c r="I139" i="49"/>
  <c r="I140" i="49"/>
  <c r="I141" i="49"/>
  <c r="I142" i="49"/>
  <c r="I143" i="49"/>
  <c r="I144" i="49"/>
  <c r="I145" i="49"/>
  <c r="I146" i="49"/>
  <c r="I147" i="49"/>
  <c r="I148" i="49"/>
  <c r="I149" i="49"/>
  <c r="I150" i="49"/>
  <c r="I151" i="49"/>
  <c r="I152" i="49"/>
  <c r="I153" i="49"/>
  <c r="I154" i="49"/>
  <c r="I155" i="49"/>
  <c r="I156" i="49"/>
  <c r="I157" i="49"/>
  <c r="I158" i="49"/>
  <c r="I159" i="49"/>
  <c r="I160" i="49"/>
  <c r="I161" i="49"/>
  <c r="I162" i="49"/>
  <c r="I163" i="49"/>
  <c r="I164" i="49"/>
  <c r="I165" i="49"/>
  <c r="I166" i="49"/>
  <c r="I167" i="49"/>
  <c r="I168" i="49"/>
  <c r="I169" i="49"/>
  <c r="I170" i="49"/>
  <c r="I171" i="49"/>
  <c r="I172" i="49"/>
  <c r="I173" i="49"/>
  <c r="I174" i="49"/>
  <c r="I175" i="49"/>
  <c r="I176" i="49"/>
  <c r="I177" i="49"/>
  <c r="I178" i="49"/>
  <c r="I179" i="49"/>
  <c r="I180" i="49"/>
  <c r="I181" i="49"/>
  <c r="I182" i="49"/>
  <c r="I183" i="49"/>
  <c r="I184" i="49"/>
  <c r="I185" i="49"/>
  <c r="I186" i="49"/>
  <c r="I187" i="49"/>
  <c r="I188" i="49"/>
  <c r="I189" i="49"/>
  <c r="I190" i="49"/>
  <c r="I191" i="49"/>
  <c r="I192" i="49"/>
  <c r="I193" i="49"/>
  <c r="I194" i="49"/>
  <c r="I195" i="49"/>
  <c r="I196" i="49"/>
  <c r="I197" i="49"/>
  <c r="I198" i="49"/>
  <c r="I199" i="49"/>
  <c r="I200" i="49"/>
  <c r="I201" i="49"/>
  <c r="I202" i="49"/>
  <c r="I203" i="49"/>
  <c r="I204" i="49"/>
  <c r="I205" i="49"/>
  <c r="I206" i="49"/>
  <c r="I207" i="49"/>
  <c r="I208" i="49"/>
  <c r="I209" i="49"/>
  <c r="I210" i="49"/>
  <c r="I211" i="49"/>
  <c r="I212" i="49"/>
  <c r="I213" i="49"/>
  <c r="I214" i="49"/>
  <c r="I215" i="49"/>
  <c r="I216" i="49"/>
  <c r="I217" i="49"/>
  <c r="I218" i="49"/>
  <c r="I219" i="49"/>
  <c r="I220" i="49"/>
  <c r="I221" i="49"/>
  <c r="I222" i="49"/>
  <c r="I223" i="49"/>
  <c r="I224" i="49"/>
  <c r="I225" i="49"/>
  <c r="I226" i="49"/>
  <c r="I227" i="49"/>
  <c r="I228" i="49"/>
  <c r="I229" i="49"/>
  <c r="I230" i="49"/>
  <c r="I231" i="49"/>
  <c r="I232" i="49"/>
  <c r="I233" i="49"/>
  <c r="I234" i="49"/>
  <c r="I235" i="49"/>
  <c r="I236" i="49"/>
  <c r="I237" i="49"/>
  <c r="I238" i="49"/>
  <c r="I239" i="49"/>
  <c r="I240" i="49"/>
  <c r="I241" i="49"/>
  <c r="I242" i="49"/>
  <c r="I243" i="49"/>
  <c r="I244" i="49"/>
  <c r="I245" i="49"/>
  <c r="I246" i="49"/>
  <c r="I247" i="49"/>
  <c r="I248" i="49"/>
  <c r="I249" i="49"/>
  <c r="I250" i="49"/>
  <c r="I251" i="49"/>
  <c r="I252" i="49"/>
  <c r="I253" i="49"/>
  <c r="I254" i="49"/>
  <c r="I255" i="49"/>
  <c r="I256" i="49"/>
  <c r="I257" i="49"/>
  <c r="I258" i="49"/>
  <c r="I259" i="49"/>
  <c r="I260" i="49"/>
  <c r="I261" i="49"/>
  <c r="I262" i="49"/>
  <c r="I263" i="49"/>
  <c r="I264" i="49"/>
  <c r="I265" i="49"/>
  <c r="I266" i="49"/>
  <c r="I267" i="49"/>
  <c r="I268" i="49"/>
  <c r="I269" i="49"/>
  <c r="I270" i="49"/>
  <c r="I271" i="49"/>
  <c r="I272" i="49"/>
  <c r="I273" i="49"/>
  <c r="I274" i="49"/>
  <c r="I275" i="49"/>
  <c r="I276" i="49"/>
  <c r="I277" i="49"/>
  <c r="I278" i="49"/>
  <c r="I279" i="49"/>
  <c r="I280" i="49"/>
  <c r="I281" i="49"/>
  <c r="I282" i="49"/>
  <c r="I283" i="49"/>
  <c r="I284" i="49"/>
  <c r="I285" i="49"/>
  <c r="I286" i="49"/>
  <c r="I287" i="49"/>
  <c r="I288" i="49"/>
  <c r="I289" i="49"/>
  <c r="I290" i="49"/>
  <c r="I291" i="49"/>
  <c r="I292" i="49"/>
  <c r="I293" i="49"/>
  <c r="I294" i="49"/>
  <c r="I295" i="49"/>
  <c r="I296" i="49"/>
  <c r="I297" i="49"/>
  <c r="I298" i="49"/>
  <c r="I299" i="49"/>
  <c r="I300" i="49"/>
  <c r="I301" i="49"/>
  <c r="I302" i="49"/>
  <c r="I303" i="49"/>
  <c r="I304" i="49"/>
  <c r="I305" i="49"/>
  <c r="I306" i="49"/>
  <c r="I307" i="49"/>
  <c r="I308" i="49"/>
  <c r="I309" i="49"/>
  <c r="I310" i="49"/>
  <c r="I311" i="49"/>
  <c r="I312" i="49"/>
  <c r="I313" i="49"/>
  <c r="I314" i="49"/>
  <c r="I315" i="49"/>
  <c r="I316" i="49"/>
  <c r="I317" i="49"/>
  <c r="I318" i="49"/>
  <c r="I319" i="49"/>
  <c r="I320" i="49"/>
  <c r="I321" i="49"/>
  <c r="I322" i="49"/>
  <c r="I323" i="49"/>
  <c r="I324" i="49"/>
  <c r="I325" i="49"/>
  <c r="I326" i="49"/>
  <c r="I327" i="49"/>
  <c r="I328" i="49"/>
  <c r="I329" i="49"/>
  <c r="I330" i="49"/>
  <c r="I331" i="49"/>
  <c r="I332" i="49"/>
  <c r="I333" i="49"/>
  <c r="I334" i="49"/>
  <c r="I335" i="49"/>
  <c r="I336" i="49"/>
  <c r="I337" i="49"/>
  <c r="I338" i="49"/>
  <c r="I339" i="49"/>
  <c r="I340" i="49"/>
  <c r="I341" i="49"/>
  <c r="I342" i="49"/>
  <c r="I343" i="49"/>
  <c r="I344" i="49"/>
  <c r="I345" i="49"/>
  <c r="I346" i="49"/>
  <c r="I347" i="49"/>
  <c r="I348" i="49"/>
  <c r="I349" i="49"/>
  <c r="I350" i="49"/>
  <c r="I351" i="49"/>
  <c r="I352" i="49"/>
  <c r="I353" i="49"/>
  <c r="I354" i="49"/>
  <c r="I355" i="49"/>
  <c r="I356" i="49"/>
  <c r="I357" i="49"/>
  <c r="I358" i="49"/>
  <c r="I359" i="49"/>
  <c r="I360" i="49"/>
  <c r="I361" i="49"/>
  <c r="I362" i="49"/>
  <c r="I363" i="49"/>
  <c r="I364" i="49"/>
  <c r="I365" i="49"/>
  <c r="I366" i="49"/>
  <c r="I367" i="49"/>
  <c r="I368" i="49"/>
  <c r="I369" i="49"/>
  <c r="I370" i="49"/>
  <c r="I371" i="49"/>
  <c r="I372" i="49"/>
  <c r="I373" i="49"/>
  <c r="I374" i="49"/>
  <c r="I375" i="49"/>
  <c r="I376" i="49"/>
  <c r="I377" i="49"/>
  <c r="I378" i="49"/>
  <c r="I379" i="49"/>
  <c r="I380" i="49"/>
  <c r="I381" i="49"/>
  <c r="I382" i="49"/>
  <c r="I383" i="49"/>
  <c r="I384" i="49"/>
  <c r="I385" i="49"/>
  <c r="I386" i="49"/>
  <c r="I387" i="49"/>
  <c r="I388" i="49"/>
  <c r="I389" i="49"/>
  <c r="I390" i="49"/>
  <c r="I391" i="49"/>
  <c r="I392" i="49"/>
  <c r="I393" i="49"/>
  <c r="I394" i="49"/>
  <c r="I395" i="49"/>
  <c r="I396" i="49"/>
  <c r="I397" i="49"/>
  <c r="I398" i="49"/>
  <c r="I399" i="49"/>
  <c r="I4" i="49"/>
  <c r="N152" i="44" l="1"/>
  <c r="O79" i="48" s="1"/>
  <c r="N153" i="44"/>
  <c r="O80" i="48" s="1"/>
  <c r="N142" i="44"/>
  <c r="N143" i="44"/>
  <c r="O70" i="48" s="1"/>
  <c r="N144" i="44"/>
  <c r="O71" i="48" s="1"/>
  <c r="N145" i="44"/>
  <c r="N146" i="44"/>
  <c r="O74" i="48" s="1"/>
  <c r="N147" i="44"/>
  <c r="O75" i="48" s="1"/>
  <c r="N148" i="44"/>
  <c r="O76" i="48" s="1"/>
  <c r="N149" i="44"/>
  <c r="O77" i="48" s="1"/>
  <c r="N150" i="44"/>
  <c r="O81" i="48" s="1"/>
  <c r="N151" i="44"/>
  <c r="N140" i="44"/>
  <c r="M141" i="44"/>
  <c r="O78" i="48" l="1"/>
  <c r="O108" i="48" s="1"/>
  <c r="N156" i="44"/>
  <c r="N165" i="44"/>
  <c r="O68" i="48"/>
  <c r="O125" i="48"/>
  <c r="O98" i="48"/>
  <c r="O131" i="48"/>
  <c r="O104" i="48"/>
  <c r="O135" i="48"/>
  <c r="O132" i="48"/>
  <c r="O105" i="48"/>
  <c r="O127" i="48"/>
  <c r="O100" i="48"/>
  <c r="M142" i="44"/>
  <c r="M143" i="44"/>
  <c r="N70" i="48" s="1"/>
  <c r="M144" i="44"/>
  <c r="N71" i="48" s="1"/>
  <c r="M145" i="44"/>
  <c r="M146" i="44"/>
  <c r="N74" i="48" s="1"/>
  <c r="M147" i="44"/>
  <c r="N75" i="48" s="1"/>
  <c r="M148" i="44"/>
  <c r="N76" i="48" s="1"/>
  <c r="M149" i="44"/>
  <c r="N77" i="48" s="1"/>
  <c r="M150" i="44"/>
  <c r="N81" i="48" s="1"/>
  <c r="M151" i="44"/>
  <c r="M152" i="44"/>
  <c r="N79" i="48" s="1"/>
  <c r="M153" i="44"/>
  <c r="N80" i="48" s="1"/>
  <c r="O134" i="48"/>
  <c r="O107" i="48"/>
  <c r="O72" i="48"/>
  <c r="O137" i="48"/>
  <c r="O110" i="48"/>
  <c r="O138" i="48"/>
  <c r="O111" i="48"/>
  <c r="O69" i="48"/>
  <c r="N164" i="44"/>
  <c r="O133" i="48"/>
  <c r="O106" i="48"/>
  <c r="O128" i="48"/>
  <c r="O101" i="48"/>
  <c r="O136" i="48"/>
  <c r="O109" i="48"/>
  <c r="M140" i="44"/>
  <c r="N157" i="44"/>
  <c r="L141" i="44"/>
  <c r="N154" i="44"/>
  <c r="O82" i="48" s="1"/>
  <c r="N78" i="48" l="1"/>
  <c r="N108" i="48" s="1"/>
  <c r="N166" i="44"/>
  <c r="N158" i="44"/>
  <c r="N167" i="44"/>
  <c r="N125" i="48"/>
  <c r="N98" i="48"/>
  <c r="N68" i="48"/>
  <c r="O139" i="48"/>
  <c r="O112" i="48"/>
  <c r="O129" i="48"/>
  <c r="O146" i="48" s="1"/>
  <c r="O102" i="48"/>
  <c r="O119" i="48" s="1"/>
  <c r="N101" i="48"/>
  <c r="N128" i="48"/>
  <c r="N105" i="48"/>
  <c r="N132" i="48"/>
  <c r="N127" i="48"/>
  <c r="N100" i="48"/>
  <c r="O89" i="48"/>
  <c r="L146" i="44"/>
  <c r="M74" i="48" s="1"/>
  <c r="L149" i="44"/>
  <c r="M77" i="48" s="1"/>
  <c r="L150" i="44"/>
  <c r="M81" i="48" s="1"/>
  <c r="L148" i="44"/>
  <c r="M76" i="48" s="1"/>
  <c r="L151" i="44"/>
  <c r="L142" i="44"/>
  <c r="L143" i="44"/>
  <c r="M70" i="48" s="1"/>
  <c r="L144" i="44"/>
  <c r="M71" i="48" s="1"/>
  <c r="L145" i="44"/>
  <c r="L147" i="44"/>
  <c r="M75" i="48" s="1"/>
  <c r="L152" i="44"/>
  <c r="M79" i="48" s="1"/>
  <c r="L153" i="44"/>
  <c r="M80" i="48" s="1"/>
  <c r="N111" i="48"/>
  <c r="N138" i="48"/>
  <c r="N131" i="48"/>
  <c r="N104" i="48"/>
  <c r="N69" i="48"/>
  <c r="M164" i="44"/>
  <c r="N109" i="48"/>
  <c r="N136" i="48"/>
  <c r="N106" i="48"/>
  <c r="N133" i="48"/>
  <c r="O88" i="48"/>
  <c r="O126" i="48"/>
  <c r="O99" i="48"/>
  <c r="N110" i="48"/>
  <c r="N137" i="48"/>
  <c r="N107" i="48"/>
  <c r="N134" i="48"/>
  <c r="N72" i="48"/>
  <c r="M165" i="44"/>
  <c r="L140" i="44"/>
  <c r="M157" i="44"/>
  <c r="M156" i="44"/>
  <c r="M154" i="44"/>
  <c r="N82" i="48" s="1"/>
  <c r="K141" i="44"/>
  <c r="O91" i="48" l="1"/>
  <c r="O92" i="48" s="1"/>
  <c r="N135" i="48"/>
  <c r="M78" i="48"/>
  <c r="M108" i="48" s="1"/>
  <c r="M158" i="44"/>
  <c r="M159" i="44" s="1"/>
  <c r="M167" i="44"/>
  <c r="M166" i="44"/>
  <c r="N159" i="44"/>
  <c r="M125" i="48"/>
  <c r="M98" i="48"/>
  <c r="M68" i="48"/>
  <c r="M69" i="48"/>
  <c r="L164" i="44"/>
  <c r="N126" i="48"/>
  <c r="N99" i="48"/>
  <c r="N88" i="48"/>
  <c r="M72" i="48"/>
  <c r="L165" i="44"/>
  <c r="M104" i="48"/>
  <c r="M131" i="48"/>
  <c r="M105" i="48"/>
  <c r="M132" i="48"/>
  <c r="M134" i="48"/>
  <c r="M107" i="48"/>
  <c r="O118" i="48"/>
  <c r="O121" i="48" s="1"/>
  <c r="O122" i="48" s="1"/>
  <c r="M137" i="48"/>
  <c r="M110" i="48"/>
  <c r="M101" i="48"/>
  <c r="M128" i="48"/>
  <c r="M133" i="48"/>
  <c r="M106" i="48"/>
  <c r="K142" i="44"/>
  <c r="K143" i="44"/>
  <c r="L70" i="48" s="1"/>
  <c r="K144" i="44"/>
  <c r="L71" i="48" s="1"/>
  <c r="K145" i="44"/>
  <c r="K146" i="44"/>
  <c r="L74" i="48" s="1"/>
  <c r="K147" i="44"/>
  <c r="L75" i="48" s="1"/>
  <c r="K148" i="44"/>
  <c r="L76" i="48" s="1"/>
  <c r="K149" i="44"/>
  <c r="L77" i="48" s="1"/>
  <c r="K150" i="44"/>
  <c r="L81" i="48" s="1"/>
  <c r="K151" i="44"/>
  <c r="K152" i="44"/>
  <c r="L79" i="48" s="1"/>
  <c r="K153" i="44"/>
  <c r="L80" i="48" s="1"/>
  <c r="N102" i="48"/>
  <c r="N119" i="48" s="1"/>
  <c r="N129" i="48"/>
  <c r="N146" i="48" s="1"/>
  <c r="O145" i="48"/>
  <c r="O148" i="48" s="1"/>
  <c r="O149" i="48" s="1"/>
  <c r="N112" i="48"/>
  <c r="N139" i="48"/>
  <c r="M136" i="48"/>
  <c r="M109" i="48"/>
  <c r="M100" i="48"/>
  <c r="M127" i="48"/>
  <c r="M138" i="48"/>
  <c r="M111" i="48"/>
  <c r="N89" i="48"/>
  <c r="K140" i="44"/>
  <c r="L156" i="44"/>
  <c r="J141" i="44"/>
  <c r="L154" i="44"/>
  <c r="M82" i="48" s="1"/>
  <c r="L157" i="44"/>
  <c r="M135" i="48" l="1"/>
  <c r="N91" i="48"/>
  <c r="N92" i="48" s="1"/>
  <c r="N118" i="48"/>
  <c r="N121" i="48" s="1"/>
  <c r="N122" i="48" s="1"/>
  <c r="M89" i="48"/>
  <c r="L166" i="44"/>
  <c r="L167" i="44"/>
  <c r="L78" i="48"/>
  <c r="L108" i="48" s="1"/>
  <c r="L158" i="44"/>
  <c r="L159" i="44" s="1"/>
  <c r="L98" i="48"/>
  <c r="L68" i="48"/>
  <c r="L125" i="48"/>
  <c r="L137" i="48"/>
  <c r="L110" i="48"/>
  <c r="L134" i="48"/>
  <c r="L107" i="48"/>
  <c r="L72" i="48"/>
  <c r="K165" i="44"/>
  <c r="L133" i="48"/>
  <c r="L106" i="48"/>
  <c r="L101" i="48"/>
  <c r="L128" i="48"/>
  <c r="L132" i="48"/>
  <c r="L105" i="48"/>
  <c r="L100" i="48"/>
  <c r="L127" i="48"/>
  <c r="M139" i="48"/>
  <c r="M112" i="48"/>
  <c r="L136" i="48"/>
  <c r="L109" i="48"/>
  <c r="J149" i="44"/>
  <c r="K77" i="48" s="1"/>
  <c r="J150" i="44"/>
  <c r="K81" i="48" s="1"/>
  <c r="J151" i="44"/>
  <c r="J152" i="44"/>
  <c r="K79" i="48" s="1"/>
  <c r="J153" i="44"/>
  <c r="K80" i="48" s="1"/>
  <c r="J142" i="44"/>
  <c r="J143" i="44"/>
  <c r="K70" i="48" s="1"/>
  <c r="J144" i="44"/>
  <c r="K71" i="48" s="1"/>
  <c r="J145" i="44"/>
  <c r="J146" i="44"/>
  <c r="K74" i="48" s="1"/>
  <c r="J147" i="44"/>
  <c r="K75" i="48" s="1"/>
  <c r="J148" i="44"/>
  <c r="K76" i="48" s="1"/>
  <c r="L138" i="48"/>
  <c r="L111" i="48"/>
  <c r="L104" i="48"/>
  <c r="L131" i="48"/>
  <c r="L69" i="48"/>
  <c r="K164" i="44"/>
  <c r="M102" i="48"/>
  <c r="M119" i="48" s="1"/>
  <c r="M129" i="48"/>
  <c r="M146" i="48" s="1"/>
  <c r="N145" i="48"/>
  <c r="N148" i="48" s="1"/>
  <c r="N149" i="48" s="1"/>
  <c r="M88" i="48"/>
  <c r="M99" i="48"/>
  <c r="M126" i="48"/>
  <c r="J140" i="44"/>
  <c r="K157" i="44"/>
  <c r="I141" i="44"/>
  <c r="K154" i="44"/>
  <c r="L82" i="48" s="1"/>
  <c r="K156" i="44"/>
  <c r="M91" i="48" l="1"/>
  <c r="M92" i="48" s="1"/>
  <c r="M118" i="48"/>
  <c r="M121" i="48" s="1"/>
  <c r="M122" i="48" s="1"/>
  <c r="L89" i="48"/>
  <c r="L135" i="48"/>
  <c r="K78" i="48"/>
  <c r="K108" i="48" s="1"/>
  <c r="K167" i="44"/>
  <c r="K158" i="44"/>
  <c r="K159" i="44" s="1"/>
  <c r="K166" i="44"/>
  <c r="K68" i="48"/>
  <c r="K125" i="48"/>
  <c r="K98" i="48"/>
  <c r="I142" i="44"/>
  <c r="I143" i="44"/>
  <c r="J70" i="48" s="1"/>
  <c r="I144" i="44"/>
  <c r="J71" i="48" s="1"/>
  <c r="I145" i="44"/>
  <c r="I146" i="44"/>
  <c r="J74" i="48" s="1"/>
  <c r="I147" i="44"/>
  <c r="J75" i="48" s="1"/>
  <c r="I148" i="44"/>
  <c r="J76" i="48" s="1"/>
  <c r="I149" i="44"/>
  <c r="J77" i="48" s="1"/>
  <c r="I150" i="44"/>
  <c r="J81" i="48" s="1"/>
  <c r="I151" i="44"/>
  <c r="I152" i="44"/>
  <c r="J79" i="48" s="1"/>
  <c r="I153" i="44"/>
  <c r="J80" i="48" s="1"/>
  <c r="M145" i="48"/>
  <c r="M148" i="48" s="1"/>
  <c r="M149" i="48" s="1"/>
  <c r="K72" i="48"/>
  <c r="J165" i="44"/>
  <c r="K137" i="48"/>
  <c r="K110" i="48"/>
  <c r="K134" i="48"/>
  <c r="K107" i="48"/>
  <c r="K128" i="48"/>
  <c r="K101" i="48"/>
  <c r="K132" i="48"/>
  <c r="K105" i="48"/>
  <c r="K127" i="48"/>
  <c r="K100" i="48"/>
  <c r="L102" i="48"/>
  <c r="L119" i="48" s="1"/>
  <c r="L129" i="48"/>
  <c r="K133" i="48"/>
  <c r="K106" i="48"/>
  <c r="K136" i="48"/>
  <c r="K109" i="48"/>
  <c r="L99" i="48"/>
  <c r="L126" i="48"/>
  <c r="L88" i="48"/>
  <c r="L139" i="48"/>
  <c r="L112" i="48"/>
  <c r="K131" i="48"/>
  <c r="K104" i="48"/>
  <c r="K69" i="48"/>
  <c r="J164" i="44"/>
  <c r="K138" i="48"/>
  <c r="K111" i="48"/>
  <c r="I140" i="44"/>
  <c r="J154" i="44"/>
  <c r="K82" i="48" s="1"/>
  <c r="J156" i="44"/>
  <c r="H141" i="44"/>
  <c r="J157" i="44"/>
  <c r="L91" i="48" l="1"/>
  <c r="L92" i="48" s="1"/>
  <c r="L146" i="48"/>
  <c r="L118" i="48"/>
  <c r="L121" i="48" s="1"/>
  <c r="L122" i="48" s="1"/>
  <c r="K135" i="48"/>
  <c r="J158" i="44"/>
  <c r="J159" i="44" s="1"/>
  <c r="J167" i="44"/>
  <c r="J78" i="48"/>
  <c r="J108" i="48" s="1"/>
  <c r="J166" i="44"/>
  <c r="J125" i="48"/>
  <c r="J98" i="48"/>
  <c r="J68" i="48"/>
  <c r="J109" i="48"/>
  <c r="J136" i="48"/>
  <c r="K139" i="48"/>
  <c r="K112" i="48"/>
  <c r="K88" i="48"/>
  <c r="K126" i="48"/>
  <c r="K99" i="48"/>
  <c r="J110" i="48"/>
  <c r="J137" i="48"/>
  <c r="J107" i="48"/>
  <c r="J134" i="48"/>
  <c r="J72" i="48"/>
  <c r="I165" i="44"/>
  <c r="J106" i="48"/>
  <c r="J133" i="48"/>
  <c r="J101" i="48"/>
  <c r="J128" i="48"/>
  <c r="J132" i="48"/>
  <c r="J105" i="48"/>
  <c r="J100" i="48"/>
  <c r="J127" i="48"/>
  <c r="K129" i="48"/>
  <c r="K102" i="48"/>
  <c r="K119" i="48" s="1"/>
  <c r="H151" i="44"/>
  <c r="H152" i="44"/>
  <c r="I79" i="48" s="1"/>
  <c r="H145" i="44"/>
  <c r="H147" i="44"/>
  <c r="I75" i="48" s="1"/>
  <c r="H153" i="44"/>
  <c r="I80" i="48" s="1"/>
  <c r="H142" i="44"/>
  <c r="H143" i="44"/>
  <c r="I70" i="48" s="1"/>
  <c r="H144" i="44"/>
  <c r="I71" i="48" s="1"/>
  <c r="H146" i="44"/>
  <c r="I74" i="48" s="1"/>
  <c r="H148" i="44"/>
  <c r="I76" i="48" s="1"/>
  <c r="H149" i="44"/>
  <c r="I77" i="48" s="1"/>
  <c r="H150" i="44"/>
  <c r="I81" i="48" s="1"/>
  <c r="L145" i="48"/>
  <c r="L148" i="48" s="1"/>
  <c r="L149" i="48" s="1"/>
  <c r="K89" i="48"/>
  <c r="J111" i="48"/>
  <c r="J138" i="48"/>
  <c r="J131" i="48"/>
  <c r="J104" i="48"/>
  <c r="J69" i="48"/>
  <c r="I164" i="44"/>
  <c r="H140" i="44"/>
  <c r="I156" i="44"/>
  <c r="G141" i="44"/>
  <c r="I154" i="44"/>
  <c r="J82" i="48" s="1"/>
  <c r="I157" i="44"/>
  <c r="K146" i="48" l="1"/>
  <c r="K91" i="48"/>
  <c r="K92" i="48" s="1"/>
  <c r="J89" i="48"/>
  <c r="J135" i="48"/>
  <c r="I78" i="48"/>
  <c r="I108" i="48" s="1"/>
  <c r="I167" i="44"/>
  <c r="I158" i="44"/>
  <c r="I159" i="44" s="1"/>
  <c r="I166" i="44"/>
  <c r="I125" i="48"/>
  <c r="I98" i="48"/>
  <c r="I68" i="48"/>
  <c r="I69" i="48"/>
  <c r="H164" i="44"/>
  <c r="J112" i="48"/>
  <c r="J139" i="48"/>
  <c r="I104" i="48"/>
  <c r="I131" i="48"/>
  <c r="I137" i="48"/>
  <c r="I110" i="48"/>
  <c r="K118" i="48"/>
  <c r="K121" i="48" s="1"/>
  <c r="K122" i="48" s="1"/>
  <c r="G142" i="44"/>
  <c r="G143" i="44"/>
  <c r="H70" i="48" s="1"/>
  <c r="G144" i="44"/>
  <c r="H71" i="48" s="1"/>
  <c r="G145" i="44"/>
  <c r="G146" i="44"/>
  <c r="H74" i="48" s="1"/>
  <c r="G147" i="44"/>
  <c r="H75" i="48" s="1"/>
  <c r="G148" i="44"/>
  <c r="H76" i="48" s="1"/>
  <c r="G149" i="44"/>
  <c r="H77" i="48" s="1"/>
  <c r="G150" i="44"/>
  <c r="H81" i="48" s="1"/>
  <c r="G151" i="44"/>
  <c r="G152" i="44"/>
  <c r="H79" i="48" s="1"/>
  <c r="G153" i="44"/>
  <c r="H80" i="48" s="1"/>
  <c r="I138" i="48"/>
  <c r="I111" i="48"/>
  <c r="I101" i="48"/>
  <c r="I128" i="48"/>
  <c r="I105" i="48"/>
  <c r="I132" i="48"/>
  <c r="K145" i="48"/>
  <c r="K148" i="48" s="1"/>
  <c r="K149" i="48" s="1"/>
  <c r="J126" i="48"/>
  <c r="J88" i="48"/>
  <c r="J99" i="48"/>
  <c r="I133" i="48"/>
  <c r="I106" i="48"/>
  <c r="I136" i="48"/>
  <c r="I109" i="48"/>
  <c r="J129" i="48"/>
  <c r="J102" i="48"/>
  <c r="J119" i="48" s="1"/>
  <c r="I134" i="48"/>
  <c r="I107" i="48"/>
  <c r="I100" i="48"/>
  <c r="I127" i="48"/>
  <c r="I72" i="48"/>
  <c r="H165" i="44"/>
  <c r="G140" i="44"/>
  <c r="H154" i="44"/>
  <c r="I82" i="48" s="1"/>
  <c r="H157" i="44"/>
  <c r="H156" i="44"/>
  <c r="F141" i="44"/>
  <c r="J91" i="48" l="1"/>
  <c r="J92" i="48" s="1"/>
  <c r="I135" i="48"/>
  <c r="J118" i="48"/>
  <c r="J121" i="48" s="1"/>
  <c r="J122" i="48" s="1"/>
  <c r="J146" i="48"/>
  <c r="I89" i="48"/>
  <c r="H78" i="48"/>
  <c r="H135" i="48" s="1"/>
  <c r="H167" i="44"/>
  <c r="H166" i="44"/>
  <c r="H158" i="44"/>
  <c r="H159" i="44" s="1"/>
  <c r="H98" i="48"/>
  <c r="H68" i="48"/>
  <c r="H125" i="48"/>
  <c r="H137" i="48"/>
  <c r="H110" i="48"/>
  <c r="H72" i="48"/>
  <c r="G165" i="44"/>
  <c r="H136" i="48"/>
  <c r="H109" i="48"/>
  <c r="H133" i="48"/>
  <c r="H106" i="48"/>
  <c r="H101" i="48"/>
  <c r="H128" i="48"/>
  <c r="F142" i="44"/>
  <c r="F143" i="44"/>
  <c r="G70" i="48" s="1"/>
  <c r="F144" i="44"/>
  <c r="G71" i="48" s="1"/>
  <c r="F145" i="44"/>
  <c r="F146" i="44"/>
  <c r="G74" i="48" s="1"/>
  <c r="F147" i="44"/>
  <c r="G75" i="48" s="1"/>
  <c r="F148" i="44"/>
  <c r="G76" i="48" s="1"/>
  <c r="F149" i="44"/>
  <c r="G77" i="48" s="1"/>
  <c r="F150" i="44"/>
  <c r="G81" i="48" s="1"/>
  <c r="F151" i="44"/>
  <c r="F152" i="44"/>
  <c r="G79" i="48" s="1"/>
  <c r="F153" i="44"/>
  <c r="G80" i="48" s="1"/>
  <c r="H132" i="48"/>
  <c r="H105" i="48"/>
  <c r="H100" i="48"/>
  <c r="H127" i="48"/>
  <c r="I139" i="48"/>
  <c r="I112" i="48"/>
  <c r="H134" i="48"/>
  <c r="H107" i="48"/>
  <c r="J145" i="48"/>
  <c r="I102" i="48"/>
  <c r="I119" i="48" s="1"/>
  <c r="I129" i="48"/>
  <c r="H138" i="48"/>
  <c r="H111" i="48"/>
  <c r="H104" i="48"/>
  <c r="H131" i="48"/>
  <c r="H69" i="48"/>
  <c r="G164" i="44"/>
  <c r="I88" i="48"/>
  <c r="I99" i="48"/>
  <c r="I126" i="48"/>
  <c r="F140" i="44"/>
  <c r="G154" i="44"/>
  <c r="H82" i="48" s="1"/>
  <c r="G156" i="44"/>
  <c r="G157" i="44"/>
  <c r="E141" i="44"/>
  <c r="J148" i="48" l="1"/>
  <c r="J149" i="48" s="1"/>
  <c r="I146" i="48"/>
  <c r="I91" i="48"/>
  <c r="I92" i="48" s="1"/>
  <c r="I118" i="48"/>
  <c r="I121" i="48" s="1"/>
  <c r="I122" i="48" s="1"/>
  <c r="H89" i="48"/>
  <c r="H108" i="48"/>
  <c r="G78" i="48"/>
  <c r="G135" i="48" s="1"/>
  <c r="G166" i="44"/>
  <c r="G167" i="44"/>
  <c r="G158" i="44"/>
  <c r="G159" i="44" s="1"/>
  <c r="G68" i="48"/>
  <c r="G98" i="48"/>
  <c r="G125" i="48"/>
  <c r="G137" i="48"/>
  <c r="G110" i="48"/>
  <c r="G72" i="48"/>
  <c r="F165" i="44"/>
  <c r="I145" i="48"/>
  <c r="I148" i="48" s="1"/>
  <c r="I149" i="48" s="1"/>
  <c r="G136" i="48"/>
  <c r="G109" i="48"/>
  <c r="G133" i="48"/>
  <c r="G106" i="48"/>
  <c r="G128" i="48"/>
  <c r="G101" i="48"/>
  <c r="H102" i="48"/>
  <c r="H129" i="48"/>
  <c r="H146" i="48" s="1"/>
  <c r="G134" i="48"/>
  <c r="G107" i="48"/>
  <c r="H139" i="48"/>
  <c r="H112" i="48"/>
  <c r="G132" i="48"/>
  <c r="G105" i="48"/>
  <c r="G127" i="48"/>
  <c r="G100" i="48"/>
  <c r="E142" i="44"/>
  <c r="E143" i="44"/>
  <c r="E144" i="44"/>
  <c r="F71" i="48" s="1"/>
  <c r="E145" i="44"/>
  <c r="E146" i="44"/>
  <c r="F74" i="48" s="1"/>
  <c r="E147" i="44"/>
  <c r="F75" i="48" s="1"/>
  <c r="E148" i="44"/>
  <c r="F76" i="48" s="1"/>
  <c r="E149" i="44"/>
  <c r="F77" i="48" s="1"/>
  <c r="E150" i="44"/>
  <c r="F81" i="48" s="1"/>
  <c r="E151" i="44"/>
  <c r="E152" i="44"/>
  <c r="F79" i="48" s="1"/>
  <c r="E153" i="44"/>
  <c r="F80" i="48" s="1"/>
  <c r="H99" i="48"/>
  <c r="H126" i="48"/>
  <c r="H88" i="48"/>
  <c r="H91" i="48" s="1"/>
  <c r="H92" i="48" s="1"/>
  <c r="G138" i="48"/>
  <c r="G111" i="48"/>
  <c r="G131" i="48"/>
  <c r="G104" i="48"/>
  <c r="G69" i="48"/>
  <c r="F164" i="44"/>
  <c r="E140" i="44"/>
  <c r="F157" i="44"/>
  <c r="F154" i="44"/>
  <c r="G82" i="48" s="1"/>
  <c r="F156" i="44"/>
  <c r="D141" i="44"/>
  <c r="H119" i="48" l="1"/>
  <c r="H118" i="48"/>
  <c r="H121" i="48" s="1"/>
  <c r="H122" i="48" s="1"/>
  <c r="G108" i="48"/>
  <c r="F78" i="48"/>
  <c r="F108" i="48" s="1"/>
  <c r="F70" i="48"/>
  <c r="F100" i="48" s="1"/>
  <c r="F166" i="44"/>
  <c r="F167" i="44"/>
  <c r="F158" i="44"/>
  <c r="F159" i="44" s="1"/>
  <c r="F125" i="48"/>
  <c r="F98" i="48"/>
  <c r="F68" i="48"/>
  <c r="F111" i="48"/>
  <c r="F138" i="48"/>
  <c r="F107" i="48"/>
  <c r="F134" i="48"/>
  <c r="F72" i="48"/>
  <c r="E165" i="44"/>
  <c r="G129" i="48"/>
  <c r="G146" i="48" s="1"/>
  <c r="G102" i="48"/>
  <c r="D146" i="44"/>
  <c r="E74" i="48" s="1"/>
  <c r="D148" i="44"/>
  <c r="E76" i="48" s="1"/>
  <c r="D149" i="44"/>
  <c r="E77" i="48" s="1"/>
  <c r="D153" i="44"/>
  <c r="E80" i="48" s="1"/>
  <c r="D150" i="44"/>
  <c r="E81" i="48" s="1"/>
  <c r="D142" i="44"/>
  <c r="D143" i="44"/>
  <c r="D144" i="44"/>
  <c r="E71" i="48" s="1"/>
  <c r="D145" i="44"/>
  <c r="D147" i="44"/>
  <c r="E75" i="48" s="1"/>
  <c r="D151" i="44"/>
  <c r="D152" i="44"/>
  <c r="E79" i="48" s="1"/>
  <c r="G88" i="48"/>
  <c r="G126" i="48"/>
  <c r="G99" i="48"/>
  <c r="F104" i="48"/>
  <c r="F131" i="48"/>
  <c r="F110" i="48"/>
  <c r="F137" i="48"/>
  <c r="F106" i="48"/>
  <c r="F133" i="48"/>
  <c r="F128" i="48"/>
  <c r="F101" i="48"/>
  <c r="F69" i="48"/>
  <c r="E164" i="44"/>
  <c r="G139" i="48"/>
  <c r="G112" i="48"/>
  <c r="F109" i="48"/>
  <c r="F136" i="48"/>
  <c r="H145" i="48"/>
  <c r="H148" i="48" s="1"/>
  <c r="H149" i="48" s="1"/>
  <c r="F105" i="48"/>
  <c r="F132" i="48"/>
  <c r="G89" i="48"/>
  <c r="D140" i="44"/>
  <c r="C141" i="44"/>
  <c r="B141" i="44" s="1"/>
  <c r="E154" i="44"/>
  <c r="F82" i="48" s="1"/>
  <c r="E156" i="44"/>
  <c r="E157" i="44"/>
  <c r="G91" i="48" l="1"/>
  <c r="G92" i="48" s="1"/>
  <c r="F127" i="48"/>
  <c r="F135" i="48"/>
  <c r="G119" i="48"/>
  <c r="F89" i="48"/>
  <c r="E78" i="48"/>
  <c r="E108" i="48" s="1"/>
  <c r="E70" i="48"/>
  <c r="E127" i="48" s="1"/>
  <c r="E159" i="44"/>
  <c r="E158" i="44"/>
  <c r="E166" i="44"/>
  <c r="E167" i="44"/>
  <c r="E125" i="48"/>
  <c r="E98" i="48"/>
  <c r="E68" i="48"/>
  <c r="E101" i="48"/>
  <c r="E128" i="48"/>
  <c r="G118" i="48"/>
  <c r="E134" i="48"/>
  <c r="E107" i="48"/>
  <c r="E137" i="48"/>
  <c r="E110" i="48"/>
  <c r="F112" i="48"/>
  <c r="F139" i="48"/>
  <c r="F99" i="48"/>
  <c r="F126" i="48"/>
  <c r="F88" i="48"/>
  <c r="G145" i="48"/>
  <c r="G148" i="48" s="1"/>
  <c r="G149" i="48" s="1"/>
  <c r="E105" i="48"/>
  <c r="E132" i="48"/>
  <c r="E69" i="48"/>
  <c r="D164" i="44"/>
  <c r="E133" i="48"/>
  <c r="E106" i="48"/>
  <c r="E136" i="48"/>
  <c r="E109" i="48"/>
  <c r="C142" i="44"/>
  <c r="C143" i="44"/>
  <c r="C144" i="44"/>
  <c r="D71" i="48" s="1"/>
  <c r="C145" i="44"/>
  <c r="C146" i="44"/>
  <c r="D74" i="48" s="1"/>
  <c r="C147" i="44"/>
  <c r="D75" i="48" s="1"/>
  <c r="C148" i="44"/>
  <c r="D76" i="48" s="1"/>
  <c r="C149" i="44"/>
  <c r="D77" i="48" s="1"/>
  <c r="C150" i="44"/>
  <c r="D81" i="48" s="1"/>
  <c r="C151" i="44"/>
  <c r="C152" i="44"/>
  <c r="D79" i="48" s="1"/>
  <c r="C153" i="44"/>
  <c r="D80" i="48" s="1"/>
  <c r="E72" i="48"/>
  <c r="D165" i="44"/>
  <c r="E138" i="48"/>
  <c r="E111" i="48"/>
  <c r="E104" i="48"/>
  <c r="E131" i="48"/>
  <c r="F129" i="48"/>
  <c r="F102" i="48"/>
  <c r="F119" i="48" s="1"/>
  <c r="C140" i="44"/>
  <c r="D154" i="44"/>
  <c r="E82" i="48" s="1"/>
  <c r="D157" i="44"/>
  <c r="D156" i="44"/>
  <c r="B142" i="44"/>
  <c r="F91" i="48" l="1"/>
  <c r="F92" i="48" s="1"/>
  <c r="G121" i="48"/>
  <c r="G122" i="48" s="1"/>
  <c r="F118" i="48"/>
  <c r="F121" i="48" s="1"/>
  <c r="F122" i="48" s="1"/>
  <c r="F146" i="48"/>
  <c r="E89" i="48"/>
  <c r="E135" i="48"/>
  <c r="E100" i="48"/>
  <c r="D78" i="48"/>
  <c r="D108" i="48" s="1"/>
  <c r="D70" i="48"/>
  <c r="D100" i="48" s="1"/>
  <c r="D159" i="44"/>
  <c r="D166" i="44"/>
  <c r="D158" i="44"/>
  <c r="D167" i="44"/>
  <c r="D98" i="48"/>
  <c r="D68" i="48"/>
  <c r="D125" i="48"/>
  <c r="D104" i="48"/>
  <c r="D131" i="48"/>
  <c r="D137" i="48"/>
  <c r="D110" i="48"/>
  <c r="D134" i="48"/>
  <c r="D107" i="48"/>
  <c r="D72" i="48"/>
  <c r="C165" i="44"/>
  <c r="E139" i="48"/>
  <c r="E112" i="48"/>
  <c r="D136" i="48"/>
  <c r="D109" i="48"/>
  <c r="D133" i="48"/>
  <c r="D106" i="48"/>
  <c r="D101" i="48"/>
  <c r="D128" i="48"/>
  <c r="D138" i="48"/>
  <c r="D111" i="48"/>
  <c r="D69" i="48"/>
  <c r="C164" i="44"/>
  <c r="E88" i="48"/>
  <c r="E91" i="48" s="1"/>
  <c r="E92" i="48" s="1"/>
  <c r="E99" i="48"/>
  <c r="E126" i="48"/>
  <c r="B149" i="44"/>
  <c r="C77" i="48" s="1"/>
  <c r="B150" i="44"/>
  <c r="C81" i="48" s="1"/>
  <c r="B151" i="44"/>
  <c r="B152" i="44"/>
  <c r="C79" i="48" s="1"/>
  <c r="B153" i="44"/>
  <c r="C80" i="48" s="1"/>
  <c r="B143" i="44"/>
  <c r="B144" i="44"/>
  <c r="C71" i="48" s="1"/>
  <c r="B145" i="44"/>
  <c r="B146" i="44"/>
  <c r="C74" i="48" s="1"/>
  <c r="B147" i="44"/>
  <c r="C75" i="48" s="1"/>
  <c r="B148" i="44"/>
  <c r="C76" i="48" s="1"/>
  <c r="E102" i="48"/>
  <c r="E119" i="48" s="1"/>
  <c r="E129" i="48"/>
  <c r="D132" i="48"/>
  <c r="D105" i="48"/>
  <c r="F145" i="48"/>
  <c r="B140" i="44"/>
  <c r="C154" i="44"/>
  <c r="D82" i="48" s="1"/>
  <c r="C156" i="44"/>
  <c r="C157" i="44"/>
  <c r="F148" i="48" l="1"/>
  <c r="F149" i="48" s="1"/>
  <c r="D135" i="48"/>
  <c r="D127" i="48"/>
  <c r="E146" i="48"/>
  <c r="D89" i="48"/>
  <c r="C166" i="44"/>
  <c r="C159" i="44"/>
  <c r="C158" i="44"/>
  <c r="C78" i="48"/>
  <c r="C135" i="48" s="1"/>
  <c r="C167" i="44"/>
  <c r="C70" i="48"/>
  <c r="C100" i="48" s="1"/>
  <c r="B164" i="44"/>
  <c r="C98" i="48"/>
  <c r="C68" i="48"/>
  <c r="C125" i="48"/>
  <c r="E145" i="48"/>
  <c r="E148" i="48" s="1"/>
  <c r="E149" i="48" s="1"/>
  <c r="C69" i="48"/>
  <c r="C138" i="48"/>
  <c r="C111" i="48"/>
  <c r="E118" i="48"/>
  <c r="E121" i="48" s="1"/>
  <c r="E122" i="48" s="1"/>
  <c r="C131" i="48"/>
  <c r="C104" i="48"/>
  <c r="D139" i="48"/>
  <c r="D112" i="48"/>
  <c r="C72" i="48"/>
  <c r="B165" i="44"/>
  <c r="C137" i="48"/>
  <c r="C110" i="48"/>
  <c r="C134" i="48"/>
  <c r="C107" i="48"/>
  <c r="D99" i="48"/>
  <c r="D126" i="48"/>
  <c r="D88" i="48"/>
  <c r="C105" i="48"/>
  <c r="C132" i="48"/>
  <c r="C106" i="48"/>
  <c r="C133" i="48"/>
  <c r="C128" i="48"/>
  <c r="C101" i="48"/>
  <c r="C136" i="48"/>
  <c r="C109" i="48"/>
  <c r="D102" i="48"/>
  <c r="D119" i="48" s="1"/>
  <c r="D129" i="48"/>
  <c r="B157" i="44"/>
  <c r="B156" i="44"/>
  <c r="B154" i="44"/>
  <c r="B158" i="44" s="1"/>
  <c r="D146" i="48" l="1"/>
  <c r="D91" i="48"/>
  <c r="D92" i="48" s="1"/>
  <c r="D118" i="48"/>
  <c r="D121" i="48" s="1"/>
  <c r="D122" i="48" s="1"/>
  <c r="C108" i="48"/>
  <c r="C127" i="48"/>
  <c r="C82" i="48"/>
  <c r="C112" i="48" s="1"/>
  <c r="O158" i="44"/>
  <c r="B166" i="44"/>
  <c r="C89" i="48"/>
  <c r="B159" i="44"/>
  <c r="B167" i="44"/>
  <c r="C102" i="48"/>
  <c r="C129" i="48"/>
  <c r="C99" i="48"/>
  <c r="C126" i="48"/>
  <c r="C88" i="48"/>
  <c r="D145" i="48"/>
  <c r="D148" i="48" s="1"/>
  <c r="D149" i="48" s="1"/>
  <c r="H91" i="44"/>
  <c r="G92" i="44"/>
  <c r="A92" i="44"/>
  <c r="E92" i="44" s="1"/>
  <c r="B51" i="44"/>
  <c r="B52" i="44"/>
  <c r="B53" i="44"/>
  <c r="B54" i="44"/>
  <c r="B55" i="44"/>
  <c r="B56" i="44"/>
  <c r="B57" i="44"/>
  <c r="B58" i="44"/>
  <c r="B59" i="44"/>
  <c r="B60" i="44"/>
  <c r="B61" i="44"/>
  <c r="C9" i="48"/>
  <c r="H15" i="6"/>
  <c r="E3" i="40"/>
  <c r="C91" i="48" l="1"/>
  <c r="C92" i="48" s="1"/>
  <c r="C118" i="48"/>
  <c r="C139" i="48"/>
  <c r="C119" i="48"/>
  <c r="C146" i="48"/>
  <c r="C32" i="48"/>
  <c r="C25" i="48"/>
  <c r="D3" i="57"/>
  <c r="E3" i="58"/>
  <c r="H22" i="6"/>
  <c r="J15" i="6"/>
  <c r="F15" i="6"/>
  <c r="J22" i="6"/>
  <c r="F22" i="6"/>
  <c r="C10" i="48"/>
  <c r="C13" i="48"/>
  <c r="C16" i="48"/>
  <c r="C12" i="48"/>
  <c r="C8" i="48"/>
  <c r="C14" i="48"/>
  <c r="C6" i="48"/>
  <c r="C15" i="48"/>
  <c r="C11" i="48"/>
  <c r="C7" i="48"/>
  <c r="C29" i="48"/>
  <c r="C28" i="48"/>
  <c r="C24" i="48"/>
  <c r="C31" i="48"/>
  <c r="C27" i="48"/>
  <c r="C23" i="48"/>
  <c r="C145" i="48"/>
  <c r="C21" i="48"/>
  <c r="C30" i="48"/>
  <c r="C26" i="48"/>
  <c r="C22" i="48"/>
  <c r="D3" i="21"/>
  <c r="E3" i="29"/>
  <c r="K3" i="6"/>
  <c r="F7" i="6" s="1"/>
  <c r="G8" i="6" s="1"/>
  <c r="B109" i="44"/>
  <c r="H109" i="44"/>
  <c r="B110" i="44"/>
  <c r="H110" i="44"/>
  <c r="H106" i="44"/>
  <c r="B62" i="44"/>
  <c r="C50" i="44" s="1"/>
  <c r="E3" i="13"/>
  <c r="I3" i="15"/>
  <c r="E3" i="23"/>
  <c r="E3" i="30"/>
  <c r="G3" i="11"/>
  <c r="E3" i="31"/>
  <c r="E3" i="10"/>
  <c r="E3" i="14"/>
  <c r="C148" i="48" l="1"/>
  <c r="C149" i="48" s="1"/>
  <c r="C121" i="48"/>
  <c r="C122" i="48" s="1"/>
  <c r="C55" i="44"/>
  <c r="C54" i="44"/>
  <c r="C56" i="44"/>
  <c r="C61" i="44"/>
  <c r="C51" i="44"/>
  <c r="C60" i="44"/>
  <c r="C59" i="44"/>
  <c r="C53" i="44"/>
  <c r="C58" i="44"/>
  <c r="C52" i="44"/>
  <c r="C57" i="44"/>
  <c r="C17" i="48"/>
  <c r="C33" i="48"/>
  <c r="D24" i="48" s="1"/>
  <c r="D5" i="48" l="1"/>
  <c r="D9" i="48"/>
  <c r="D6" i="48"/>
  <c r="D14" i="48"/>
  <c r="D16" i="48"/>
  <c r="D15" i="48"/>
  <c r="D12" i="48"/>
  <c r="D7" i="48"/>
  <c r="D8" i="48"/>
  <c r="D13" i="48"/>
  <c r="D10" i="48"/>
  <c r="D11" i="48"/>
  <c r="D22" i="48"/>
  <c r="D31" i="48"/>
  <c r="D28" i="48"/>
  <c r="D29" i="48"/>
  <c r="D21" i="48"/>
  <c r="D26" i="48"/>
  <c r="D32" i="48"/>
  <c r="D25" i="48"/>
  <c r="D27" i="48"/>
  <c r="D23" i="48"/>
  <c r="D30" i="48"/>
  <c r="F50" i="44"/>
  <c r="F51" i="44"/>
  <c r="G6" i="48" l="1"/>
  <c r="G22" i="48"/>
  <c r="G21" i="48"/>
  <c r="C45" i="44"/>
  <c r="C62" i="44"/>
  <c r="D17" i="48" l="1"/>
  <c r="G5" i="48"/>
  <c r="D33" i="48"/>
  <c r="C20" i="6"/>
  <c r="K8" i="6" l="1"/>
  <c r="I8" i="6"/>
  <c r="E21" i="40" l="1"/>
  <c r="E20" i="40"/>
  <c r="E17" i="40"/>
  <c r="E16" i="40"/>
  <c r="E15" i="40"/>
  <c r="E14" i="40"/>
  <c r="E13" i="40"/>
  <c r="E12" i="40"/>
  <c r="E11" i="40"/>
  <c r="E10" i="40"/>
  <c r="E9" i="40"/>
  <c r="N64" i="21" l="1"/>
  <c r="O64" i="21"/>
</calcChain>
</file>

<file path=xl/sharedStrings.xml><?xml version="1.0" encoding="utf-8"?>
<sst xmlns="http://schemas.openxmlformats.org/spreadsheetml/2006/main" count="2753" uniqueCount="639">
  <si>
    <t>GWh</t>
  </si>
  <si>
    <t>Boletín mensual</t>
  </si>
  <si>
    <t>Hidráulica</t>
  </si>
  <si>
    <t>Nuclear</t>
  </si>
  <si>
    <t>Carbón</t>
  </si>
  <si>
    <t>Eólica</t>
  </si>
  <si>
    <t>Solar fotovoltaica</t>
  </si>
  <si>
    <t>Solar térmica</t>
  </si>
  <si>
    <t>Otras renovables</t>
  </si>
  <si>
    <t>Cogeneración</t>
  </si>
  <si>
    <t>Generación</t>
  </si>
  <si>
    <t>Ciclo combinado</t>
  </si>
  <si>
    <t>Consumos en bombeo</t>
  </si>
  <si>
    <t>Demanda (b.c.)</t>
  </si>
  <si>
    <t>%</t>
  </si>
  <si>
    <t>Total</t>
  </si>
  <si>
    <t>No renovables</t>
  </si>
  <si>
    <t>Renovables</t>
  </si>
  <si>
    <t>-</t>
  </si>
  <si>
    <t>Sin emisiones CO2 (GWh)</t>
  </si>
  <si>
    <t>Con emisiones CO2 (GWh)</t>
  </si>
  <si>
    <t>Máximo</t>
  </si>
  <si>
    <t>Generación eólica (GWh)</t>
  </si>
  <si>
    <t>Generación eólica/Generación (%)</t>
  </si>
  <si>
    <t>Generación eólica diaria peninsular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</si>
  <si>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</si>
  <si>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</si>
  <si>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</si>
  <si>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</si>
  <si>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</si>
  <si>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</si>
  <si>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</si>
  <si>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</si>
  <si>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</si>
  <si>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</si>
  <si>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</si>
  <si>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</si>
  <si>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</si>
  <si>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</si>
  <si>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</si>
  <si>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</si>
  <si>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</si>
  <si>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</si>
  <si>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</si>
  <si>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</si>
  <si>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</si>
  <si>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</si>
  <si>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</si>
  <si>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</si>
  <si>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</si>
  <si>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</si>
  <si>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</si>
  <si>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</si>
  <si>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</si>
  <si>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</si>
  <si>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 xml:space="preserve">Evolución de la generación renovable peninsular </t>
  </si>
  <si>
    <t>Estructura de potencia instalada mensual peninsular</t>
  </si>
  <si>
    <t>MW</t>
  </si>
  <si>
    <t>Estructura de potencia instalada peninsular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</si>
  <si>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</si>
  <si>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</si>
  <si>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</si>
  <si>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</si>
  <si>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</si>
  <si>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</si>
  <si>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</si>
  <si>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</si>
  <si>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t>Producción</t>
  </si>
  <si>
    <t>Media estadística (GWh)</t>
  </si>
  <si>
    <t>Residuos renovables</t>
  </si>
  <si>
    <t>Residuos no renovables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</si>
  <si>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</si>
  <si>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</si>
  <si>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t xml:space="preserve">Estructura de generación diaria del día de máxima generación de energía renovable peninsular
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</si>
  <si>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</si>
  <si>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</si>
  <si>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</si>
  <si>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</si>
  <si>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</si>
  <si>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</si>
  <si>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Potencia</t>
  </si>
  <si>
    <t>Turbinación bombeo</t>
  </si>
  <si>
    <t xml:space="preserve">Residuos renovables </t>
  </si>
  <si>
    <t>Nota: Todos los porcentajes de variación están refereridos al mismo período del año anterior.</t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</si>
  <si>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</si>
  <si>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</si>
  <si>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F</t>
  </si>
  <si>
    <t>M</t>
  </si>
  <si>
    <t>A</t>
  </si>
  <si>
    <t>J</t>
  </si>
  <si>
    <t>S</t>
  </si>
  <si>
    <t>O</t>
  </si>
  <si>
    <t>N</t>
  </si>
  <si>
    <t>D</t>
  </si>
  <si>
    <t>E</t>
  </si>
  <si>
    <t>Fuel+Gas</t>
  </si>
  <si>
    <t>Total generación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</si>
  <si>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</si>
  <si>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</si>
  <si>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</si>
  <si>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</si>
  <si>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</si>
  <si>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</si>
  <si>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</si>
  <si>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</si>
  <si>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Sistema Eléctrico</t>
  </si>
  <si>
    <t>Indicadores</t>
  </si>
  <si>
    <t>Balance</t>
  </si>
  <si>
    <t>Último día mes</t>
  </si>
  <si>
    <t>Demanda B.C. (GWh)</t>
  </si>
  <si>
    <t>Balance Máx.Renov.Mes</t>
  </si>
  <si>
    <t>Balance Máx.Renov.Histórico</t>
  </si>
  <si>
    <t>Últimos 13 meses</t>
  </si>
  <si>
    <t>Sin emisiones CO2 (%)</t>
  </si>
  <si>
    <t>Con emisiones CO2 (%)</t>
  </si>
  <si>
    <t>Renovables (GWh)</t>
  </si>
  <si>
    <t>No renovables (GWh)</t>
  </si>
  <si>
    <t>Renovables (%)</t>
  </si>
  <si>
    <t>No renovables (%)</t>
  </si>
  <si>
    <t>Demanda B.C. (MWh)</t>
  </si>
  <si>
    <t>Hora</t>
  </si>
  <si>
    <t>Demanda B.C. Horaria (GWh)</t>
  </si>
  <si>
    <t>20/03/2018</t>
  </si>
  <si>
    <t>Consumo de bombeo</t>
  </si>
  <si>
    <t>Saldos intercambios internacionales</t>
  </si>
  <si>
    <t>Demanda transporte (b.c.)</t>
  </si>
  <si>
    <t>Agosto 2018</t>
  </si>
  <si>
    <t>Generación eólica / total generación (%)</t>
  </si>
  <si>
    <t>Calculadas pdte BDE</t>
  </si>
  <si>
    <t>Sin emisiones CO2: hidráulica, turbinación bombeo, nuclear, eólica, solar fotovoltaica, solar térmica, otras renovables y residuos renovables.</t>
  </si>
  <si>
    <t>Con emisiones CO2: carbón, fuel/gas, ciclo combinado, cogeneración y residuos no renovables.</t>
  </si>
  <si>
    <t>Estructura de generacion mensual de energía eléctrica peninsular 20/03/2018</t>
  </si>
  <si>
    <t>Fuel-Gas</t>
  </si>
  <si>
    <t>Ciclo Combinado</t>
  </si>
  <si>
    <t>Solar Fotovoltaica</t>
  </si>
  <si>
    <t>Solar Térmica</t>
  </si>
  <si>
    <t>Residuos No Renovables</t>
  </si>
  <si>
    <t>Residuos Renovables</t>
  </si>
  <si>
    <t>Otras Renovables</t>
  </si>
  <si>
    <t>Generación Neta</t>
  </si>
  <si>
    <t>Consumos Bombeo</t>
  </si>
  <si>
    <t>E. Peninsula Baleares</t>
  </si>
  <si>
    <t>Saldo Interc. Internacionales</t>
  </si>
  <si>
    <t>Demanda Transporte</t>
  </si>
  <si>
    <t>Evolución de la generación sin/con emisiones de CO2 peninsular</t>
  </si>
  <si>
    <t xml:space="preserve">Evolución de la generación renovable y no renovable peninsular </t>
  </si>
  <si>
    <t>Fecha</t>
  </si>
  <si>
    <t>Dia</t>
  </si>
  <si>
    <t>Maximo</t>
  </si>
  <si>
    <t>Generación horaria el día de máxima generación de energía eólica peninsular</t>
  </si>
  <si>
    <t>2017 Agosto</t>
  </si>
  <si>
    <t>Día 01/08/2017</t>
  </si>
  <si>
    <t>Día 02/08/2017</t>
  </si>
  <si>
    <t>Día 03/08/2017</t>
  </si>
  <si>
    <t>Día 04/08/2017</t>
  </si>
  <si>
    <t>Día 05/08/2017</t>
  </si>
  <si>
    <t>Día 06/08/2017</t>
  </si>
  <si>
    <t>Día 07/08/2017</t>
  </si>
  <si>
    <t>Día 08/08/2017</t>
  </si>
  <si>
    <t>Día 09/08/2017</t>
  </si>
  <si>
    <t>Día 10/08/2017</t>
  </si>
  <si>
    <t>Día 11/08/2017</t>
  </si>
  <si>
    <t>Día 12/08/2017</t>
  </si>
  <si>
    <t>Día 13/08/2017</t>
  </si>
  <si>
    <t>Día 14/08/2017</t>
  </si>
  <si>
    <t>Día 15/08/2017</t>
  </si>
  <si>
    <t>Día 16/08/2017</t>
  </si>
  <si>
    <t>Día 17/08/2017</t>
  </si>
  <si>
    <t>Día 18/08/2017</t>
  </si>
  <si>
    <t>Día 19/08/2017</t>
  </si>
  <si>
    <t>Día 20/08/2017</t>
  </si>
  <si>
    <t>Día 21/08/2017</t>
  </si>
  <si>
    <t>Día 22/08/2017</t>
  </si>
  <si>
    <t>Día 23/08/2017</t>
  </si>
  <si>
    <t>Día 24/08/2017</t>
  </si>
  <si>
    <t>Día 25/08/2017</t>
  </si>
  <si>
    <t>Día 26/08/2017</t>
  </si>
  <si>
    <t>Día 27/08/2017</t>
  </si>
  <si>
    <t>Día 28/08/2017</t>
  </si>
  <si>
    <t>Día 29/08/2017</t>
  </si>
  <si>
    <t>Día 30/08/2017</t>
  </si>
  <si>
    <t>Día 31/08/2017</t>
  </si>
  <si>
    <t>2017 Septiembre</t>
  </si>
  <si>
    <t>Día 01/09/2017</t>
  </si>
  <si>
    <t>Día 02/09/2017</t>
  </si>
  <si>
    <t>Día 03/09/2017</t>
  </si>
  <si>
    <t>Día 04/09/2017</t>
  </si>
  <si>
    <t>Día 05/09/2017</t>
  </si>
  <si>
    <t>Día 06/09/2017</t>
  </si>
  <si>
    <t>Día 07/09/2017</t>
  </si>
  <si>
    <t>Día 08/09/2017</t>
  </si>
  <si>
    <t>Día 09/09/2017</t>
  </si>
  <si>
    <t>Día 10/09/2017</t>
  </si>
  <si>
    <t>Día 11/09/2017</t>
  </si>
  <si>
    <t>Día 12/09/2017</t>
  </si>
  <si>
    <t>Día 13/09/2017</t>
  </si>
  <si>
    <t>Día 14/09/2017</t>
  </si>
  <si>
    <t>Día 15/09/2017</t>
  </si>
  <si>
    <t>Día 16/09/2017</t>
  </si>
  <si>
    <t>Día 17/09/2017</t>
  </si>
  <si>
    <t>Día 18/09/2017</t>
  </si>
  <si>
    <t>Día 19/09/2017</t>
  </si>
  <si>
    <t>Día 20/09/2017</t>
  </si>
  <si>
    <t>Día 21/09/2017</t>
  </si>
  <si>
    <t>Día 22/09/2017</t>
  </si>
  <si>
    <t>Día 23/09/2017</t>
  </si>
  <si>
    <t>Día 24/09/2017</t>
  </si>
  <si>
    <t>Día 25/09/2017</t>
  </si>
  <si>
    <t>Día 26/09/2017</t>
  </si>
  <si>
    <t>Día 27/09/2017</t>
  </si>
  <si>
    <t>Día 28/09/2017</t>
  </si>
  <si>
    <t>Día 29/09/2017</t>
  </si>
  <si>
    <t>Día 30/09/2017</t>
  </si>
  <si>
    <t>2017 Octubre</t>
  </si>
  <si>
    <t>Día 01/10/2017</t>
  </si>
  <si>
    <t>Día 02/10/2017</t>
  </si>
  <si>
    <t>Día 03/10/2017</t>
  </si>
  <si>
    <t>Día 04/10/2017</t>
  </si>
  <si>
    <t>Día 05/10/2017</t>
  </si>
  <si>
    <t>Día 06/10/2017</t>
  </si>
  <si>
    <t>Día 07/10/2017</t>
  </si>
  <si>
    <t>Día 08/10/2017</t>
  </si>
  <si>
    <t>Día 09/10/2017</t>
  </si>
  <si>
    <t>Día 10/10/2017</t>
  </si>
  <si>
    <t>Día 11/10/2017</t>
  </si>
  <si>
    <t>Día 12/10/2017</t>
  </si>
  <si>
    <t>Día 13/10/2017</t>
  </si>
  <si>
    <t>Día 14/10/2017</t>
  </si>
  <si>
    <t>Día 15/10/2017</t>
  </si>
  <si>
    <t>Día 16/10/2017</t>
  </si>
  <si>
    <t>Día 17/10/2017</t>
  </si>
  <si>
    <t>Día 18/10/2017</t>
  </si>
  <si>
    <t>Día 19/10/2017</t>
  </si>
  <si>
    <t>Día 20/10/2017</t>
  </si>
  <si>
    <t>Día 21/10/2017</t>
  </si>
  <si>
    <t>Día 22/10/2017</t>
  </si>
  <si>
    <t>Día 23/10/2017</t>
  </si>
  <si>
    <t>Día 24/10/2017</t>
  </si>
  <si>
    <t>Día 25/10/2017</t>
  </si>
  <si>
    <t>Día 26/10/2017</t>
  </si>
  <si>
    <t>Día 27/10/2017</t>
  </si>
  <si>
    <t>Día 28/10/2017</t>
  </si>
  <si>
    <t>Día 29/10/2017</t>
  </si>
  <si>
    <t>Día 30/10/2017</t>
  </si>
  <si>
    <t>Día 31/10/2017</t>
  </si>
  <si>
    <t>2017 Noviembre</t>
  </si>
  <si>
    <t>Día 01/11/2017</t>
  </si>
  <si>
    <t>Día 02/11/2017</t>
  </si>
  <si>
    <t>Día 03/11/2017</t>
  </si>
  <si>
    <t>Día 04/11/2017</t>
  </si>
  <si>
    <t>Día 05/11/2017</t>
  </si>
  <si>
    <t>Día 06/11/2017</t>
  </si>
  <si>
    <t>Día 07/11/2017</t>
  </si>
  <si>
    <t>Día 08/11/2017</t>
  </si>
  <si>
    <t>Día 09/11/2017</t>
  </si>
  <si>
    <t>Día 10/11/2017</t>
  </si>
  <si>
    <t>Día 11/11/2017</t>
  </si>
  <si>
    <t>Día 12/11/2017</t>
  </si>
  <si>
    <t>Día 13/11/2017</t>
  </si>
  <si>
    <t>Día 14/11/2017</t>
  </si>
  <si>
    <t>Día 15/11/2017</t>
  </si>
  <si>
    <t>Día 16/11/2017</t>
  </si>
  <si>
    <t>Día 17/11/2017</t>
  </si>
  <si>
    <t>Día 18/11/2017</t>
  </si>
  <si>
    <t>Día 19/11/2017</t>
  </si>
  <si>
    <t>Día 20/11/2017</t>
  </si>
  <si>
    <t>Día 21/11/2017</t>
  </si>
  <si>
    <t>Día 22/11/2017</t>
  </si>
  <si>
    <t>Día 23/11/2017</t>
  </si>
  <si>
    <t>Día 24/11/2017</t>
  </si>
  <si>
    <t>Día 25/11/2017</t>
  </si>
  <si>
    <t>Día 26/11/2017</t>
  </si>
  <si>
    <t>Día 27/11/2017</t>
  </si>
  <si>
    <t>Día 28/11/2017</t>
  </si>
  <si>
    <t>Día 29/11/2017</t>
  </si>
  <si>
    <t>Día 30/11/2017</t>
  </si>
  <si>
    <t>2017 Diciembre</t>
  </si>
  <si>
    <t>Día 01/12/2017</t>
  </si>
  <si>
    <t>Día 02/12/2017</t>
  </si>
  <si>
    <t>Día 03/12/2017</t>
  </si>
  <si>
    <t>Día 04/12/2017</t>
  </si>
  <si>
    <t>Día 05/12/2017</t>
  </si>
  <si>
    <t>Día 06/12/2017</t>
  </si>
  <si>
    <t>Día 07/12/2017</t>
  </si>
  <si>
    <t>Día 08/12/2017</t>
  </si>
  <si>
    <t>Día 09/12/2017</t>
  </si>
  <si>
    <t>Día 10/12/2017</t>
  </si>
  <si>
    <t>Día 11/12/2017</t>
  </si>
  <si>
    <t>Día 12/12/2017</t>
  </si>
  <si>
    <t>Día 13/12/2017</t>
  </si>
  <si>
    <t>Día 14/12/2017</t>
  </si>
  <si>
    <t>Día 15/12/2017</t>
  </si>
  <si>
    <t>Día 16/12/2017</t>
  </si>
  <si>
    <t>Día 17/12/2017</t>
  </si>
  <si>
    <t>Día 18/12/2017</t>
  </si>
  <si>
    <t>Día 19/12/2017</t>
  </si>
  <si>
    <t>Día 20/12/2017</t>
  </si>
  <si>
    <t>Día 21/12/2017</t>
  </si>
  <si>
    <t>Día 22/12/2017</t>
  </si>
  <si>
    <t>Día 23/12/2017</t>
  </si>
  <si>
    <t>Día 24/12/2017</t>
  </si>
  <si>
    <t>Día 25/12/2017</t>
  </si>
  <si>
    <t>Día 26/12/2017</t>
  </si>
  <si>
    <t>Día 27/12/2017</t>
  </si>
  <si>
    <t>Día 28/12/2017</t>
  </si>
  <si>
    <t>Día 29/12/2017</t>
  </si>
  <si>
    <t>Día 30/12/2017</t>
  </si>
  <si>
    <t>Día 31/12/2017</t>
  </si>
  <si>
    <t>2018 Enero</t>
  </si>
  <si>
    <t>Día 01/01/2018</t>
  </si>
  <si>
    <t>Día 02/01/2018</t>
  </si>
  <si>
    <t>Día 03/01/2018</t>
  </si>
  <si>
    <t>Día 04/01/2018</t>
  </si>
  <si>
    <t>Día 05/01/2018</t>
  </si>
  <si>
    <t>Día 06/01/2018</t>
  </si>
  <si>
    <t>Día 07/01/2018</t>
  </si>
  <si>
    <t>Día 08/01/2018</t>
  </si>
  <si>
    <t>Día 09/01/2018</t>
  </si>
  <si>
    <t>Día 10/01/2018</t>
  </si>
  <si>
    <t>Día 11/01/2018</t>
  </si>
  <si>
    <t>Día 12/01/2018</t>
  </si>
  <si>
    <t>Día 13/01/2018</t>
  </si>
  <si>
    <t>Día 14/01/2018</t>
  </si>
  <si>
    <t>Día 15/01/2018</t>
  </si>
  <si>
    <t>Día 16/01/2018</t>
  </si>
  <si>
    <t>Día 17/01/2018</t>
  </si>
  <si>
    <t>Día 18/01/2018</t>
  </si>
  <si>
    <t>Día 19/01/2018</t>
  </si>
  <si>
    <t>Día 20/01/2018</t>
  </si>
  <si>
    <t>Día 21/01/2018</t>
  </si>
  <si>
    <t>Día 22/01/2018</t>
  </si>
  <si>
    <t>Día 23/01/2018</t>
  </si>
  <si>
    <t>Día 24/01/2018</t>
  </si>
  <si>
    <t>Día 25/01/2018</t>
  </si>
  <si>
    <t>Día 26/01/2018</t>
  </si>
  <si>
    <t>Día 27/01/2018</t>
  </si>
  <si>
    <t>Día 28/01/2018</t>
  </si>
  <si>
    <t>Día 29/01/2018</t>
  </si>
  <si>
    <t>Día 30/01/2018</t>
  </si>
  <si>
    <t>Día 31/01/2018</t>
  </si>
  <si>
    <t>2018 Febrero</t>
  </si>
  <si>
    <t>Día 01/02/2018</t>
  </si>
  <si>
    <t>Día 02/02/2018</t>
  </si>
  <si>
    <t>Día 03/02/2018</t>
  </si>
  <si>
    <t>Día 04/02/2018</t>
  </si>
  <si>
    <t>Día 05/02/2018</t>
  </si>
  <si>
    <t>Día 06/02/2018</t>
  </si>
  <si>
    <t>Día 07/02/2018</t>
  </si>
  <si>
    <t>Día 08/02/2018</t>
  </si>
  <si>
    <t>Día 09/02/2018</t>
  </si>
  <si>
    <t>Día 10/02/2018</t>
  </si>
  <si>
    <t>Día 11/02/2018</t>
  </si>
  <si>
    <t>Día 12/02/2018</t>
  </si>
  <si>
    <t>Día 13/02/2018</t>
  </si>
  <si>
    <t>Día 14/02/2018</t>
  </si>
  <si>
    <t>Día 15/02/2018</t>
  </si>
  <si>
    <t>Día 16/02/2018</t>
  </si>
  <si>
    <t>Día 17/02/2018</t>
  </si>
  <si>
    <t>Día 18/02/2018</t>
  </si>
  <si>
    <t>Día 19/02/2018</t>
  </si>
  <si>
    <t>Día 20/02/2018</t>
  </si>
  <si>
    <t>Día 21/02/2018</t>
  </si>
  <si>
    <t>Día 22/02/2018</t>
  </si>
  <si>
    <t>Día 23/02/2018</t>
  </si>
  <si>
    <t>Día 24/02/2018</t>
  </si>
  <si>
    <t>Día 25/02/2018</t>
  </si>
  <si>
    <t>Día 26/02/2018</t>
  </si>
  <si>
    <t>Día 27/02/2018</t>
  </si>
  <si>
    <t>Día 28/02/2018</t>
  </si>
  <si>
    <t>2018 Marzo</t>
  </si>
  <si>
    <t>Día 01/03/2018</t>
  </si>
  <si>
    <t>Día 02/03/2018</t>
  </si>
  <si>
    <t>Día 03/03/2018</t>
  </si>
  <si>
    <t>Día 04/03/2018</t>
  </si>
  <si>
    <t>Día 05/03/2018</t>
  </si>
  <si>
    <t>Día 06/03/2018</t>
  </si>
  <si>
    <t>Día 07/03/2018</t>
  </si>
  <si>
    <t>Día 08/03/2018</t>
  </si>
  <si>
    <t>Día 09/03/2018</t>
  </si>
  <si>
    <t>Día 10/03/2018</t>
  </si>
  <si>
    <t>Día 11/03/2018</t>
  </si>
  <si>
    <t>Día 12/03/2018</t>
  </si>
  <si>
    <t>Día 13/03/2018</t>
  </si>
  <si>
    <t>Día 14/03/2018</t>
  </si>
  <si>
    <t>Día 15/03/2018</t>
  </si>
  <si>
    <t>Día 16/03/2018</t>
  </si>
  <si>
    <t>Día 17/03/2018</t>
  </si>
  <si>
    <t>Día 18/03/2018</t>
  </si>
  <si>
    <t>Día 19/03/2018</t>
  </si>
  <si>
    <t>Día 20/03/2018</t>
  </si>
  <si>
    <t>Día 21/03/2018</t>
  </si>
  <si>
    <t>Día 22/03/2018</t>
  </si>
  <si>
    <t>Día 23/03/2018</t>
  </si>
  <si>
    <t>Día 24/03/2018</t>
  </si>
  <si>
    <t>Día 25/03/2018</t>
  </si>
  <si>
    <t>Día 26/03/2018</t>
  </si>
  <si>
    <t>Día 27/03/2018</t>
  </si>
  <si>
    <t>Día 28/03/2018</t>
  </si>
  <si>
    <t>Día 29/03/2018</t>
  </si>
  <si>
    <t>Día 30/03/2018</t>
  </si>
  <si>
    <t>Día 31/03/2018</t>
  </si>
  <si>
    <t>2018 Abril</t>
  </si>
  <si>
    <t>Día 01/04/2018</t>
  </si>
  <si>
    <t>Día 02/04/2018</t>
  </si>
  <si>
    <t>Día 03/04/2018</t>
  </si>
  <si>
    <t>Día 04/04/2018</t>
  </si>
  <si>
    <t>Día 05/04/2018</t>
  </si>
  <si>
    <t>Día 06/04/2018</t>
  </si>
  <si>
    <t>Día 07/04/2018</t>
  </si>
  <si>
    <t>Día 08/04/2018</t>
  </si>
  <si>
    <t>Día 09/04/2018</t>
  </si>
  <si>
    <t>Día 10/04/2018</t>
  </si>
  <si>
    <t>Día 11/04/2018</t>
  </si>
  <si>
    <t>Día 12/04/2018</t>
  </si>
  <si>
    <t>Día 13/04/2018</t>
  </si>
  <si>
    <t>Día 14/04/2018</t>
  </si>
  <si>
    <t>Día 15/04/2018</t>
  </si>
  <si>
    <t>Día 16/04/2018</t>
  </si>
  <si>
    <t>Día 17/04/2018</t>
  </si>
  <si>
    <t>Día 18/04/2018</t>
  </si>
  <si>
    <t>Día 19/04/2018</t>
  </si>
  <si>
    <t>Día 20/04/2018</t>
  </si>
  <si>
    <t>Día 21/04/2018</t>
  </si>
  <si>
    <t>Día 22/04/2018</t>
  </si>
  <si>
    <t>Día 23/04/2018</t>
  </si>
  <si>
    <t>Día 24/04/2018</t>
  </si>
  <si>
    <t>Día 25/04/2018</t>
  </si>
  <si>
    <t>Día 26/04/2018</t>
  </si>
  <si>
    <t>Día 27/04/2018</t>
  </si>
  <si>
    <t>Día 28/04/2018</t>
  </si>
  <si>
    <t>Día 29/04/2018</t>
  </si>
  <si>
    <t>Día 30/04/2018</t>
  </si>
  <si>
    <t>2018 Mayo</t>
  </si>
  <si>
    <t>Día 01/05/2018</t>
  </si>
  <si>
    <t>Día 02/05/2018</t>
  </si>
  <si>
    <t>Día 03/05/2018</t>
  </si>
  <si>
    <t>Día 04/05/2018</t>
  </si>
  <si>
    <t>Día 05/05/2018</t>
  </si>
  <si>
    <t>Día 06/05/2018</t>
  </si>
  <si>
    <t>Día 07/05/2018</t>
  </si>
  <si>
    <t>Día 08/05/2018</t>
  </si>
  <si>
    <t>Día 09/05/2018</t>
  </si>
  <si>
    <t>Día 10/05/2018</t>
  </si>
  <si>
    <t>Día 11/05/2018</t>
  </si>
  <si>
    <t>Día 12/05/2018</t>
  </si>
  <si>
    <t>Día 13/05/2018</t>
  </si>
  <si>
    <t>Día 14/05/2018</t>
  </si>
  <si>
    <t>Día 15/05/2018</t>
  </si>
  <si>
    <t>Día 16/05/2018</t>
  </si>
  <si>
    <t>Día 17/05/2018</t>
  </si>
  <si>
    <t>Día 18/05/2018</t>
  </si>
  <si>
    <t>Día 19/05/2018</t>
  </si>
  <si>
    <t>Día 20/05/2018</t>
  </si>
  <si>
    <t>Día 21/05/2018</t>
  </si>
  <si>
    <t>Día 22/05/2018</t>
  </si>
  <si>
    <t>Día 23/05/2018</t>
  </si>
  <si>
    <t>Día 24/05/2018</t>
  </si>
  <si>
    <t>Día 25/05/2018</t>
  </si>
  <si>
    <t>Día 26/05/2018</t>
  </si>
  <si>
    <t>Día 27/05/2018</t>
  </si>
  <si>
    <t>Día 28/05/2018</t>
  </si>
  <si>
    <t>Día 29/05/2018</t>
  </si>
  <si>
    <t>Día 30/05/2018</t>
  </si>
  <si>
    <t>Día 31/05/2018</t>
  </si>
  <si>
    <t>2018 Junio</t>
  </si>
  <si>
    <t>Día 01/06/2018</t>
  </si>
  <si>
    <t>Día 02/06/2018</t>
  </si>
  <si>
    <t>Día 03/06/2018</t>
  </si>
  <si>
    <t>Día 04/06/2018</t>
  </si>
  <si>
    <t>Día 05/06/2018</t>
  </si>
  <si>
    <t>Día 06/06/2018</t>
  </si>
  <si>
    <t>Día 07/06/2018</t>
  </si>
  <si>
    <t>Día 08/06/2018</t>
  </si>
  <si>
    <t>Día 09/06/2018</t>
  </si>
  <si>
    <t>Día 10/06/2018</t>
  </si>
  <si>
    <t>Día 11/06/2018</t>
  </si>
  <si>
    <t>Día 12/06/2018</t>
  </si>
  <si>
    <t>Día 13/06/2018</t>
  </si>
  <si>
    <t>Día 14/06/2018</t>
  </si>
  <si>
    <t>Día 15/06/2018</t>
  </si>
  <si>
    <t>Día 16/06/2018</t>
  </si>
  <si>
    <t>Día 17/06/2018</t>
  </si>
  <si>
    <t>Día 18/06/2018</t>
  </si>
  <si>
    <t>Día 19/06/2018</t>
  </si>
  <si>
    <t>Día 20/06/2018</t>
  </si>
  <si>
    <t>Día 21/06/2018</t>
  </si>
  <si>
    <t>Día 22/06/2018</t>
  </si>
  <si>
    <t>Día 23/06/2018</t>
  </si>
  <si>
    <t>Día 24/06/2018</t>
  </si>
  <si>
    <t>Día 25/06/2018</t>
  </si>
  <si>
    <t>Día 26/06/2018</t>
  </si>
  <si>
    <t>Día 27/06/2018</t>
  </si>
  <si>
    <t>Día 28/06/2018</t>
  </si>
  <si>
    <t>Día 29/06/2018</t>
  </si>
  <si>
    <t>Día 30/06/2018</t>
  </si>
  <si>
    <t>2018 Julio</t>
  </si>
  <si>
    <t>Día 01/07/2018</t>
  </si>
  <si>
    <t>Día 02/07/2018</t>
  </si>
  <si>
    <t>Día 03/07/2018</t>
  </si>
  <si>
    <t>Día 04/07/2018</t>
  </si>
  <si>
    <t>Día 05/07/2018</t>
  </si>
  <si>
    <t>Día 06/07/2018</t>
  </si>
  <si>
    <t>Día 07/07/2018</t>
  </si>
  <si>
    <t>Día 08/07/2018</t>
  </si>
  <si>
    <t>Día 09/07/2018</t>
  </si>
  <si>
    <t>Día 10/07/2018</t>
  </si>
  <si>
    <t>Día 11/07/2018</t>
  </si>
  <si>
    <t>Día 12/07/2018</t>
  </si>
  <si>
    <t>Día 13/07/2018</t>
  </si>
  <si>
    <t>Día 14/07/2018</t>
  </si>
  <si>
    <t>Día 15/07/2018</t>
  </si>
  <si>
    <t>Día 16/07/2018</t>
  </si>
  <si>
    <t>Día 17/07/2018</t>
  </si>
  <si>
    <t>Día 18/07/2018</t>
  </si>
  <si>
    <t>Día 19/07/2018</t>
  </si>
  <si>
    <t>Día 20/07/2018</t>
  </si>
  <si>
    <t>Día 21/07/2018</t>
  </si>
  <si>
    <t>Día 22/07/2018</t>
  </si>
  <si>
    <t>Día 23/07/2018</t>
  </si>
  <si>
    <t>Día 24/07/2018</t>
  </si>
  <si>
    <t>Día 25/07/2018</t>
  </si>
  <si>
    <t>Día 26/07/2018</t>
  </si>
  <si>
    <t>Día 27/07/2018</t>
  </si>
  <si>
    <t>Día 28/07/2018</t>
  </si>
  <si>
    <t>Día 29/07/2018</t>
  </si>
  <si>
    <t>Día 30/07/2018</t>
  </si>
  <si>
    <t>Día 31/07/2018</t>
  </si>
  <si>
    <t>Estructura de generacion mensual de energía eléctrica peninsular 18/08/2018</t>
  </si>
  <si>
    <t>2018 Agosto</t>
  </si>
  <si>
    <t>Día 01/08/2018</t>
  </si>
  <si>
    <t>Día 02/08/2018</t>
  </si>
  <si>
    <t>Día 03/08/2018</t>
  </si>
  <si>
    <t>Día 04/08/2018</t>
  </si>
  <si>
    <t>Día 05/08/2018</t>
  </si>
  <si>
    <t>Día 06/08/2018</t>
  </si>
  <si>
    <t>Día 07/08/2018</t>
  </si>
  <si>
    <t>Día 08/08/2018</t>
  </si>
  <si>
    <t>Día 09/08/2018</t>
  </si>
  <si>
    <t>Día 10/08/2018</t>
  </si>
  <si>
    <t>Día 11/08/2018</t>
  </si>
  <si>
    <t>Día 12/08/2018</t>
  </si>
  <si>
    <t>Día 13/08/2018</t>
  </si>
  <si>
    <t>Día 14/08/2018</t>
  </si>
  <si>
    <t>Día 15/08/2018</t>
  </si>
  <si>
    <t>Día 16/08/2018</t>
  </si>
  <si>
    <t>Día 17/08/2018</t>
  </si>
  <si>
    <t>Día 18/08/2018</t>
  </si>
  <si>
    <t>Día 19/08/2018</t>
  </si>
  <si>
    <t>Día 20/08/2018</t>
  </si>
  <si>
    <t>Día 21/08/2018</t>
  </si>
  <si>
    <t>Día 22/08/2018</t>
  </si>
  <si>
    <t>Día 23/08/2018</t>
  </si>
  <si>
    <t>Día 24/08/2018</t>
  </si>
  <si>
    <t>Día 25/08/2018</t>
  </si>
  <si>
    <t>Día 26/08/2018</t>
  </si>
  <si>
    <t>Día 27/08/2018</t>
  </si>
  <si>
    <t>Día 28/08/2018</t>
  </si>
  <si>
    <t>Día 29/08/2018</t>
  </si>
  <si>
    <t>Día 30/08/2018</t>
  </si>
  <si>
    <t>Día 31/08/2018</t>
  </si>
  <si>
    <t>Noviembre 2018</t>
  </si>
  <si>
    <t>Diciembre 2018</t>
  </si>
  <si>
    <t>Enero 2019</t>
  </si>
  <si>
    <t>Febrero 2019</t>
  </si>
  <si>
    <t>Marzo 2019</t>
  </si>
  <si>
    <t/>
  </si>
  <si>
    <t>Abril 2019</t>
  </si>
  <si>
    <t>Mayo 2019</t>
  </si>
  <si>
    <t xml:space="preserve">  </t>
  </si>
  <si>
    <t>Generación renovable</t>
  </si>
  <si>
    <t>Generación no renovable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</si>
  <si>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</si>
  <si>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</si>
  <si>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</si>
  <si>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</si>
  <si>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(5)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</si>
  <si>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funcionamiento en ciclo abierto</t>
    </r>
  </si>
  <si>
    <t>Año anterior (MWh)</t>
  </si>
  <si>
    <t>HUI</t>
  </si>
  <si>
    <t>HUN</t>
  </si>
  <si>
    <t>GAS</t>
  </si>
  <si>
    <t>GFP</t>
  </si>
  <si>
    <t>GSN</t>
  </si>
  <si>
    <t>SPI</t>
  </si>
  <si>
    <t>MIN</t>
  </si>
  <si>
    <t>RSU</t>
  </si>
  <si>
    <t>RSVN</t>
  </si>
  <si>
    <t>Emisiones CO2 balance</t>
  </si>
  <si>
    <t>Combustible Desglose Evolución UP</t>
  </si>
  <si>
    <t>Junio 2019</t>
  </si>
  <si>
    <t>Mes Año anterior (MWh)</t>
  </si>
  <si>
    <t>Año móvil Año anterior (MWh)</t>
  </si>
  <si>
    <r>
      <t>Sin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>: hidráulica, turbinación bombeo, nuclear, eólica, solar fotovoltaica, solar térmica, otras renovables y residuos renovables.</t>
    </r>
  </si>
  <si>
    <r>
      <t>Sin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 xml:space="preserve"> (GWh)</t>
    </r>
  </si>
  <si>
    <r>
      <t>Con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 xml:space="preserve"> (GWh)</t>
    </r>
  </si>
  <si>
    <r>
      <t>Con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>: carbón, fuel/gas, ciclo combinado, cogeneración y residuos no renovables.</t>
    </r>
  </si>
  <si>
    <t>Julio 2019</t>
  </si>
  <si>
    <t>Potencia UFI (MW)</t>
  </si>
  <si>
    <t>Agosto 2019</t>
  </si>
  <si>
    <t>FUE</t>
  </si>
  <si>
    <t>Septiembre 2019</t>
  </si>
  <si>
    <t>Octubre 2019</t>
  </si>
  <si>
    <t>Noviembre 2019</t>
  </si>
  <si>
    <t>Domingo 03/11/2019 (05:20 h)</t>
  </si>
  <si>
    <t>Diciembre 2019</t>
  </si>
  <si>
    <t>Jueves 12/12/2019 (16:21 h)</t>
  </si>
  <si>
    <t>Producible Eólico Diario (GWh)</t>
  </si>
  <si>
    <t>Producible Eólico Medio 10 dia (GWh)</t>
  </si>
  <si>
    <t>Enero 2020</t>
  </si>
  <si>
    <t>Febrero 2020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</si>
  <si>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</si>
  <si>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Marzo 2020</t>
  </si>
  <si>
    <t>Emisión (tCO2 eq.)</t>
  </si>
  <si>
    <t>Energía producible eólica comparada con el producible eólico medio histórico</t>
  </si>
  <si>
    <r>
      <t>Evolución de las emisiones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equivalente y peso de la generación libre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</si>
  <si>
    <t>Abril 2020</t>
  </si>
  <si>
    <t>Mayo 2020</t>
  </si>
  <si>
    <t>Junio 2020</t>
  </si>
  <si>
    <t>Julio 2020</t>
  </si>
  <si>
    <t>Agosto 2020</t>
  </si>
  <si>
    <t>Septiembre 2020</t>
  </si>
  <si>
    <t>TERN</t>
  </si>
  <si>
    <t>Octubre 2020</t>
  </si>
  <si>
    <t>Noviembre 2020</t>
  </si>
  <si>
    <t>30/11/2020</t>
  </si>
  <si>
    <t>&lt;mi app="e" ver="22"&gt;&lt;rptloc guid="8eda295ca0c44ed4b2c2697f05f1f12f"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ut="12/02/2020 07:11:26" si="2.000000013c476d43619859f639eaf8ece697015fe57974c111c108549000dd3cd48bf053904d136934e72113a157f10156bd00185d1962748e13a79ff8df836906cc425ad89254e00bc833e754fe073fd877ad9580f04ca9c5c4afc5e2a78a360fa59d0c71f1197e8868afc1e9102c2709adccca76f6aa5072229817da74b8c9e416.3082.0.1.Europe/Madrid.upriv*_1*_pidn2*_24*_session*-lat*_1.0000000109c4358df20193aad3d9f71523f4a82dbc6025e09dbc2a87473d5194d98b07fdf5c6856fcd7343210fe053e14682f7ad244ddd0a.000000016d0d412bbeabd01ab0b2bab077ede8c5bc6025e0b0d7d4db84000ec91ec441adcad97b71e62482d21a1db6565dd751f665b3825a.0.1.1.BDEbi.D066E1C611E6257C10D00080EF253B44.0-3082.1.1_-0.1.0_-3082.1.1_5.5.0.*0.000000013c608e3c0ea3dcee5c6c6d1d589f23fbc911585a27a64b018748bf61154c4b11fc6b1ae3.0.10*.25*.15*.214.23.10*.4*.0400*.0074J.e.0000000180ca3d4fd7e6d05b4472c69412e50ba7c911585aa5afc94520a01a6d6557096596770bf3.0" msgID="96D8EC9311EB346D37600080EF25B27F"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nrr="72"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</si>
  <si>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guid="5fe731c357db43efa2a5febd8fdb3582"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ut="12/02/2020 07:35:51" si="2.000000013c476d43619859f639eaf8ece697015fe57974c111c108549000dd3cd48bf053904d136934e72113a157f10156bd00185d1962748e13a79ff8df836906cc425ad89254e00bc833e754fe073fd877ad9580f04ca9c5c4afc5e2a78a360fa59d0c71f1197e8868afc1e9102c2709adccca76f6aa5072229817da74b8c9e416.3082.0.1.Europe/Madrid.upriv*_1*_pidn2*_24*_session*-lat*_1.0000000109c4358df20193aad3d9f71523f4a82dbc6025e09dbc2a87473d5194d98b07fdf5c6856fcd7343210fe053e14682f7ad244ddd0a.000000016d0d412bbeabd01ab0b2bab077ede8c5bc6025e0b0d7d4db84000ec91ec441adcad97b71e62482d21a1db6565dd751f665b3825a.0.1.1.BDEbi.D066E1C611E6257C10D00080EF253B44.0-3082.1.1_-0.1.0_-3082.1.1_5.5.0.*0.000000013c608e3c0ea3dcee5c6c6d1d589f23fbc911585a27a64b018748bf61154c4b11fc6b1ae3.0.10*.25*.15*.214.23.10*.4*.0400*.0074J.e.0000000180ca3d4fd7e6d05b4472c69412e50ba7c911585aa5afc94520a01a6d6557096596770bf3.0" msgID="AB83800811EB346D37600080EFC5F17C"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enr="MSTR.Balance_B.C._Mensual_Peninsular" ptn="" qtn="" rows="22" cols="10" /&gt;&lt;esdo ews="" ece="" ptn="" /&gt;&lt;/excel&gt;&lt;pgs&gt;&lt;pg rows="18" cols="9" nrr="918" nrc="690"&gt;&lt;pg /&gt;&lt;bls&gt;&lt;bl sr="1" sc="1" rfetch="18" cfetch="9" posid="1" darows="0" dacols="1"&gt;&lt;excel&gt;&lt;epo ews="Dat_01" ece="A4" enr="MSTR.Balance_B.C._Mensual_Peninsular"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</si>
  <si>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06/11/2020</t>
  </si>
  <si>
    <t>&lt;mi app="e" ver="22"&gt;&lt;rptloc guid="aa9a9fa9204e4914baeea8ad5cddd804" rank="0" ds="1"&gt;&lt;ri hasPG="0" name="Balance. Día máx generación renovable. Mes" id="F3E687E0455AF7372B8B8888677B9BF1" path="Objetos públicos\Informes\Informes macros\Boletín\Balance. Día máx generación renovable.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ut="12/02/2020 07:37:22" si="2.000000013c476d43619859f639eaf8ece697015fe57974c111c108549000dd3cd48bf053904d136934e72113a157f10156bd00185d1962748e13a79ff8df836906cc425ad89254e00bc833e754fe073fd877ad9580f04ca9c5c4afc5e2a78a360fa59d0c71f1197e8868afc1e9102c2709adccca76f6aa5072229817da74b8c9e416.3082.0.1.Europe/Madrid.upriv*_1*_pidn2*_24*_session*-lat*_1.0000000109c4358df20193aad3d9f71523f4a82dbc6025e09dbc2a87473d5194d98b07fdf5c6856fcd7343210fe053e14682f7ad244ddd0a.000000016d0d412bbeabd01ab0b2bab077ede8c5bc6025e0b0d7d4db84000ec91ec441adcad97b71e62482d21a1db6565dd751f665b3825a.0.1.1.BDEbi.D066E1C611E6257C10D00080EF253B44.0-3082.1.1_-0.1.0_-3082.1.1_5.5.0.*0.000000013c608e3c0ea3dcee5c6c6d1d589f23fbc911585a27a64b018748bf61154c4b11fc6b1ae3.0.10*.25*.15*.214.23.10*.4*.0400*.0074J.e.0000000180ca3d4fd7e6d05b4472c69412e50ba7c911585aa5afc94520a01a6d6557096596770bf3.0" msgID="33E843A411EB347137600080EF85717D"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ece="A66" enr="MSTR.Balance._Día_máx_generación_renovable._Mes" ptn="" qtn="" rows="20" cols="2" /&gt;&lt;esdo ews="" ece="" ptn="" /&gt;&lt;/excel&gt;&lt;pgs&gt;&lt;pg rows="17" cols="1" nrr="806" nrc="45"&gt;&lt;pg /&gt;&lt;bls&gt;&lt;bl sr="1" sc="1" rfetch="17" cfetch="1" posid="1" darows="0" dacols="1"&gt;&lt;excel&gt;&lt;epo ews="Dat_01" ece="A66" enr="MSTR.Balance._Día_máx_generación_renovable._Mes" ptn="" qtn="" rows="20" cols="2" /&gt;&lt;esdo ews="" ece="" ptn="" /&gt;&lt;/excel&gt;&lt;gridRng&gt;&lt;sect id="TITLE_AREA" rngprop="1:1:3:1" /&gt;&lt;sect id="ROWHEADERS_AREA" rngprop="4:1:17:1" /&gt;&lt;sect id="COLUMNHEADERS_AREA" rngprop="1:2:3:1" /&gt;&lt;sect id="DATA_AREA" rngprop="4:2:17:1" /&gt;&lt;/gridRng&gt;&lt;shapes /&gt;&lt;/bl&gt;&lt;/bls&gt;&lt;/pg&gt;&lt;/pgs&gt;&lt;/rptloc&gt;&lt;/mi&gt;</t>
  </si>
  <si>
    <t>&lt;mi app="e" ver="22"&gt;&lt;rptloc guid="a68e02d555674c70be149cdb8817b376" rank="0" ds="1"&gt;&lt;ri hasPG="0" name="Balance. Día máx generación renovable. Histórico" id="ADDEE00E40BFE87CFA6740A4DC01E463" path="Objetos públicos\Informes\Informes macros\Boletín\Balance. Día máx generación renovable.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ut="12/02/2020 07:40:16" si="2.000000013c476d43619859f639eaf8ece697015fe57974c111c108549000dd3cd48bf053904d136934e72113a157f10156bd00185d1962748e13a79ff8df836906cc425ad89254e00bc833e754fe073fd877ad9580f04ca9c5c4afc5e2a78a360fa59d0c71f1197e8868afc1e9102c2709adccca76f6aa5072229817da74b8c9e416.3082.0.1.Europe/Madrid.upriv*_1*_pidn2*_24*_session*-lat*_1.0000000109c4358df20193aad3d9f71523f4a82dbc6025e09dbc2a87473d5194d98b07fdf5c6856fcd7343210fe053e14682f7ad244ddd0a.000000016d0d412bbeabd01ab0b2bab077ede8c5bc6025e0b0d7d4db84000ec91ec441adcad97b71e62482d21a1db6565dd751f665b3825a.0.1.1.BDEbi.D066E1C611E6257C10D00080EF253B44.0-3082.1.1_-0.1.0_-3082.1.1_5.5.0.*0.000000013c608e3c0ea3dcee5c6c6d1d589f23fbc911585a27a64b018748bf61154c4b11fc6b1ae3.0.10*.25*.15*.214.23.10*.4*.0400*.0074J.e.0000000180ca3d4fd7e6d05b4472c69412e50ba7c911585aa5afc94520a01a6d6557096596770bf3.0" msgID="3F11B7B111EB347137600080EF85717D"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ece="G66" enr="MSTR.Balance._Día_máx_generación_renovable._Histórico" ptn="" qtn="" rows="21" cols="2" /&gt;&lt;esdo ews="" ece="" ptn="" /&gt;&lt;/excel&gt;&lt;pgs&gt;&lt;pg rows="18" cols="1" nrr="860" nrc="47"&gt;&lt;pg /&gt;&lt;bls&gt;&lt;bl sr="1" sc="1" rfetch="18" cfetch="1" posid="1" darows="0" dacols="1"&gt;&lt;excel&gt;&lt;epo ews="Dat_01" ece="G66" enr="MSTR.Balance._Día_máx_generación_renovable._Histórico"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</si>
  <si>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guid="b18b4e583bf24c259e1af372c80b52c0" rank="0" ds="1"&gt;&lt;ri hasPG="0" name="Serie Balance B.C. Mensual Peninsular" id="E61AF3854964BBD29B7553A35339E8D9" path="Objetos públicos\Informes\Informes macros\Boletín\Serie Balance B.C. Mensual Peninsular"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ut="12/02/2020 07:50:08" si="2.000000013c476d43619859f639eaf8ece697015fe57974c111c108549000dd3cd48bf053904d136934e72113a157f10156bd00185d1962748e13a79ff8df836906cc425ad89254e00bc833e754fe073fd877ad9580f04ca9c5c4afc5e2a78a360fa59d0c71f1197e8868afc1e9102c2709adccca76f6aa5072229817da74b8c9e416.3082.0.1.Europe/Madrid.upriv*_1*_pidn2*_24*_session*-lat*_1.0000000109c4358df20193aad3d9f71523f4a82dbc6025e09dbc2a87473d5194d98b07fdf5c6856fcd7343210fe053e14682f7ad244ddd0a.000000016d0d412bbeabd01ab0b2bab077ede8c5bc6025e0b0d7d4db84000ec91ec441adcad97b71e62482d21a1db6565dd751f665b3825a.0.1.1.BDEbi.D066E1C611E6257C10D00080EF253B44.0-3082.1.1_-0.1.0_-3082.1.1_5.5.0.*0.000000013c608e3c0ea3dcee5c6c6d1d589f23fbc911585a27a64b018748bf61154c4b11fc6b1ae3.0.10*.25*.15*.214.23.10*.4*.0400*.0074J.e.0000000180ca3d4fd7e6d05b4472c69412e50ba7c911585aa5afc94520a01a6d6557096596770bf3.0" msgID="B35F103A11EB347237600080EF55117D"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ece="A115" enr="MSTR.Serie_Balance_B.C._Mensual_Peninsular" ptn="" qtn="" rows="22" cols="26" /&gt;&lt;esdo ews="" ece="" ptn="" /&gt;&lt;/excel&gt;&lt;pgs&gt;&lt;pg rows="18" cols="25" nrr="842" nrc="1150"&gt;&lt;pg /&gt;&lt;bls&gt;&lt;bl sr="1" sc="1" rfetch="18" cfetch="25" posid="1" darows="0" dacols="1"&gt;&lt;excel&gt;&lt;epo ews="Dat_01" ece="A115" enr="MSTR.Serie_Balance_B.C._Mensual_Peninsular" ptn="" qtn="" rows="22" cols="26" /&gt;&lt;esdo ews="" ece="" ptn="" /&gt;&lt;/excel&gt;&lt;gridRng&gt;&lt;sect id="TITLE_AREA" rngprop="1:1:4:1" /&gt;&lt;sect id="ROWHEADERS_AREA" rngprop="5:1:18:1" /&gt;&lt;sect id="COLUMNHEADERS_AREA" rngprop="1:2:4:25" /&gt;&lt;sect id="DATA_AREA" rngprop="5:2:18:25" /&gt;&lt;/gridRng&gt;&lt;shapes /&gt;&lt;/bl&gt;&lt;/bls&gt;&lt;/pg&gt;&lt;/pgs&gt;&lt;/rptloc&gt;&lt;/mi&gt;</t>
  </si>
  <si>
    <t>&lt;mi app="e" ver="22"&gt;&lt;rptloc guid="7f8019c6911e4efa8fa690a470c3d5b0" rank="0" ds="1"&gt;&lt;ri hasPG="0" name="Balance B.C. Diario Peninsular" id="41519F0B41FAA38F537A41B227B45757" path="Objetos públicos\Informes\Informes macros\Boletín\Balance B.C. Diario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ut="12/02/2020 07:56:56" si="2.000000013c476d43619859f639eaf8ece697015fe57974c111c108549000dd3cd48bf053904d136934e72113a157f10156bd00185d1962748e13a79ff8df836906cc425ad89254e00bc833e754fe073fd877ad9580f04ca9c5c4afc5e2a78a360fa59d0c71f1197e8868afc1e9102c2709adccca76f6aa5072229817da74b8c9e416.3082.0.1.Europe/Madrid.upriv*_1*_pidn2*_24*_session*-lat*_1.0000000109c4358df20193aad3d9f71523f4a82dbc6025e09dbc2a87473d5194d98b07fdf5c6856fcd7343210fe053e14682f7ad244ddd0a.000000016d0d412bbeabd01ab0b2bab077ede8c5bc6025e0b0d7d4db84000ec91ec441adcad97b71e62482d21a1db6565dd751f665b3825a.0.1.1.BDEbi.D066E1C611E6257C10D00080EF253B44.0-3082.1.1_-0.1.0_-3082.1.1_5.5.0.*0.000000013c608e3c0ea3dcee5c6c6d1d589f23fbc911585a27a64b018748bf61154c4b11fc6b1ae3.0.10*.25*.15*.214.23.10*.4*.0400*.0074J.e.0000000180ca3d4fd7e6d05b4472c69412e50ba7c911585aa5afc94520a01a6d6557096596770bf3.0" msgID="EF35F62C11EB347337600080EF45F27F"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ece="A175" enr="MSTR.Balance_B.C._Diario_Peninsular" ptn="" qtn="" rows="35" cols="18" /&gt;&lt;esdo ews="" ece="" ptn="" /&gt;&lt;/excel&gt;&lt;pgs&gt;&lt;pg rows="30" cols="17" nrr="1443" nrc="1747"&gt;&lt;pg /&gt;&lt;bls&gt;&lt;bl sr="1" sc="1" rfetch="30" cfetch="17" posid="1" darows="0" dacols="1"&gt;&lt;excel&gt;&lt;epo ews="Dat_01" ece="A175" enr="MSTR.Balance_B.C._Diario_Peninsular" ptn="" qtn="" rows="35" cols="18" /&gt;&lt;esdo ews="" ece="" ptn="" /&gt;&lt;/excel&gt;&lt;gridRng&gt;&lt;sect id="TITLE_AREA" rngprop="1:1:5:1" /&gt;&lt;sect id="ROWHEADERS_AREA" rngprop="6:1:30:1" /&gt;&lt;sect id="COLUMNHEADERS_AREA" rngprop="1:2:5:17" /&gt;&lt;sect id="DATA_AREA" rngprop="6:2:30:17" /&gt;&lt;/gridRng&gt;&lt;shapes /&gt;&lt;/bl&gt;&lt;/bls&gt;&lt;/pg&gt;&lt;/pgs&gt;&lt;/rptloc&gt;&lt;/mi&gt;</t>
  </si>
  <si>
    <t>&lt;mi app="e" ver="22"&gt;&lt;rptloc guid="05e5cbe47227457eab63fd1212e0f540" rank="0" ds="1"&gt;&lt;ri hasPG="0" name="Balance B.C. Horario Eólico" id="002F08AD4EE551CE05505BAD5669B1C3" path="Objetos públicos\Informes\Informes macros\Boletín\Balance B.C. Horario Eólico"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ut="12/02/2020 07:58:32" si="2.000000013c476d43619859f639eaf8ece697015fe57974c111c108549000dd3cd48bf053904d136934e72113a157f10156bd00185d1962748e13a79ff8df836906cc425ad89254e00bc833e754fe073fd877ad9580f04ca9c5c4afc5e2a78a360fa59d0c71f1197e8868afc1e9102c2709adccca76f6aa5072229817da74b8c9e416.3082.0.1.Europe/Madrid.upriv*_1*_pidn2*_24*_session*-lat*_1.0000000109c4358df20193aad3d9f71523f4a82dbc6025e09dbc2a87473d5194d98b07fdf5c6856fcd7343210fe053e14682f7ad244ddd0a.000000016d0d412bbeabd01ab0b2bab077ede8c5bc6025e0b0d7d4db84000ec91ec441adcad97b71e62482d21a1db6565dd751f665b3825a.0.1.1.BDEbi.D066E1C611E6257C10D00080EF253B44.0-3082.1.1_-0.1.0_-3082.1.1_5.5.0.*0.000000013c608e3c0ea3dcee5c6c6d1d589f23fbc911585a27a64b018748bf61154c4b11fc6b1ae3.0.10*.25*.15*.214.23.10*.4*.0400*.0074J.e.0000000180ca3d4fd7e6d05b4472c69412e50ba7c911585aa5afc94520a01a6d6557096596770bf3.0" msgID="2A042AEF11EB347437600080EF95917E"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ece="A215" enr="MSTR.Balance_B.C._Horario_Eólico" ptn="" qtn="" rows="29" cols="18" /&gt;&lt;esdo ews="" ece="" ptn="" /&gt;&lt;/excel&gt;&lt;pgs&gt;&lt;pg rows="24" cols="17" nrr="1185" nrc="913"&gt;&lt;pg /&gt;&lt;bls&gt;&lt;bl sr="1" sc="1" rfetch="24" cfetch="17" posid="1" darows="0" dacols="1"&gt;&lt;excel&gt;&lt;epo ews="Dat_01" ece="A215" enr="MSTR.Balance_B.C._Horario_Eólico" ptn="" qtn="" rows="29" cols="18" /&gt;&lt;esdo ews="" ece="" ptn="" /&gt;&lt;/excel&gt;&lt;gridRng&gt;&lt;sect id="TITLE_AREA" rngprop="1:1:5:1" /&gt;&lt;sect id="ROWHEADERS_AREA" rngprop="6:1:24:1" /&gt;&lt;sect id="COLUMNHEADERS_AREA" rngprop="1:2:5:17" /&gt;&lt;sect id="DATA_AREA" rngprop="6:2:24:17" /&gt;&lt;/gridRng&gt;&lt;shapes /&gt;&lt;/bl&gt;&lt;/bls&gt;&lt;/pg&gt;&lt;/pgs&gt;&lt;/rptloc&gt;&lt;/mi&gt;</t>
  </si>
  <si>
    <t>&lt;mi app="e" ver="22"&gt;&lt;rptloc guid="3f512bdd06e0426286d397ec4d61e802" rank="0" ds="1"&gt;&lt;ri hasPG="0" name="Emisiones CO2" id="60ECEE0D4D3162DF98B8FEB4C976BFDE" path="Objetos públicos\Informes\Informes macros\Boletín\Emisiones CO2" cf="0" prompt="1" ve="0" vm="0" flashpth="d:\Usuarios\FUEPERRO\AppData\Local\Temp\" fimagepth="d:\Usuarios\FUEPERRO\AppData\Local\Temp\" swfn="DashboardViewer.swf" fvars="" dvis=""&gt;&lt;ans&gt;&lt;pan pk="B7C3BF0D4428274429E8B8B9E552B212@0@10" aid="" /&gt;&lt;pan pk="86BA8826468B4BC44041DF8DC3E31322@0@10" aid="" /&gt;&lt;/ans&gt;&lt;ci ps="BI" srv="apcpr65b" prj="BDEbi" prjid="D066E1C611E6257C10D00080EF253B44" li="SEVPENMA" am="s" /&gt;&lt;lu ut="12/02/2020 08:00:17" si="2.000000013c476d43619859f639eaf8ece697015fe57974c111c108549000dd3cd48bf053904d136934e72113a157f10156bd00185d1962748e13a79ff8df836906cc425ad89254e00bc833e754fe073fd877ad9580f04ca9c5c4afc5e2a78a360fa59d0c71f1197e8868afc1e9102c2709adccca76f6aa5072229817da74b8c9e416.3082.0.1.Europe/Madrid.upriv*_1*_pidn2*_24*_session*-lat*_1.0000000109c4358df20193aad3d9f71523f4a82dbc6025e09dbc2a87473d5194d98b07fdf5c6856fcd7343210fe053e14682f7ad244ddd0a.000000016d0d412bbeabd01ab0b2bab077ede8c5bc6025e0b0d7d4db84000ec91ec441adcad97b71e62482d21a1db6565dd751f665b3825a.0.1.1.BDEbi.D066E1C611E6257C10D00080EF253B44.0-3082.1.1_-0.1.0_-3082.1.1_5.5.0.*0.000000013c608e3c0ea3dcee5c6c6d1d589f23fbc911585a27a64b018748bf61154c4b11fc6b1ae3.0.10*.25*.15*.214.23.10*.4*.0400*.0074J.e.0000000180ca3d4fd7e6d05b4472c69412e50ba7c911585aa5afc94520a01a6d6557096596770bf3.0" msgID="56E90B2F11EB347437600080EF45F07B"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ece="A248" enr="MSTR.Emisiones_CO2.2" ptn="" qtn="" rows="15" cols="15" /&gt;&lt;esdo ews="" ece="" ptn="" /&gt;&lt;/excel&gt;&lt;pgs&gt;&lt;pg rows="12" cols="13" nrr="273" nrc="279"&gt;&lt;pg /&gt;&lt;bls&gt;&lt;bl sr="1" sc="1" rfetch="12" cfetch="13" posid="1" darows="0" dacols="1"&gt;&lt;excel&gt;&lt;epo ews="Dat_01" ece="A248" enr="MSTR.Emisiones_CO2.2" ptn="" qtn="" rows="15" cols="15" /&gt;&lt;esdo ews="" ece="" ptn="" /&gt;&lt;/excel&gt;&lt;gridRng&gt;&lt;sect id="TITLE_AREA" rngprop="1:1:3:2" /&gt;&lt;sect id="ROWHEADERS_AREA" rngprop="4:1:12:2" /&gt;&lt;sect id="COLUMNHEADERS_AREA" rngprop="1:3:3:13" /&gt;&lt;sect id="DATA_AREA" rngprop="4:3:12:13" /&gt;&lt;/gridRng&gt;&lt;shapes /&gt;&lt;/bl&gt;&lt;/bls&gt;&lt;/pg&gt;&lt;/pgs&gt;&lt;/rptloc&gt;&lt;/mi&gt;</t>
  </si>
  <si>
    <t>&lt;mi app="e" ver="22"&gt;&lt;rptloc guid="21d5937cff664e66a7673c77182def5f" rank="0" ds="1"&gt;&lt;ri hasPG="0" name="Emisiones CO2" id="60C53D34401EE43683AA2CB4B988F4AA" path="Objetos públicos\Informes\Informes macros\Consejo\Emisiones CO2" cf="0" prompt="1" ve="0" vm="0" flashpth="d:\Usuarios\sevpenma\AppData\Local\Temp\" fimagepth="d:\Usuarios\sevpenma\AppData\Local\Temp\" swfn="DashboardViewer.swf" fvars="" dvis=""&gt;&lt;ans /&gt;&lt;ci ps="BI" srv="apcpr64b" prj="BDEbi" prjid="D066E1C611E6257C10D00080EF253B44" li="SEVPENMA" am="s" /&gt;&lt;lu ut="12/02/2020 08:34:59" si="2.000000010a88c58bab3a92b3ad99177231d8d9289972449352abc6b79bde3be4314ee3b58071958e14f864280011580198e7e2d2a82da70cb303f3d216318e6d51878e37d62eb25ab385dcf2bb2acfd8f1312a3378e24097650a2f657225913446554308c1827c1cc0619593922a4509dca32dc0d8c7e95b0e885930c63942e62404.3082.0.1.Europe/Madrid.upriv*_1*_pidn2*_24*_session*-lat*_1.0000000165e3af41b7ff0e38cdb2959cb5365945bc6025e060a318d2706e23644d5d69efaab48b4485728ea7bc016ff2b182cba4327f8d52.000000011c0185663ccaaec32f9e0b3cf6b89d7fbc6025e009ba0e905dc871eb3faf2f3efffe70336b4c3b981dc7af521334ecf89ab7bd3c.0.1.1.BDEbi.D066E1C611E6257C10D00080EF253B44.0-3082.1.1_-0.1.0_-3082.1.1_5.5.0.*0.00000001341ed878efda4e7d2231399138b2f9c0c911585a16d9e9a9d519dbd5508129e8f0f0c590.0.10*.25*.15*.214.23.10*.4*.0400*.0074J.e.0000000161d008d84f7a3700c63c19faa7b84044c911585ae1df65a923607f9fb863fb776cd8d646.0" msgID="3C10BA5411EB3479559D0080EF6573F7"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ece="A30" enr="MSTR.Emisiones_CO2" ptn="" qtn="" rows="15" cols="15" /&gt;&lt;esdo ews="" ece="" ptn="" /&gt;&lt;/excel&gt;&lt;pgs&gt;&lt;pg rows="12" cols="13" nrr="198" nrc="197"&gt;&lt;pg /&gt;&lt;bls&gt;&lt;bl sr="1" sc="1" rfetch="12" cfetch="13" posid="1" darows="0" dacols="1"&gt;&lt;excel&gt;&lt;epo ews="Dat_04 CONSEJO" ece="A30" enr="MSTR.Emisiones_CO2" ptn="" qtn="" rows="15" cols="15" /&gt;&lt;esdo ews="" ece="" ptn="" /&gt;&lt;/excel&gt;&lt;gridRng&gt;&lt;sect id="TITLE_AREA" rngprop="1:1:3:2" /&gt;&lt;sect id="ROWHEADERS_AREA" rngprop="4:1:12:2" /&gt;&lt;sect id="COLUMNHEADERS_AREA" rngprop="1:3:3:13" /&gt;&lt;sect id="DATA_AREA" rngprop="4:3:12:13" /&gt;&lt;/gridRng&gt;&lt;shapes /&gt;&lt;/bl&gt;&lt;/bls&gt;&lt;/pg&gt;&lt;/pgs&gt;&lt;/rptloc&gt;&lt;/mi&gt;</t>
  </si>
  <si>
    <t>5c1eb33c3d3c43e9abb1187ee3915ee5</t>
  </si>
  <si>
    <t>&lt;mi app="e" ver="22"&gt;&lt;rptloc guid="052ee096faf54fb1b5226c6993ad96e9" rank="0" ds="1"&gt;&lt;ri hasPG="0" name="Balance B.C. Mensual Sistema eléctrico" id="EFE74E0E480B5072ECEA02A9C0AB8EF7" path="Objetos públicos\Informes\Informes macros\Consejo\Balance B.C. Mensual Sistema eléctrico" cf="0" prompt="1" ve="0" vm="0" flashpth="d:\Usuarios\sevpenma\AppData\Local\Temp\" fimagepth="d:\Usuarios\sevpenma\AppData\Local\Temp\" swfn="DashboardViewer.swf" fvars="" dvis=""&gt;&lt;ans /&gt;&lt;ci ps="BI" srv="apcpr64b" prj="BDEbi" prjid="D066E1C611E6257C10D00080EF253B44" li="SEVPENMA" am="s" /&gt;&lt;lu ut="12/02/2020 09:17:14" si="2.000000010a88c58bab3a92b3ad99177231d8d9289972449352abc6b79bde3be4314ee3b58071958e14f864280011580198e7e2d2a82da70cb303f3d216318e6d51878e37d62eb25ab385dcf2bb2acfd8f1312a3378e24097650a2f657225913446554308c1827c1cc0619593922a4509dca32dc0d8c7e95b0e885930c63942e62404.3082.0.1.Europe/Madrid.upriv*_1*_pidn2*_24*_session*-lat*_1.0000000165e3af41b7ff0e38cdb2959cb5365945bc6025e060a318d2706e23644d5d69efaab48b4485728ea7bc016ff2b182cba4327f8d52.000000011c0185663ccaaec32f9e0b3cf6b89d7fbc6025e009ba0e905dc871eb3faf2f3efffe70336b4c3b981dc7af521334ecf89ab7bd3c.0.1.1.BDEbi.D066E1C611E6257C10D00080EF253B44.0-3082.1.1_-0.1.0_-3082.1.1_5.5.0.*0.00000001341ed878efda4e7d2231399138b2f9c0c911585a16d9e9a9d519dbd5508129e8f0f0c590.0.10*.25*.15*.214.23.10*.4*.0400*.0074J.e.0000000161d008d84f7a3700c63c19faa7b84044c911585ae1df65a923607f9fb863fb776cd8d646.0" msgID="80B6ADBC11EB3479559D0080EF25F3F7"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ece="A1" enr="MSTR.Balance_B.C._Mensual_Sistema_eléctrico" ptn="" qtn="" rows="27" cols="586" /&gt;&lt;esdo ews="" ece="" ptn="" /&gt;&lt;/excel&gt;&lt;pgs&gt;&lt;pg rows="23" cols="585" nrr="414" nrc="6750"&gt;&lt;pg /&gt;&lt;bls&gt;&lt;bl sr="1" sc="1" rfetch="23" cfetch="585" posid="1" darows="0" dacols="1"&gt;&lt;excel&gt;&lt;epo ews="Dat_04 CONSEJO" ece="A1" enr="MSTR.Balance_B.C._Mensual_Sistema_eléctrico" ptn="" qtn="" rows="27" cols="586" /&gt;&lt;esdo ews="" ece="" ptn="" /&gt;&lt;/excel&gt;&lt;gridRng&gt;&lt;sect id="TITLE_AREA" rngprop="1:1:4:1" /&gt;&lt;sect id="ROWHEADERS_AREA" rngprop="5:1:23:1" /&gt;&lt;sect id="COLUMNHEADERS_AREA" rngprop="1:2:4:585" /&gt;&lt;sect id="DATA_AREA" rngprop="5:2:23:585" /&gt;&lt;/gridRng&gt;&lt;shapes /&gt;&lt;/bl&gt;&lt;/bls&gt;&lt;/pg&gt;&lt;/pgs&gt;&lt;/rptloc&gt;&lt;/mi&gt;</t>
  </si>
  <si>
    <t>Viernes 06/11/2020 (12:14 h)</t>
  </si>
  <si>
    <t>Jueves 05/11/2020 (04:27 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</si>
</sst>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-* #,##0.00\ _€_-;\-* #,##0.00\ _€_-;_-* &quot;-&quot;??\ _€_-;_-@_-"/>
    <numFmt numFmtId="165" formatCode="0_)"/>
    <numFmt numFmtId="166" formatCode="[$-C0A]mmmmm;@"/>
    <numFmt numFmtId="167" formatCode="#,##0.0"/>
    <numFmt numFmtId="168" formatCode="#,##0.000"/>
    <numFmt numFmtId="169" formatCode="0.0_)"/>
    <numFmt numFmtId="170" formatCode="[$-C0A]mmm\-yy;@"/>
    <numFmt numFmtId="171" formatCode="0.0"/>
    <numFmt numFmtId="172" formatCode="&quot;Día&quot;\ dd/mm/yyyy"/>
    <numFmt numFmtId="173" formatCode="0.000"/>
    <numFmt numFmtId="174" formatCode="mmm\-yyyy"/>
    <numFmt numFmtId="175" formatCode="#,##0\ _)"/>
    <numFmt numFmtId="176" formatCode="0.0;[Red]0.0"/>
    <numFmt numFmtId="177" formatCode="0.0%"/>
    <numFmt numFmtId="178" formatCode="_-* #,##0.0\ _€_-;\-* #,##0.0\ _€_-;_-* &quot;-&quot;??\ _€_-;_-@_-"/>
    <numFmt numFmtId="179" formatCode="#,##0.000;\(#,##0.000\)"/>
    <numFmt numFmtId="180" formatCode="0.00000_)"/>
  </numFmts>
  <fonts count="69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9"/>
      <color indexed="32"/>
      <name val="Arial"/>
      <family val="2"/>
    </font>
    <font>
      <b/>
      <i/>
      <sz val="8"/>
      <color rgb="FF000000"/>
      <name val="Verdana"/>
      <family val="2"/>
    </font>
    <font>
      <b/>
      <i/>
      <sz val="8"/>
      <color rgb="FF3F3F3F"/>
      <name val="Verdana"/>
      <family val="2"/>
    </font>
    <font>
      <sz val="8"/>
      <color rgb="FFFF0000"/>
      <name val="Arial"/>
      <family val="2"/>
    </font>
    <font>
      <b/>
      <sz val="10"/>
      <color rgb="FF002060"/>
      <name val="Geneva"/>
    </font>
    <font>
      <sz val="9"/>
      <name val="Segoe UI"/>
      <family val="2"/>
    </font>
    <font>
      <sz val="9"/>
      <color rgb="FF4E5E78"/>
      <name val="Segoe UI"/>
      <family val="2"/>
    </font>
    <font>
      <sz val="9"/>
      <color rgb="FF004563"/>
      <name val="Segoe UI"/>
      <family val="2"/>
    </font>
    <font>
      <b/>
      <sz val="9"/>
      <color rgb="FF4E5E78"/>
      <name val="Segoe UI"/>
      <family val="2"/>
    </font>
    <font>
      <b/>
      <sz val="9"/>
      <color rgb="FF000000"/>
      <name val="Segoe UI"/>
      <family val="2"/>
    </font>
    <font>
      <b/>
      <sz val="9"/>
      <name val="Segoe UI"/>
      <family val="2"/>
    </font>
    <font>
      <b/>
      <sz val="8"/>
      <color rgb="FF002060"/>
      <name val="Segoe UI"/>
      <family val="2"/>
    </font>
    <font>
      <sz val="10"/>
      <color rgb="FF002060"/>
      <name val="Segoe UI"/>
      <family val="2"/>
    </font>
    <font>
      <sz val="8"/>
      <color theme="0"/>
      <name val="Arial"/>
      <family val="2"/>
    </font>
    <font>
      <b/>
      <sz val="8"/>
      <color rgb="FF25396E"/>
      <name val="Arial"/>
      <family val="2"/>
    </font>
    <font>
      <sz val="8"/>
      <color rgb="FF25396E"/>
      <name val="Arial"/>
      <family val="2"/>
    </font>
    <font>
      <vertAlign val="subscript"/>
      <sz val="8"/>
      <color rgb="FF004563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00456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rgb="FFFFFFFF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6C3C6"/>
      </left>
      <right style="thin">
        <color rgb="FFC6C3C6"/>
      </right>
      <top/>
      <bottom/>
      <diagonal/>
    </border>
  </borders>
  <cellStyleXfs count="49">
    <xf numFmtId="165" fontId="0" fillId="0" borderId="0"/>
    <xf numFmtId="0" fontId="3" fillId="0" borderId="0"/>
    <xf numFmtId="0" fontId="3" fillId="0" borderId="0"/>
    <xf numFmtId="0" fontId="3" fillId="0" borderId="0"/>
    <xf numFmtId="165" fontId="7" fillId="0" borderId="0"/>
    <xf numFmtId="0" fontId="7" fillId="0" borderId="0"/>
    <xf numFmtId="0" fontId="3" fillId="0" borderId="0"/>
    <xf numFmtId="165" fontId="7" fillId="0" borderId="0"/>
    <xf numFmtId="0" fontId="7" fillId="0" borderId="0"/>
    <xf numFmtId="0" fontId="19" fillId="0" borderId="0"/>
    <xf numFmtId="0" fontId="21" fillId="0" borderId="0" applyNumberFormat="0" applyFont="0" applyBorder="0" applyAlignment="0" applyProtection="0">
      <alignment horizontal="centerContinuous"/>
    </xf>
    <xf numFmtId="0" fontId="3" fillId="0" borderId="0"/>
    <xf numFmtId="0" fontId="2" fillId="0" borderId="0"/>
    <xf numFmtId="9" fontId="7" fillId="0" borderId="0" applyFont="0" applyFill="0" applyBorder="0" applyAlignment="0" applyProtection="0"/>
    <xf numFmtId="0" fontId="19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0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167" fontId="44" fillId="4" borderId="13">
      <alignment horizontal="right" vertical="center"/>
    </xf>
    <xf numFmtId="167" fontId="45" fillId="5" borderId="13">
      <alignment horizontal="right" vertical="center"/>
    </xf>
    <xf numFmtId="165" fontId="46" fillId="6" borderId="13">
      <alignment vertical="center" wrapText="1"/>
    </xf>
    <xf numFmtId="10" fontId="45" fillId="5" borderId="13">
      <alignment horizontal="right" vertical="center"/>
    </xf>
    <xf numFmtId="167" fontId="47" fillId="4" borderId="13">
      <alignment horizontal="right" vertical="center"/>
    </xf>
    <xf numFmtId="10" fontId="47" fillId="4" borderId="13">
      <alignment horizontal="right" vertical="center"/>
    </xf>
    <xf numFmtId="165" fontId="48" fillId="4" borderId="13">
      <alignment horizontal="left" vertical="center" wrapText="1"/>
    </xf>
    <xf numFmtId="165" fontId="46" fillId="6" borderId="13">
      <alignment horizontal="center" vertical="center" wrapText="1"/>
    </xf>
    <xf numFmtId="165" fontId="49" fillId="5" borderId="13">
      <alignment horizontal="left" vertical="center" wrapText="1"/>
    </xf>
    <xf numFmtId="165" fontId="50" fillId="7" borderId="16"/>
    <xf numFmtId="165" fontId="46" fillId="6" borderId="13">
      <alignment horizontal="center" wrapText="1"/>
    </xf>
    <xf numFmtId="165" fontId="46" fillId="6" borderId="16">
      <alignment vertical="center" wrapText="1"/>
    </xf>
    <xf numFmtId="167" fontId="52" fillId="4" borderId="13">
      <alignment horizontal="right" vertical="center"/>
    </xf>
    <xf numFmtId="167" fontId="53" fillId="4" borderId="13">
      <alignment horizontal="right" vertical="center"/>
    </xf>
    <xf numFmtId="165" fontId="46" fillId="5" borderId="13">
      <alignment horizontal="center" wrapText="1"/>
    </xf>
    <xf numFmtId="165" fontId="48" fillId="4" borderId="16">
      <alignment horizontal="left" vertical="center" wrapText="1"/>
    </xf>
    <xf numFmtId="168" fontId="47" fillId="4" borderId="13">
      <alignment horizontal="right" vertical="center"/>
    </xf>
    <xf numFmtId="168" fontId="45" fillId="5" borderId="13">
      <alignment horizontal="right" vertical="center"/>
    </xf>
    <xf numFmtId="0" fontId="7" fillId="0" borderId="0"/>
    <xf numFmtId="0" fontId="7" fillId="0" borderId="0"/>
    <xf numFmtId="0" fontId="7" fillId="0" borderId="0"/>
    <xf numFmtId="165" fontId="65" fillId="13" borderId="13">
      <alignment horizontal="center" wrapText="1"/>
    </xf>
    <xf numFmtId="179" fontId="17" fillId="4" borderId="13">
      <alignment horizontal="right" vertical="center"/>
    </xf>
    <xf numFmtId="165" fontId="65" fillId="13" borderId="13">
      <alignment vertical="center" wrapText="1"/>
    </xf>
    <xf numFmtId="165" fontId="66" fillId="4" borderId="13">
      <alignment horizontal="left" vertical="center" wrapText="1"/>
    </xf>
    <xf numFmtId="179" fontId="65" fillId="13" borderId="13">
      <alignment horizontal="right" vertical="center"/>
    </xf>
    <xf numFmtId="165" fontId="65" fillId="13" borderId="13">
      <alignment horizontal="left" vertical="center"/>
    </xf>
    <xf numFmtId="168" fontId="17" fillId="4" borderId="13">
      <alignment horizontal="right" vertical="center"/>
    </xf>
    <xf numFmtId="10" fontId="47" fillId="4" borderId="15">
      <alignment horizontal="right" vertical="center"/>
    </xf>
    <xf numFmtId="0" fontId="1" fillId="0" borderId="0"/>
  </cellStyleXfs>
  <cellXfs count="353">
    <xf numFmtId="165" fontId="0" fillId="0" borderId="0" xfId="0"/>
    <xf numFmtId="0" fontId="4" fillId="0" borderId="0" xfId="1" applyFont="1" applyFill="1" applyAlignment="1" applyProtection="1">
      <alignment horizontal="right"/>
    </xf>
    <xf numFmtId="3" fontId="0" fillId="0" borderId="0" xfId="0" applyNumberFormat="1"/>
    <xf numFmtId="166" fontId="0" fillId="0" borderId="0" xfId="0" applyNumberFormat="1"/>
    <xf numFmtId="0" fontId="5" fillId="0" borderId="0" xfId="3" applyFont="1" applyFill="1" applyBorder="1" applyAlignment="1" applyProtection="1">
      <alignment horizontal="left"/>
    </xf>
    <xf numFmtId="165" fontId="7" fillId="0" borderId="0" xfId="4" applyFill="1" applyProtection="1"/>
    <xf numFmtId="165" fontId="4" fillId="0" borderId="0" xfId="4" applyFont="1" applyFill="1" applyAlignment="1" applyProtection="1">
      <alignment horizontal="right"/>
    </xf>
    <xf numFmtId="165" fontId="8" fillId="0" borderId="0" xfId="4" applyFont="1" applyFill="1" applyBorder="1" applyProtection="1"/>
    <xf numFmtId="165" fontId="9" fillId="0" borderId="0" xfId="4" applyFont="1" applyFill="1" applyBorder="1" applyProtection="1"/>
    <xf numFmtId="165" fontId="10" fillId="0" borderId="0" xfId="4" applyFont="1" applyFill="1" applyBorder="1" applyProtection="1"/>
    <xf numFmtId="165" fontId="5" fillId="0" borderId="0" xfId="4" applyFont="1" applyFill="1" applyBorder="1" applyAlignment="1" applyProtection="1"/>
    <xf numFmtId="165" fontId="5" fillId="0" borderId="0" xfId="4" applyFont="1" applyFill="1" applyBorder="1" applyAlignment="1" applyProtection="1">
      <alignment horizontal="left" vertical="center" indent="1"/>
    </xf>
    <xf numFmtId="165" fontId="8" fillId="0" borderId="0" xfId="4" applyFont="1" applyFill="1" applyBorder="1" applyAlignment="1" applyProtection="1">
      <alignment horizontal="left" indent="1"/>
    </xf>
    <xf numFmtId="165" fontId="11" fillId="3" borderId="0" xfId="4" applyFont="1" applyFill="1" applyBorder="1" applyAlignment="1" applyProtection="1">
      <alignment horizontal="left"/>
    </xf>
    <xf numFmtId="167" fontId="13" fillId="3" borderId="1" xfId="4" applyNumberFormat="1" applyFont="1" applyFill="1" applyBorder="1" applyProtection="1"/>
    <xf numFmtId="1" fontId="11" fillId="3" borderId="1" xfId="4" applyNumberFormat="1" applyFont="1" applyFill="1" applyBorder="1" applyAlignment="1" applyProtection="1">
      <alignment horizontal="right" indent="1"/>
    </xf>
    <xf numFmtId="167" fontId="14" fillId="0" borderId="0" xfId="4" applyNumberFormat="1" applyFont="1" applyFill="1" applyBorder="1" applyProtection="1"/>
    <xf numFmtId="167" fontId="15" fillId="0" borderId="0" xfId="4" applyNumberFormat="1" applyFont="1" applyFill="1" applyBorder="1" applyProtection="1"/>
    <xf numFmtId="165" fontId="5" fillId="0" borderId="0" xfId="4" applyFont="1" applyFill="1" applyBorder="1" applyAlignment="1" applyProtection="1">
      <alignment vertical="top" wrapText="1"/>
    </xf>
    <xf numFmtId="168" fontId="3" fillId="0" borderId="0" xfId="4" applyNumberFormat="1" applyFont="1" applyFill="1" applyBorder="1" applyProtection="1"/>
    <xf numFmtId="165" fontId="6" fillId="0" borderId="0" xfId="4" applyFont="1" applyFill="1" applyProtection="1"/>
    <xf numFmtId="167" fontId="16" fillId="0" borderId="0" xfId="4" applyNumberFormat="1" applyFont="1" applyFill="1" applyBorder="1" applyProtection="1"/>
    <xf numFmtId="3" fontId="15" fillId="0" borderId="0" xfId="4" applyNumberFormat="1" applyFont="1" applyFill="1" applyBorder="1" applyProtection="1"/>
    <xf numFmtId="3" fontId="16" fillId="0" borderId="0" xfId="4" applyNumberFormat="1" applyFont="1" applyFill="1" applyBorder="1" applyProtection="1"/>
    <xf numFmtId="165" fontId="4" fillId="0" borderId="0" xfId="4" applyFont="1" applyFill="1" applyAlignment="1" applyProtection="1"/>
    <xf numFmtId="1" fontId="11" fillId="3" borderId="1" xfId="4" quotePrefix="1" applyNumberFormat="1" applyFont="1" applyFill="1" applyBorder="1" applyAlignment="1" applyProtection="1">
      <alignment horizontal="right" indent="1"/>
    </xf>
    <xf numFmtId="0" fontId="3" fillId="0" borderId="0" xfId="6" applyFill="1" applyProtection="1"/>
    <xf numFmtId="165" fontId="4" fillId="0" borderId="0" xfId="7" applyFont="1" applyFill="1" applyAlignment="1" applyProtection="1">
      <alignment horizontal="right"/>
    </xf>
    <xf numFmtId="0" fontId="9" fillId="0" borderId="0" xfId="6" applyFont="1" applyFill="1" applyBorder="1" applyProtection="1"/>
    <xf numFmtId="0" fontId="8" fillId="0" borderId="0" xfId="6" applyFont="1" applyFill="1" applyBorder="1" applyProtection="1"/>
    <xf numFmtId="0" fontId="5" fillId="0" borderId="0" xfId="6" applyFont="1" applyFill="1" applyBorder="1" applyAlignment="1" applyProtection="1"/>
    <xf numFmtId="0" fontId="5" fillId="0" borderId="0" xfId="6" applyFont="1" applyFill="1" applyBorder="1" applyAlignment="1" applyProtection="1">
      <alignment horizontal="left" vertical="center" indent="1"/>
    </xf>
    <xf numFmtId="0" fontId="8" fillId="0" borderId="0" xfId="6" applyFont="1" applyFill="1" applyBorder="1" applyAlignment="1" applyProtection="1">
      <alignment horizontal="left" indent="1"/>
    </xf>
    <xf numFmtId="0" fontId="6" fillId="0" borderId="0" xfId="6" applyFont="1" applyFill="1" applyBorder="1" applyProtection="1"/>
    <xf numFmtId="0" fontId="5" fillId="0" borderId="0" xfId="8" applyFont="1" applyFill="1" applyBorder="1" applyAlignment="1" applyProtection="1">
      <alignment vertical="center"/>
    </xf>
    <xf numFmtId="0" fontId="6" fillId="0" borderId="0" xfId="6" applyFont="1" applyFill="1" applyBorder="1" applyAlignment="1" applyProtection="1">
      <alignment horizontal="left" vertical="top"/>
    </xf>
    <xf numFmtId="0" fontId="18" fillId="0" borderId="0" xfId="6" applyFont="1" applyFill="1" applyProtection="1"/>
    <xf numFmtId="0" fontId="6" fillId="0" borderId="0" xfId="6" applyFont="1" applyFill="1" applyBorder="1" applyAlignment="1" applyProtection="1">
      <alignment vertical="center" wrapText="1"/>
    </xf>
    <xf numFmtId="0" fontId="6" fillId="0" borderId="0" xfId="6" applyFont="1" applyFill="1" applyBorder="1" applyAlignment="1" applyProtection="1">
      <alignment horizontal="justify" vertical="center" wrapText="1"/>
    </xf>
    <xf numFmtId="0" fontId="5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vertical="top" wrapText="1"/>
    </xf>
    <xf numFmtId="165" fontId="17" fillId="0" borderId="0" xfId="7" applyFont="1" applyFill="1" applyAlignment="1">
      <alignment horizontal="left" readingOrder="1"/>
    </xf>
    <xf numFmtId="0" fontId="0" fillId="0" borderId="0" xfId="0" applyNumberFormat="1"/>
    <xf numFmtId="0" fontId="5" fillId="0" borderId="0" xfId="2" applyFont="1" applyFill="1" applyBorder="1" applyAlignment="1" applyProtection="1">
      <alignment vertical="top" wrapText="1"/>
    </xf>
    <xf numFmtId="169" fontId="0" fillId="0" borderId="0" xfId="0" applyNumberFormat="1"/>
    <xf numFmtId="170" fontId="0" fillId="0" borderId="0" xfId="0" applyNumberFormat="1"/>
    <xf numFmtId="14" fontId="0" fillId="0" borderId="0" xfId="0" applyNumberFormat="1"/>
    <xf numFmtId="165" fontId="0" fillId="0" borderId="0" xfId="0" applyAlignment="1">
      <alignment horizontal="left" indent="1"/>
    </xf>
    <xf numFmtId="14" fontId="20" fillId="0" borderId="0" xfId="0" applyNumberFormat="1" applyFont="1"/>
    <xf numFmtId="165" fontId="0" fillId="0" borderId="0" xfId="0" applyAlignment="1">
      <alignment wrapText="1"/>
    </xf>
    <xf numFmtId="0" fontId="22" fillId="0" borderId="0" xfId="11" applyFont="1"/>
    <xf numFmtId="1" fontId="23" fillId="0" borderId="0" xfId="11" applyNumberFormat="1" applyFont="1"/>
    <xf numFmtId="0" fontId="24" fillId="0" borderId="0" xfId="11" applyFont="1"/>
    <xf numFmtId="0" fontId="25" fillId="0" borderId="0" xfId="11" applyFont="1"/>
    <xf numFmtId="1" fontId="22" fillId="0" borderId="0" xfId="11" applyNumberFormat="1" applyFont="1"/>
    <xf numFmtId="0" fontId="22" fillId="0" borderId="0" xfId="11" applyFont="1" applyBorder="1"/>
    <xf numFmtId="168" fontId="22" fillId="0" borderId="0" xfId="11" applyNumberFormat="1" applyFont="1"/>
    <xf numFmtId="173" fontId="22" fillId="0" borderId="0" xfId="11" applyNumberFormat="1" applyFont="1"/>
    <xf numFmtId="4" fontId="22" fillId="0" borderId="0" xfId="11" applyNumberFormat="1" applyFont="1"/>
    <xf numFmtId="171" fontId="22" fillId="0" borderId="0" xfId="11" applyNumberFormat="1" applyFont="1"/>
    <xf numFmtId="1" fontId="26" fillId="0" borderId="0" xfId="11" applyNumberFormat="1" applyFont="1" applyFill="1"/>
    <xf numFmtId="170" fontId="26" fillId="0" borderId="0" xfId="11" applyNumberFormat="1" applyFont="1" applyFill="1"/>
    <xf numFmtId="171" fontId="26" fillId="0" borderId="0" xfId="11" applyNumberFormat="1" applyFont="1" applyFill="1"/>
    <xf numFmtId="0" fontId="26" fillId="0" borderId="0" xfId="11" applyFont="1" applyFill="1" applyBorder="1" applyAlignment="1">
      <alignment horizontal="right"/>
    </xf>
    <xf numFmtId="172" fontId="26" fillId="0" borderId="0" xfId="11" applyNumberFormat="1" applyFont="1" applyFill="1" applyBorder="1"/>
    <xf numFmtId="1" fontId="22" fillId="0" borderId="0" xfId="11" applyNumberFormat="1" applyFont="1" applyBorder="1"/>
    <xf numFmtId="176" fontId="22" fillId="0" borderId="0" xfId="11" applyNumberFormat="1" applyFont="1"/>
    <xf numFmtId="0" fontId="27" fillId="0" borderId="0" xfId="12" applyFont="1" applyFill="1" applyBorder="1" applyAlignment="1" applyProtection="1">
      <alignment horizontal="left" vertical="top" wrapText="1"/>
    </xf>
    <xf numFmtId="0" fontId="28" fillId="0" borderId="0" xfId="11" applyFont="1"/>
    <xf numFmtId="171" fontId="28" fillId="0" borderId="0" xfId="11" applyNumberFormat="1" applyFont="1"/>
    <xf numFmtId="171" fontId="28" fillId="0" borderId="0" xfId="11" applyNumberFormat="1" applyFont="1" applyBorder="1"/>
    <xf numFmtId="175" fontId="28" fillId="0" borderId="0" xfId="11" applyNumberFormat="1" applyFont="1" applyFill="1" applyBorder="1" applyAlignment="1">
      <alignment horizontal="right"/>
    </xf>
    <xf numFmtId="0" fontId="7" fillId="0" borderId="0" xfId="8" applyFill="1" applyProtection="1"/>
    <xf numFmtId="0" fontId="30" fillId="0" borderId="0" xfId="8" applyFont="1" applyFill="1" applyBorder="1" applyProtection="1"/>
    <xf numFmtId="0" fontId="31" fillId="0" borderId="0" xfId="8" applyFont="1" applyFill="1" applyBorder="1" applyProtection="1"/>
    <xf numFmtId="0" fontId="5" fillId="0" borderId="0" xfId="8" applyFont="1" applyFill="1" applyBorder="1" applyAlignment="1" applyProtection="1"/>
    <xf numFmtId="0" fontId="5" fillId="0" borderId="0" xfId="8" applyFont="1" applyFill="1" applyBorder="1" applyAlignment="1" applyProtection="1">
      <alignment horizontal="left" vertical="center" indent="1"/>
    </xf>
    <xf numFmtId="0" fontId="31" fillId="0" borderId="0" xfId="8" applyFont="1" applyFill="1" applyBorder="1" applyAlignment="1" applyProtection="1">
      <alignment horizontal="left" indent="1"/>
    </xf>
    <xf numFmtId="0" fontId="5" fillId="2" borderId="0" xfId="8" applyFont="1" applyFill="1" applyBorder="1" applyAlignment="1" applyProtection="1">
      <alignment horizontal="left"/>
    </xf>
    <xf numFmtId="0" fontId="19" fillId="0" borderId="0" xfId="14" applyFont="1" applyFill="1" applyBorder="1" applyAlignment="1" applyProtection="1">
      <alignment horizontal="center"/>
    </xf>
    <xf numFmtId="0" fontId="19" fillId="0" borderId="0" xfId="14" applyFont="1" applyFill="1" applyBorder="1" applyAlignment="1" applyProtection="1">
      <alignment horizontal="right"/>
    </xf>
    <xf numFmtId="171" fontId="19" fillId="0" borderId="0" xfId="14" applyNumberFormat="1" applyFont="1" applyFill="1" applyBorder="1" applyProtection="1"/>
    <xf numFmtId="0" fontId="31" fillId="2" borderId="0" xfId="8" applyFont="1" applyFill="1" applyBorder="1" applyAlignment="1" applyProtection="1">
      <alignment horizontal="left" indent="1"/>
    </xf>
    <xf numFmtId="3" fontId="19" fillId="0" borderId="0" xfId="8" applyNumberFormat="1" applyFont="1" applyFill="1" applyBorder="1" applyProtection="1"/>
    <xf numFmtId="0" fontId="19" fillId="0" borderId="0" xfId="8" applyFont="1" applyFill="1" applyBorder="1" applyProtection="1"/>
    <xf numFmtId="0" fontId="7" fillId="2" borderId="0" xfId="8" applyFill="1" applyProtection="1"/>
    <xf numFmtId="0" fontId="32" fillId="0" borderId="0" xfId="8" applyFont="1" applyFill="1" applyProtection="1"/>
    <xf numFmtId="1" fontId="32" fillId="0" borderId="0" xfId="8" applyNumberFormat="1" applyFont="1" applyFill="1" applyProtection="1"/>
    <xf numFmtId="0" fontId="5" fillId="0" borderId="0" xfId="8" applyFont="1" applyFill="1" applyBorder="1" applyAlignment="1" applyProtection="1">
      <alignment vertical="top" wrapText="1"/>
    </xf>
    <xf numFmtId="1" fontId="34" fillId="2" borderId="6" xfId="4" applyNumberFormat="1" applyFont="1" applyFill="1" applyBorder="1" applyAlignment="1" applyProtection="1">
      <alignment horizontal="right" indent="1"/>
    </xf>
    <xf numFmtId="165" fontId="16" fillId="2" borderId="0" xfId="4" applyFont="1" applyFill="1" applyBorder="1" applyAlignment="1" applyProtection="1">
      <alignment horizontal="left"/>
    </xf>
    <xf numFmtId="3" fontId="16" fillId="2" borderId="0" xfId="4" applyNumberFormat="1" applyFont="1" applyFill="1" applyBorder="1" applyAlignment="1" applyProtection="1">
      <alignment horizontal="right" indent="1"/>
    </xf>
    <xf numFmtId="167" fontId="16" fillId="2" borderId="0" xfId="4" applyNumberFormat="1" applyFont="1" applyFill="1" applyBorder="1" applyAlignment="1" applyProtection="1">
      <alignment horizontal="right" indent="1"/>
    </xf>
    <xf numFmtId="167" fontId="34" fillId="2" borderId="2" xfId="4" applyNumberFormat="1" applyFont="1" applyFill="1" applyBorder="1" applyProtection="1"/>
    <xf numFmtId="3" fontId="34" fillId="2" borderId="2" xfId="4" applyNumberFormat="1" applyFont="1" applyFill="1" applyBorder="1" applyAlignment="1" applyProtection="1">
      <alignment horizontal="right" indent="1"/>
    </xf>
    <xf numFmtId="167" fontId="34" fillId="2" borderId="2" xfId="4" applyNumberFormat="1" applyFont="1" applyFill="1" applyBorder="1" applyAlignment="1" applyProtection="1">
      <alignment horizontal="right" indent="1"/>
    </xf>
    <xf numFmtId="167" fontId="16" fillId="2" borderId="0" xfId="4" applyNumberFormat="1" applyFont="1" applyFill="1" applyBorder="1" applyAlignment="1" applyProtection="1">
      <alignment horizontal="left"/>
    </xf>
    <xf numFmtId="3" fontId="16" fillId="2" borderId="2" xfId="4" applyNumberFormat="1" applyFont="1" applyFill="1" applyBorder="1" applyAlignment="1" applyProtection="1">
      <alignment horizontal="right" indent="1"/>
    </xf>
    <xf numFmtId="167" fontId="16" fillId="2" borderId="2" xfId="4" applyNumberFormat="1" applyFont="1" applyFill="1" applyBorder="1" applyAlignment="1" applyProtection="1">
      <alignment horizontal="right" indent="1"/>
    </xf>
    <xf numFmtId="167" fontId="34" fillId="2" borderId="3" xfId="4" applyNumberFormat="1" applyFont="1" applyFill="1" applyBorder="1" applyProtection="1"/>
    <xf numFmtId="3" fontId="34" fillId="2" borderId="4" xfId="4" applyNumberFormat="1" applyFont="1" applyFill="1" applyBorder="1" applyAlignment="1" applyProtection="1">
      <alignment horizontal="right" indent="1"/>
    </xf>
    <xf numFmtId="167" fontId="34" fillId="2" borderId="4" xfId="4" applyNumberFormat="1" applyFont="1" applyFill="1" applyBorder="1" applyAlignment="1" applyProtection="1">
      <alignment horizontal="right" indent="1"/>
    </xf>
    <xf numFmtId="165" fontId="37" fillId="0" borderId="0" xfId="0" applyFont="1" applyFill="1" applyBorder="1" applyAlignment="1" applyProtection="1"/>
    <xf numFmtId="0" fontId="37" fillId="0" borderId="0" xfId="1" applyFont="1" applyFill="1" applyAlignment="1" applyProtection="1">
      <alignment horizontal="right"/>
    </xf>
    <xf numFmtId="165" fontId="37" fillId="0" borderId="0" xfId="0" quotePrefix="1" applyFont="1" applyFill="1" applyAlignment="1" applyProtection="1">
      <alignment horizontal="right"/>
    </xf>
    <xf numFmtId="165" fontId="34" fillId="0" borderId="0" xfId="0" applyFont="1" applyFill="1" applyBorder="1" applyAlignment="1" applyProtection="1"/>
    <xf numFmtId="165" fontId="16" fillId="2" borderId="6" xfId="0" applyFont="1" applyFill="1" applyBorder="1" applyAlignment="1">
      <alignment horizontal="left"/>
    </xf>
    <xf numFmtId="165" fontId="16" fillId="0" borderId="0" xfId="0" applyFont="1" applyFill="1" applyBorder="1" applyProtection="1"/>
    <xf numFmtId="0" fontId="16" fillId="2" borderId="0" xfId="0" applyNumberFormat="1" applyFont="1" applyFill="1" applyAlignment="1">
      <alignment horizontal="left"/>
    </xf>
    <xf numFmtId="167" fontId="16" fillId="2" borderId="0" xfId="9" applyNumberFormat="1" applyFont="1" applyFill="1" applyBorder="1" applyAlignment="1" applyProtection="1">
      <alignment horizontal="right" indent="1"/>
    </xf>
    <xf numFmtId="165" fontId="34" fillId="2" borderId="6" xfId="0" applyFont="1" applyFill="1" applyBorder="1" applyAlignment="1">
      <alignment horizontal="left"/>
    </xf>
    <xf numFmtId="167" fontId="34" fillId="2" borderId="6" xfId="9" applyNumberFormat="1" applyFont="1" applyFill="1" applyBorder="1" applyAlignment="1" applyProtection="1">
      <alignment horizontal="right" indent="1"/>
    </xf>
    <xf numFmtId="165" fontId="37" fillId="0" borderId="0" xfId="0" applyFont="1" applyFill="1" applyAlignment="1" applyProtection="1">
      <alignment horizontal="right"/>
    </xf>
    <xf numFmtId="165" fontId="16" fillId="0" borderId="0" xfId="7" applyFont="1" applyFill="1" applyAlignment="1">
      <alignment horizontal="left" readingOrder="1"/>
    </xf>
    <xf numFmtId="0" fontId="34" fillId="2" borderId="0" xfId="10" applyNumberFormat="1" applyFont="1" applyFill="1" applyBorder="1" applyAlignment="1">
      <alignment vertical="center"/>
    </xf>
    <xf numFmtId="165" fontId="34" fillId="0" borderId="0" xfId="0" applyFont="1" applyBorder="1" applyAlignment="1">
      <alignment horizontal="left" vertical="center" wrapText="1" readingOrder="1"/>
    </xf>
    <xf numFmtId="3" fontId="16" fillId="0" borderId="0" xfId="0" applyNumberFormat="1" applyFont="1" applyBorder="1" applyAlignment="1">
      <alignment horizontal="right" vertical="center" wrapText="1" readingOrder="1"/>
    </xf>
    <xf numFmtId="165" fontId="16" fillId="0" borderId="0" xfId="0" applyFont="1" applyFill="1" applyBorder="1" applyAlignment="1">
      <alignment horizontal="right" vertical="center" wrapText="1" readingOrder="1"/>
    </xf>
    <xf numFmtId="165" fontId="34" fillId="0" borderId="9" xfId="0" applyFont="1" applyBorder="1" applyAlignment="1">
      <alignment horizontal="left" vertical="center" wrapText="1" readingOrder="1"/>
    </xf>
    <xf numFmtId="0" fontId="34" fillId="0" borderId="0" xfId="2" applyFont="1" applyFill="1" applyBorder="1" applyAlignment="1" applyProtection="1">
      <alignment vertical="top" wrapText="1"/>
    </xf>
    <xf numFmtId="165" fontId="16" fillId="0" borderId="1" xfId="0" applyFont="1" applyFill="1" applyBorder="1"/>
    <xf numFmtId="165" fontId="16" fillId="0" borderId="0" xfId="0" applyFont="1" applyFill="1"/>
    <xf numFmtId="165" fontId="34" fillId="2" borderId="0" xfId="0" applyFont="1" applyFill="1" applyProtection="1"/>
    <xf numFmtId="165" fontId="34" fillId="2" borderId="1" xfId="0" applyFont="1" applyFill="1" applyBorder="1" applyProtection="1"/>
    <xf numFmtId="165" fontId="34" fillId="2" borderId="1" xfId="0" applyFont="1" applyFill="1" applyBorder="1" applyAlignment="1" applyProtection="1">
      <alignment horizontal="right"/>
    </xf>
    <xf numFmtId="165" fontId="34" fillId="2" borderId="1" xfId="0" applyFont="1" applyFill="1" applyBorder="1" applyAlignment="1" applyProtection="1">
      <alignment horizontal="right" wrapText="1"/>
    </xf>
    <xf numFmtId="165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34" fillId="2" borderId="1" xfId="0" applyNumberFormat="1" applyFont="1" applyFill="1" applyBorder="1" applyAlignment="1" applyProtection="1"/>
    <xf numFmtId="3" fontId="16" fillId="2" borderId="0" xfId="9" applyNumberFormat="1" applyFont="1" applyFill="1" applyBorder="1" applyAlignment="1" applyProtection="1">
      <alignment horizontal="right" indent="1"/>
    </xf>
    <xf numFmtId="3" fontId="34" fillId="2" borderId="6" xfId="9" applyNumberFormat="1" applyFont="1" applyFill="1" applyBorder="1" applyAlignment="1" applyProtection="1">
      <alignment horizontal="right" indent="1"/>
    </xf>
    <xf numFmtId="169" fontId="16" fillId="0" borderId="0" xfId="0" applyNumberFormat="1" applyFont="1" applyFill="1" applyBorder="1" applyProtection="1"/>
    <xf numFmtId="0" fontId="34" fillId="0" borderId="0" xfId="6" applyFont="1" applyFill="1" applyBorder="1" applyAlignment="1" applyProtection="1">
      <alignment vertical="top" wrapText="1"/>
    </xf>
    <xf numFmtId="165" fontId="16" fillId="2" borderId="0" xfId="0" applyFont="1" applyFill="1" applyBorder="1" applyAlignment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29" fillId="0" borderId="0" xfId="11" applyFont="1" applyFill="1" applyBorder="1" applyAlignment="1">
      <alignment horizontal="right"/>
    </xf>
    <xf numFmtId="0" fontId="7" fillId="0" borderId="0" xfId="16" applyFill="1" applyProtection="1"/>
    <xf numFmtId="0" fontId="19" fillId="0" borderId="0" xfId="16" applyFont="1" applyFill="1" applyProtection="1"/>
    <xf numFmtId="0" fontId="30" fillId="0" borderId="0" xfId="16" applyFont="1" applyFill="1" applyBorder="1" applyProtection="1"/>
    <xf numFmtId="0" fontId="31" fillId="0" borderId="0" xfId="16" applyFont="1" applyFill="1" applyBorder="1" applyProtection="1"/>
    <xf numFmtId="0" fontId="5" fillId="0" borderId="0" xfId="16" applyFont="1" applyFill="1" applyBorder="1" applyAlignment="1" applyProtection="1"/>
    <xf numFmtId="0" fontId="5" fillId="0" borderId="0" xfId="16" applyFont="1" applyFill="1" applyBorder="1" applyAlignment="1" applyProtection="1">
      <alignment horizontal="right" vertical="center"/>
    </xf>
    <xf numFmtId="0" fontId="31" fillId="2" borderId="0" xfId="16" applyFont="1" applyFill="1" applyBorder="1" applyAlignment="1" applyProtection="1">
      <alignment horizontal="left" indent="1"/>
    </xf>
    <xf numFmtId="0" fontId="39" fillId="2" borderId="0" xfId="16" applyFont="1" applyFill="1" applyBorder="1" applyAlignment="1" applyProtection="1">
      <alignment horizontal="right" vertical="center"/>
    </xf>
    <xf numFmtId="0" fontId="34" fillId="2" borderId="0" xfId="17" applyFont="1" applyFill="1" applyBorder="1" applyAlignment="1" applyProtection="1">
      <alignment horizontal="left"/>
    </xf>
    <xf numFmtId="0" fontId="41" fillId="0" borderId="0" xfId="16" applyFont="1" applyFill="1" applyBorder="1" applyAlignment="1" applyProtection="1">
      <alignment horizontal="right"/>
    </xf>
    <xf numFmtId="0" fontId="7" fillId="0" borderId="0" xfId="16"/>
    <xf numFmtId="0" fontId="22" fillId="0" borderId="0" xfId="11" applyFont="1" applyBorder="1" applyAlignment="1">
      <alignment horizontal="right"/>
    </xf>
    <xf numFmtId="0" fontId="22" fillId="0" borderId="0" xfId="11" applyFont="1" applyBorder="1" applyAlignment="1">
      <alignment horizontal="left"/>
    </xf>
    <xf numFmtId="3" fontId="22" fillId="0" borderId="0" xfId="11" applyNumberFormat="1" applyFont="1" applyBorder="1"/>
    <xf numFmtId="171" fontId="22" fillId="0" borderId="0" xfId="11" applyNumberFormat="1" applyFont="1" applyBorder="1"/>
    <xf numFmtId="165" fontId="34" fillId="0" borderId="0" xfId="0" quotePrefix="1" applyFont="1" applyFill="1" applyBorder="1" applyAlignment="1" applyProtection="1"/>
    <xf numFmtId="177" fontId="16" fillId="2" borderId="0" xfId="13" applyNumberFormat="1" applyFont="1" applyFill="1" applyAlignment="1" applyProtection="1">
      <alignment horizontal="right" vertical="center"/>
    </xf>
    <xf numFmtId="177" fontId="34" fillId="2" borderId="1" xfId="13" applyNumberFormat="1" applyFont="1" applyFill="1" applyBorder="1" applyAlignment="1" applyProtection="1">
      <alignment horizontal="right"/>
    </xf>
    <xf numFmtId="0" fontId="34" fillId="0" borderId="5" xfId="11" applyFont="1" applyFill="1" applyBorder="1" applyAlignment="1">
      <alignment horizontal="center"/>
    </xf>
    <xf numFmtId="0" fontId="34" fillId="0" borderId="5" xfId="11" applyFont="1" applyFill="1" applyBorder="1" applyAlignment="1">
      <alignment horizontal="right"/>
    </xf>
    <xf numFmtId="0" fontId="16" fillId="0" borderId="0" xfId="11" applyFont="1"/>
    <xf numFmtId="0" fontId="34" fillId="0" borderId="4" xfId="11" applyFont="1" applyFill="1" applyBorder="1" applyAlignment="1">
      <alignment horizontal="center"/>
    </xf>
    <xf numFmtId="0" fontId="34" fillId="0" borderId="4" xfId="11" applyFont="1" applyFill="1" applyBorder="1" applyAlignment="1">
      <alignment horizontal="right"/>
    </xf>
    <xf numFmtId="174" fontId="16" fillId="0" borderId="0" xfId="11" applyNumberFormat="1" applyFont="1" applyFill="1" applyAlignment="1" applyProtection="1">
      <alignment horizontal="left"/>
    </xf>
    <xf numFmtId="3" fontId="16" fillId="0" borderId="0" xfId="11" applyNumberFormat="1" applyFont="1" applyFill="1" applyBorder="1" applyAlignment="1">
      <alignment horizontal="right"/>
    </xf>
    <xf numFmtId="175" fontId="16" fillId="0" borderId="0" xfId="11" applyNumberFormat="1" applyFont="1" applyFill="1" applyBorder="1" applyAlignment="1">
      <alignment horizontal="right"/>
    </xf>
    <xf numFmtId="171" fontId="16" fillId="0" borderId="0" xfId="11" applyNumberFormat="1" applyFont="1"/>
    <xf numFmtId="1" fontId="16" fillId="0" borderId="0" xfId="12" applyNumberFormat="1" applyFont="1"/>
    <xf numFmtId="174" fontId="16" fillId="0" borderId="0" xfId="11" quotePrefix="1" applyNumberFormat="1" applyFont="1" applyFill="1" applyAlignment="1" applyProtection="1">
      <alignment horizontal="left"/>
    </xf>
    <xf numFmtId="174" fontId="16" fillId="0" borderId="0" xfId="11" quotePrefix="1" applyNumberFormat="1" applyFont="1" applyFill="1" applyBorder="1" applyAlignment="1" applyProtection="1">
      <alignment horizontal="left"/>
    </xf>
    <xf numFmtId="165" fontId="43" fillId="0" borderId="0" xfId="4" applyFont="1" applyFill="1" applyBorder="1" applyAlignment="1" applyProtection="1">
      <alignment horizontal="left" vertical="center" indent="1"/>
    </xf>
    <xf numFmtId="0" fontId="16" fillId="0" borderId="0" xfId="6" applyFont="1" applyFill="1" applyBorder="1" applyProtection="1"/>
    <xf numFmtId="165" fontId="16" fillId="0" borderId="0" xfId="0" applyFont="1"/>
    <xf numFmtId="165" fontId="16" fillId="0" borderId="0" xfId="0" quotePrefix="1" applyFont="1"/>
    <xf numFmtId="0" fontId="16" fillId="0" borderId="0" xfId="0" applyNumberFormat="1" applyFont="1" applyFill="1" applyAlignment="1">
      <alignment horizontal="left"/>
    </xf>
    <xf numFmtId="167" fontId="16" fillId="0" borderId="0" xfId="9" applyNumberFormat="1" applyFont="1" applyFill="1" applyBorder="1" applyAlignment="1" applyProtection="1">
      <alignment horizontal="right" indent="1"/>
    </xf>
    <xf numFmtId="165" fontId="16" fillId="0" borderId="6" xfId="0" applyFont="1" applyFill="1" applyBorder="1" applyAlignment="1">
      <alignment horizontal="left"/>
    </xf>
    <xf numFmtId="1" fontId="34" fillId="0" borderId="6" xfId="4" applyNumberFormat="1" applyFont="1" applyFill="1" applyBorder="1" applyAlignment="1" applyProtection="1">
      <alignment horizontal="right" indent="1"/>
    </xf>
    <xf numFmtId="0" fontId="16" fillId="0" borderId="7" xfId="0" applyNumberFormat="1" applyFont="1" applyFill="1" applyBorder="1" applyAlignment="1">
      <alignment horizontal="left"/>
    </xf>
    <xf numFmtId="167" fontId="16" fillId="0" borderId="7" xfId="9" applyNumberFormat="1" applyFont="1" applyFill="1" applyBorder="1" applyAlignment="1" applyProtection="1">
      <alignment horizontal="right" indent="1"/>
    </xf>
    <xf numFmtId="1" fontId="16" fillId="2" borderId="0" xfId="4" applyNumberFormat="1" applyFont="1" applyFill="1" applyBorder="1" applyAlignment="1" applyProtection="1">
      <alignment horizontal="right" indent="1"/>
    </xf>
    <xf numFmtId="165" fontId="46" fillId="6" borderId="13" xfId="21" applyAlignment="1">
      <alignment vertical="center"/>
    </xf>
    <xf numFmtId="165" fontId="46" fillId="6" borderId="13" xfId="26" quotePrefix="1" applyAlignment="1">
      <alignment horizontal="center" vertical="center"/>
    </xf>
    <xf numFmtId="165" fontId="46" fillId="6" borderId="13" xfId="26" applyAlignment="1">
      <alignment horizontal="center" vertical="center"/>
    </xf>
    <xf numFmtId="165" fontId="48" fillId="4" borderId="13" xfId="25" quotePrefix="1" applyAlignment="1">
      <alignment horizontal="left" vertical="center"/>
    </xf>
    <xf numFmtId="167" fontId="47" fillId="4" borderId="13" xfId="23" applyAlignment="1">
      <alignment horizontal="right" vertical="center"/>
    </xf>
    <xf numFmtId="10" fontId="47" fillId="4" borderId="13" xfId="24" applyAlignment="1">
      <alignment horizontal="right" vertical="center"/>
    </xf>
    <xf numFmtId="165" fontId="49" fillId="5" borderId="13" xfId="27" quotePrefix="1" applyAlignment="1">
      <alignment horizontal="left" vertical="center"/>
    </xf>
    <xf numFmtId="167" fontId="45" fillId="5" borderId="13" xfId="20" applyAlignment="1">
      <alignment horizontal="right" vertical="center"/>
    </xf>
    <xf numFmtId="10" fontId="45" fillId="5" borderId="13" xfId="22" applyAlignment="1">
      <alignment horizontal="right" vertical="center"/>
    </xf>
    <xf numFmtId="165" fontId="46" fillId="6" borderId="16" xfId="30" applyAlignment="1">
      <alignment vertical="center"/>
    </xf>
    <xf numFmtId="167" fontId="51" fillId="0" borderId="0" xfId="4" applyNumberFormat="1" applyFont="1" applyFill="1" applyBorder="1" applyProtection="1"/>
    <xf numFmtId="177" fontId="51" fillId="0" borderId="0" xfId="13" applyNumberFormat="1" applyFont="1" applyFill="1" applyBorder="1" applyProtection="1"/>
    <xf numFmtId="178" fontId="16" fillId="2" borderId="0" xfId="18" applyNumberFormat="1" applyFont="1" applyFill="1" applyBorder="1" applyAlignment="1" applyProtection="1">
      <alignment horizontal="right" indent="1"/>
    </xf>
    <xf numFmtId="0" fontId="54" fillId="0" borderId="0" xfId="6" applyFont="1" applyFill="1" applyBorder="1" applyProtection="1"/>
    <xf numFmtId="165" fontId="55" fillId="0" borderId="0" xfId="0" applyFont="1" applyAlignment="1">
      <alignment horizontal="center"/>
    </xf>
    <xf numFmtId="165" fontId="46" fillId="6" borderId="13" xfId="29" applyAlignment="1">
      <alignment horizontal="center"/>
    </xf>
    <xf numFmtId="165" fontId="56" fillId="0" borderId="0" xfId="0" applyFont="1" applyAlignment="1">
      <alignment horizontal="center"/>
    </xf>
    <xf numFmtId="165" fontId="57" fillId="4" borderId="13" xfId="25" quotePrefix="1" applyFont="1" applyAlignment="1">
      <alignment horizontal="left" vertical="center"/>
    </xf>
    <xf numFmtId="167" fontId="58" fillId="0" borderId="0" xfId="0" applyNumberFormat="1" applyFont="1"/>
    <xf numFmtId="165" fontId="56" fillId="0" borderId="0" xfId="0" applyFont="1"/>
    <xf numFmtId="165" fontId="59" fillId="5" borderId="13" xfId="27" quotePrefix="1" applyFont="1" applyAlignment="1">
      <alignment horizontal="left" vertical="center"/>
    </xf>
    <xf numFmtId="167" fontId="60" fillId="5" borderId="13" xfId="20" applyFont="1" applyAlignment="1">
      <alignment horizontal="right" vertical="center"/>
    </xf>
    <xf numFmtId="165" fontId="61" fillId="8" borderId="17" xfId="0" applyFont="1" applyFill="1" applyBorder="1" applyAlignment="1">
      <alignment horizontal="center"/>
    </xf>
    <xf numFmtId="165" fontId="58" fillId="0" borderId="0" xfId="0" applyFont="1"/>
    <xf numFmtId="171" fontId="58" fillId="0" borderId="0" xfId="0" applyNumberFormat="1" applyFont="1"/>
    <xf numFmtId="165" fontId="46" fillId="5" borderId="13" xfId="33" quotePrefix="1" applyAlignment="1">
      <alignment horizontal="center"/>
    </xf>
    <xf numFmtId="165" fontId="46" fillId="5" borderId="13" xfId="33" applyAlignment="1">
      <alignment horizontal="center"/>
    </xf>
    <xf numFmtId="165" fontId="62" fillId="9" borderId="18" xfId="33" applyFont="1" applyFill="1" applyBorder="1" applyAlignment="1">
      <alignment horizontal="center"/>
    </xf>
    <xf numFmtId="165" fontId="63" fillId="8" borderId="0" xfId="0" applyFont="1" applyFill="1"/>
    <xf numFmtId="169" fontId="63" fillId="8" borderId="0" xfId="0" applyNumberFormat="1" applyFont="1" applyFill="1"/>
    <xf numFmtId="165" fontId="48" fillId="4" borderId="13" xfId="25" applyAlignment="1">
      <alignment horizontal="left" vertical="center"/>
    </xf>
    <xf numFmtId="165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8" fontId="47" fillId="4" borderId="13" xfId="35" applyAlignment="1">
      <alignment horizontal="right" vertical="center"/>
    </xf>
    <xf numFmtId="168" fontId="45" fillId="5" borderId="13" xfId="36" applyAlignment="1">
      <alignment horizontal="right" vertical="center"/>
    </xf>
    <xf numFmtId="165" fontId="46" fillId="10" borderId="13" xfId="29" quotePrefix="1" applyFill="1" applyAlignment="1">
      <alignment horizontal="center"/>
    </xf>
    <xf numFmtId="3" fontId="58" fillId="0" borderId="0" xfId="0" applyNumberFormat="1" applyFont="1"/>
    <xf numFmtId="0" fontId="16" fillId="2" borderId="7" xfId="0" applyNumberFormat="1" applyFont="1" applyFill="1" applyBorder="1" applyAlignment="1">
      <alignment horizontal="left"/>
    </xf>
    <xf numFmtId="167" fontId="16" fillId="2" borderId="7" xfId="9" applyNumberFormat="1" applyFont="1" applyFill="1" applyBorder="1" applyAlignment="1" applyProtection="1">
      <alignment horizontal="right" indent="1"/>
    </xf>
    <xf numFmtId="0" fontId="64" fillId="0" borderId="0" xfId="6" applyFont="1" applyFill="1" applyBorder="1" applyProtection="1"/>
    <xf numFmtId="0" fontId="16" fillId="0" borderId="0" xfId="0" applyNumberFormat="1" applyFont="1" applyAlignment="1">
      <alignment horizontal="center"/>
    </xf>
    <xf numFmtId="165" fontId="34" fillId="2" borderId="19" xfId="0" quotePrefix="1" applyFont="1" applyFill="1" applyBorder="1" applyAlignment="1" applyProtection="1"/>
    <xf numFmtId="0" fontId="16" fillId="2" borderId="19" xfId="0" applyNumberFormat="1" applyFont="1" applyFill="1" applyBorder="1" applyAlignment="1">
      <alignment horizontal="center"/>
    </xf>
    <xf numFmtId="165" fontId="16" fillId="0" borderId="0" xfId="0" applyFont="1" applyAlignment="1">
      <alignment horizontal="center"/>
    </xf>
    <xf numFmtId="165" fontId="16" fillId="2" borderId="0" xfId="0" applyFont="1" applyFill="1"/>
    <xf numFmtId="3" fontId="16" fillId="2" borderId="0" xfId="0" applyNumberFormat="1" applyFont="1" applyFill="1"/>
    <xf numFmtId="165" fontId="16" fillId="2" borderId="7" xfId="0" applyFont="1" applyFill="1" applyBorder="1"/>
    <xf numFmtId="3" fontId="16" fillId="2" borderId="7" xfId="0" applyNumberFormat="1" applyFont="1" applyFill="1" applyBorder="1"/>
    <xf numFmtId="165" fontId="16" fillId="2" borderId="20" xfId="0" applyFont="1" applyFill="1" applyBorder="1"/>
    <xf numFmtId="3" fontId="16" fillId="2" borderId="20" xfId="0" applyNumberFormat="1" applyFont="1" applyFill="1" applyBorder="1"/>
    <xf numFmtId="169" fontId="16" fillId="2" borderId="20" xfId="0" applyNumberFormat="1" applyFont="1" applyFill="1" applyBorder="1"/>
    <xf numFmtId="165" fontId="16" fillId="0" borderId="0" xfId="0" applyFont="1" applyAlignment="1">
      <alignment horizontal="left" indent="1"/>
    </xf>
    <xf numFmtId="169" fontId="16" fillId="0" borderId="0" xfId="0" applyNumberFormat="1" applyFont="1" applyAlignment="1">
      <alignment horizontal="center"/>
    </xf>
    <xf numFmtId="165" fontId="16" fillId="0" borderId="0" xfId="0" applyFont="1" applyAlignment="1">
      <alignment horizontal="right"/>
    </xf>
    <xf numFmtId="14" fontId="16" fillId="2" borderId="0" xfId="0" applyNumberFormat="1" applyFont="1" applyFill="1"/>
    <xf numFmtId="3" fontId="16" fillId="2" borderId="0" xfId="0" applyNumberFormat="1" applyFont="1" applyFill="1" applyAlignment="1"/>
    <xf numFmtId="167" fontId="16" fillId="2" borderId="0" xfId="0" applyNumberFormat="1" applyFont="1" applyFill="1"/>
    <xf numFmtId="165" fontId="16" fillId="2" borderId="0" xfId="0" applyFont="1" applyFill="1" applyAlignment="1">
      <alignment horizontal="left" indent="1"/>
    </xf>
    <xf numFmtId="165" fontId="16" fillId="2" borderId="7" xfId="0" applyNumberFormat="1" applyFont="1" applyFill="1" applyBorder="1"/>
    <xf numFmtId="169" fontId="16" fillId="2" borderId="7" xfId="0" applyNumberFormat="1" applyFont="1" applyFill="1" applyBorder="1"/>
    <xf numFmtId="165" fontId="16" fillId="2" borderId="19" xfId="0" quotePrefix="1" applyFont="1" applyFill="1" applyBorder="1"/>
    <xf numFmtId="0" fontId="16" fillId="2" borderId="19" xfId="0" applyNumberFormat="1" applyFont="1" applyFill="1" applyBorder="1"/>
    <xf numFmtId="0" fontId="16" fillId="2" borderId="19" xfId="0" quotePrefix="1" applyNumberFormat="1" applyFont="1" applyFill="1" applyBorder="1"/>
    <xf numFmtId="171" fontId="16" fillId="2" borderId="7" xfId="13" applyNumberFormat="1" applyFont="1" applyFill="1" applyBorder="1"/>
    <xf numFmtId="0" fontId="16" fillId="0" borderId="0" xfId="0" applyNumberFormat="1" applyFont="1"/>
    <xf numFmtId="0" fontId="16" fillId="2" borderId="3" xfId="11" applyFont="1" applyFill="1" applyBorder="1" applyAlignment="1">
      <alignment horizontal="center"/>
    </xf>
    <xf numFmtId="0" fontId="16" fillId="2" borderId="3" xfId="11" applyFont="1" applyFill="1" applyBorder="1" applyAlignment="1">
      <alignment horizontal="right"/>
    </xf>
    <xf numFmtId="0" fontId="16" fillId="2" borderId="3" xfId="11" applyFont="1" applyFill="1" applyBorder="1" applyAlignment="1">
      <alignment horizontal="right" wrapText="1"/>
    </xf>
    <xf numFmtId="0" fontId="16" fillId="0" borderId="0" xfId="11" applyFont="1" applyFill="1" applyBorder="1" applyAlignment="1">
      <alignment horizontal="right"/>
    </xf>
    <xf numFmtId="170" fontId="16" fillId="0" borderId="0" xfId="11" applyNumberFormat="1" applyFont="1" applyFill="1" applyBorder="1" applyAlignment="1">
      <alignment horizontal="right"/>
    </xf>
    <xf numFmtId="0" fontId="16" fillId="0" borderId="0" xfId="11" applyNumberFormat="1" applyFont="1" applyFill="1"/>
    <xf numFmtId="0" fontId="16" fillId="2" borderId="0" xfId="11" applyFont="1" applyFill="1"/>
    <xf numFmtId="172" fontId="16" fillId="2" borderId="0" xfId="11" applyNumberFormat="1" applyFont="1" applyFill="1"/>
    <xf numFmtId="0" fontId="16" fillId="2" borderId="0" xfId="11" applyFont="1" applyFill="1" applyBorder="1"/>
    <xf numFmtId="3" fontId="16" fillId="2" borderId="0" xfId="11" applyNumberFormat="1" applyFont="1" applyFill="1"/>
    <xf numFmtId="0" fontId="16" fillId="0" borderId="0" xfId="3" applyFont="1" applyFill="1" applyBorder="1"/>
    <xf numFmtId="170" fontId="16" fillId="0" borderId="0" xfId="11" applyNumberFormat="1" applyFont="1" applyFill="1"/>
    <xf numFmtId="0" fontId="16" fillId="0" borderId="0" xfId="11" applyFont="1" applyFill="1"/>
    <xf numFmtId="172" fontId="16" fillId="2" borderId="0" xfId="11" applyNumberFormat="1" applyFont="1" applyFill="1" applyBorder="1"/>
    <xf numFmtId="0" fontId="16" fillId="2" borderId="11" xfId="11" applyFont="1" applyFill="1" applyBorder="1"/>
    <xf numFmtId="172" fontId="16" fillId="2" borderId="11" xfId="11" applyNumberFormat="1" applyFont="1" applyFill="1" applyBorder="1"/>
    <xf numFmtId="0" fontId="16" fillId="2" borderId="4" xfId="11" applyFont="1" applyFill="1" applyBorder="1"/>
    <xf numFmtId="3" fontId="16" fillId="2" borderId="4" xfId="11" applyNumberFormat="1" applyFont="1" applyFill="1" applyBorder="1"/>
    <xf numFmtId="3" fontId="16" fillId="0" borderId="0" xfId="11" applyNumberFormat="1" applyFont="1" applyFill="1"/>
    <xf numFmtId="171" fontId="16" fillId="0" borderId="0" xfId="11" applyNumberFormat="1" applyFont="1" applyFill="1"/>
    <xf numFmtId="170" fontId="16" fillId="0" borderId="0" xfId="11" applyNumberFormat="1" applyFont="1"/>
    <xf numFmtId="0" fontId="16" fillId="0" borderId="0" xfId="11" applyNumberFormat="1" applyFont="1"/>
    <xf numFmtId="1" fontId="16" fillId="0" borderId="0" xfId="11" applyNumberFormat="1" applyFont="1" applyFill="1"/>
    <xf numFmtId="17" fontId="16" fillId="2" borderId="3" xfId="11" quotePrefix="1" applyNumberFormat="1" applyFont="1" applyFill="1" applyBorder="1" applyAlignment="1">
      <alignment horizontal="right"/>
    </xf>
    <xf numFmtId="0" fontId="6" fillId="11" borderId="0" xfId="6" applyFont="1" applyFill="1" applyBorder="1" applyProtection="1"/>
    <xf numFmtId="0" fontId="8" fillId="11" borderId="0" xfId="6" applyFont="1" applyFill="1" applyBorder="1" applyProtection="1"/>
    <xf numFmtId="169" fontId="56" fillId="0" borderId="0" xfId="0" applyNumberFormat="1" applyFont="1"/>
    <xf numFmtId="3" fontId="34" fillId="0" borderId="1" xfId="0" applyNumberFormat="1" applyFont="1" applyFill="1" applyBorder="1" applyProtection="1"/>
    <xf numFmtId="3" fontId="16" fillId="0" borderId="1" xfId="0" applyNumberFormat="1" applyFont="1" applyFill="1" applyBorder="1" applyProtection="1"/>
    <xf numFmtId="3" fontId="16" fillId="12" borderId="0" xfId="0" applyNumberFormat="1" applyFont="1" applyFill="1" applyAlignment="1" applyProtection="1">
      <alignment horizontal="right" vertical="center"/>
    </xf>
    <xf numFmtId="177" fontId="16" fillId="12" borderId="0" xfId="13" applyNumberFormat="1" applyFont="1" applyFill="1" applyAlignment="1" applyProtection="1">
      <alignment horizontal="right" vertical="center"/>
    </xf>
    <xf numFmtId="177" fontId="34" fillId="12" borderId="1" xfId="13" applyNumberFormat="1" applyFont="1" applyFill="1" applyBorder="1" applyAlignment="1" applyProtection="1">
      <alignment horizontal="right"/>
    </xf>
    <xf numFmtId="165" fontId="34" fillId="0" borderId="0" xfId="0" applyFont="1"/>
    <xf numFmtId="165" fontId="65" fillId="13" borderId="13" xfId="42" applyAlignment="1">
      <alignment vertical="center"/>
    </xf>
    <xf numFmtId="165" fontId="65" fillId="13" borderId="13" xfId="40" quotePrefix="1" applyAlignment="1">
      <alignment horizontal="center"/>
    </xf>
    <xf numFmtId="165" fontId="65" fillId="13" borderId="13" xfId="40" applyAlignment="1">
      <alignment horizontal="center"/>
    </xf>
    <xf numFmtId="165" fontId="66" fillId="4" borderId="13" xfId="43" quotePrefix="1" applyAlignment="1">
      <alignment horizontal="left" vertical="center"/>
    </xf>
    <xf numFmtId="165" fontId="65" fillId="13" borderId="13" xfId="45" quotePrefix="1" applyAlignment="1">
      <alignment horizontal="left" vertical="center"/>
    </xf>
    <xf numFmtId="165" fontId="65" fillId="13" borderId="13" xfId="45" applyAlignment="1">
      <alignment horizontal="left" vertical="center"/>
    </xf>
    <xf numFmtId="0" fontId="16" fillId="0" borderId="0" xfId="4" applyNumberFormat="1" applyFont="1" applyFill="1" applyAlignment="1" applyProtection="1">
      <alignment horizontal="left" wrapText="1"/>
    </xf>
    <xf numFmtId="167" fontId="47" fillId="4" borderId="13" xfId="23" applyNumberFormat="1" applyAlignment="1">
      <alignment horizontal="right" vertical="center"/>
    </xf>
    <xf numFmtId="179" fontId="17" fillId="4" borderId="13" xfId="41" applyAlignment="1">
      <alignment horizontal="right" vertical="center"/>
    </xf>
    <xf numFmtId="179" fontId="65" fillId="13" borderId="13" xfId="44" applyAlignment="1">
      <alignment horizontal="right" vertical="center"/>
    </xf>
    <xf numFmtId="3" fontId="45" fillId="5" borderId="13" xfId="20" applyNumberFormat="1" applyAlignment="1">
      <alignment horizontal="right" vertical="center"/>
    </xf>
    <xf numFmtId="169" fontId="16" fillId="0" borderId="0" xfId="0" applyNumberFormat="1" applyFont="1"/>
    <xf numFmtId="171" fontId="16" fillId="0" borderId="9" xfId="0" applyNumberFormat="1" applyFont="1" applyBorder="1" applyAlignment="1">
      <alignment horizontal="right" vertical="center" wrapText="1" readingOrder="1"/>
    </xf>
    <xf numFmtId="165" fontId="16" fillId="0" borderId="9" xfId="0" applyFont="1" applyFill="1" applyBorder="1" applyAlignment="1">
      <alignment horizontal="right" vertical="center" wrapText="1" readingOrder="1"/>
    </xf>
    <xf numFmtId="171" fontId="54" fillId="11" borderId="0" xfId="0" applyNumberFormat="1" applyFont="1" applyFill="1" applyBorder="1" applyAlignment="1">
      <alignment horizontal="right" vertical="center" wrapText="1"/>
    </xf>
    <xf numFmtId="3" fontId="0" fillId="0" borderId="0" xfId="0" applyNumberFormat="1" applyBorder="1"/>
    <xf numFmtId="165" fontId="54" fillId="11" borderId="0" xfId="0" applyFont="1" applyFill="1" applyBorder="1" applyAlignment="1">
      <alignment horizontal="right" vertical="center" wrapText="1"/>
    </xf>
    <xf numFmtId="171" fontId="16" fillId="11" borderId="9" xfId="0" applyNumberFormat="1" applyFont="1" applyFill="1" applyBorder="1" applyAlignment="1">
      <alignment horizontal="right" vertical="center" wrapText="1"/>
    </xf>
    <xf numFmtId="165" fontId="16" fillId="11" borderId="10" xfId="0" applyFont="1" applyFill="1" applyBorder="1" applyAlignment="1">
      <alignment horizontal="right" vertical="center" wrapText="1"/>
    </xf>
    <xf numFmtId="3" fontId="54" fillId="11" borderId="0" xfId="0" applyNumberFormat="1" applyFont="1" applyFill="1" applyBorder="1" applyAlignment="1">
      <alignment horizontal="right" vertical="center" wrapText="1"/>
    </xf>
    <xf numFmtId="0" fontId="54" fillId="0" borderId="0" xfId="6" applyFont="1" applyFill="1" applyBorder="1" applyAlignment="1" applyProtection="1">
      <alignment horizontal="left" vertical="top" wrapText="1"/>
    </xf>
    <xf numFmtId="165" fontId="34" fillId="0" borderId="0" xfId="7" applyFont="1" applyFill="1" applyAlignment="1">
      <alignment horizontal="left" readingOrder="1"/>
    </xf>
    <xf numFmtId="3" fontId="16" fillId="11" borderId="0" xfId="0" applyNumberFormat="1" applyFont="1" applyFill="1" applyBorder="1" applyAlignment="1">
      <alignment horizontal="right" vertical="center" wrapText="1"/>
    </xf>
    <xf numFmtId="165" fontId="16" fillId="11" borderId="8" xfId="0" applyFont="1" applyFill="1" applyBorder="1" applyAlignment="1">
      <alignment horizontal="right" vertical="center" wrapText="1"/>
    </xf>
    <xf numFmtId="0" fontId="1" fillId="0" borderId="0" xfId="48" applyAlignment="1">
      <alignment horizontal="center" vertical="center" wrapText="1"/>
    </xf>
    <xf numFmtId="0" fontId="1" fillId="0" borderId="0" xfId="48"/>
    <xf numFmtId="14" fontId="1" fillId="0" borderId="0" xfId="48" applyNumberFormat="1"/>
    <xf numFmtId="3" fontId="68" fillId="0" borderId="24" xfId="48" applyNumberFormat="1" applyFont="1" applyBorder="1" applyAlignment="1">
      <alignment horizontal="right" vertical="center"/>
    </xf>
    <xf numFmtId="167" fontId="68" fillId="0" borderId="24" xfId="48" applyNumberFormat="1" applyFont="1" applyBorder="1" applyAlignment="1">
      <alignment horizontal="right" vertical="center"/>
    </xf>
    <xf numFmtId="171" fontId="1" fillId="0" borderId="0" xfId="48" applyNumberFormat="1"/>
    <xf numFmtId="1" fontId="1" fillId="0" borderId="0" xfId="48" applyNumberFormat="1"/>
    <xf numFmtId="180" fontId="16" fillId="0" borderId="0" xfId="0" applyNumberFormat="1" applyFont="1"/>
    <xf numFmtId="169" fontId="56" fillId="0" borderId="0" xfId="0" applyNumberFormat="1" applyFont="1" applyFill="1"/>
    <xf numFmtId="169" fontId="16" fillId="0" borderId="0" xfId="0" applyNumberFormat="1" applyFont="1" applyFill="1"/>
    <xf numFmtId="1" fontId="64" fillId="0" borderId="0" xfId="12" applyNumberFormat="1" applyFont="1" applyFill="1"/>
    <xf numFmtId="0" fontId="16" fillId="0" borderId="0" xfId="4" applyNumberFormat="1" applyFont="1" applyFill="1" applyBorder="1" applyAlignment="1" applyProtection="1">
      <alignment horizontal="justify"/>
    </xf>
    <xf numFmtId="3" fontId="68" fillId="0" borderId="0" xfId="48" applyNumberFormat="1" applyFont="1" applyBorder="1" applyAlignment="1">
      <alignment horizontal="right" vertical="center"/>
    </xf>
    <xf numFmtId="0" fontId="16" fillId="0" borderId="0" xfId="4" applyNumberFormat="1" applyFont="1" applyFill="1" applyBorder="1" applyAlignment="1" applyProtection="1">
      <alignment wrapText="1"/>
    </xf>
    <xf numFmtId="0" fontId="16" fillId="0" borderId="0" xfId="4" applyNumberFormat="1" applyFont="1" applyFill="1" applyBorder="1" applyAlignment="1" applyProtection="1"/>
    <xf numFmtId="165" fontId="46" fillId="6" borderId="13" xfId="29" quotePrefix="1" applyAlignment="1">
      <alignment horizontal="center"/>
    </xf>
    <xf numFmtId="171" fontId="16" fillId="2" borderId="7" xfId="0" applyNumberFormat="1" applyFont="1" applyFill="1" applyBorder="1"/>
    <xf numFmtId="165" fontId="46" fillId="6" borderId="13" xfId="29" quotePrefix="1" applyAlignment="1">
      <alignment horizontal="center"/>
    </xf>
    <xf numFmtId="1" fontId="16" fillId="0" borderId="0" xfId="12" applyNumberFormat="1" applyFont="1" applyFill="1" applyAlignment="1">
      <alignment horizontal="center"/>
    </xf>
    <xf numFmtId="0" fontId="16" fillId="0" borderId="0" xfId="4" applyNumberFormat="1" applyFont="1" applyFill="1" applyBorder="1" applyAlignment="1" applyProtection="1">
      <alignment horizontal="justify"/>
    </xf>
    <xf numFmtId="0" fontId="16" fillId="0" borderId="0" xfId="4" applyNumberFormat="1" applyFont="1" applyFill="1" applyAlignment="1" applyProtection="1">
      <alignment horizontal="left" wrapText="1"/>
    </xf>
    <xf numFmtId="0" fontId="16" fillId="0" borderId="5" xfId="4" applyNumberFormat="1" applyFont="1" applyFill="1" applyBorder="1" applyAlignment="1" applyProtection="1">
      <alignment horizontal="justify" wrapText="1"/>
    </xf>
    <xf numFmtId="0" fontId="16" fillId="0" borderId="5" xfId="4" applyNumberFormat="1" applyFont="1" applyFill="1" applyBorder="1" applyAlignment="1" applyProtection="1">
      <alignment horizontal="justify"/>
    </xf>
    <xf numFmtId="0" fontId="16" fillId="0" borderId="0" xfId="4" applyNumberFormat="1" applyFont="1" applyFill="1" applyBorder="1" applyAlignment="1" applyProtection="1">
      <alignment horizontal="left" wrapText="1"/>
    </xf>
    <xf numFmtId="0" fontId="16" fillId="0" borderId="0" xfId="4" applyNumberFormat="1" applyFont="1" applyFill="1" applyBorder="1" applyAlignment="1" applyProtection="1">
      <alignment horizontal="left"/>
    </xf>
    <xf numFmtId="165" fontId="34" fillId="0" borderId="0" xfId="4" applyFont="1" applyFill="1" applyBorder="1" applyAlignment="1" applyProtection="1">
      <alignment horizontal="left" vertical="top" wrapText="1"/>
    </xf>
    <xf numFmtId="165" fontId="12" fillId="3" borderId="2" xfId="4" quotePrefix="1" applyNumberFormat="1" applyFont="1" applyFill="1" applyBorder="1" applyAlignment="1" applyProtection="1">
      <alignment horizontal="right" indent="1"/>
    </xf>
    <xf numFmtId="0" fontId="12" fillId="3" borderId="2" xfId="4" applyNumberFormat="1" applyFont="1" applyFill="1" applyBorder="1" applyAlignment="1" applyProtection="1">
      <alignment horizontal="right" indent="1"/>
    </xf>
    <xf numFmtId="165" fontId="12" fillId="3" borderId="2" xfId="4" applyFont="1" applyFill="1" applyBorder="1" applyAlignment="1" applyProtection="1">
      <alignment horizontal="right" indent="1"/>
    </xf>
    <xf numFmtId="0" fontId="34" fillId="0" borderId="0" xfId="6" applyFont="1" applyFill="1" applyBorder="1" applyAlignment="1" applyProtection="1">
      <alignment horizontal="left" vertical="top" wrapText="1"/>
    </xf>
    <xf numFmtId="0" fontId="34" fillId="0" borderId="0" xfId="2" applyFont="1" applyFill="1" applyBorder="1" applyAlignment="1" applyProtection="1">
      <alignment horizontal="left" vertical="top" wrapText="1"/>
    </xf>
    <xf numFmtId="165" fontId="34" fillId="2" borderId="0" xfId="10" quotePrefix="1" applyNumberFormat="1" applyFont="1" applyFill="1" applyBorder="1" applyAlignment="1">
      <alignment horizontal="center" vertical="center"/>
    </xf>
    <xf numFmtId="0" fontId="34" fillId="2" borderId="8" xfId="10" applyNumberFormat="1" applyFont="1" applyFill="1" applyBorder="1" applyAlignment="1">
      <alignment horizontal="center" vertical="center"/>
    </xf>
    <xf numFmtId="0" fontId="34" fillId="2" borderId="0" xfId="10" applyNumberFormat="1" applyFont="1" applyFill="1" applyBorder="1" applyAlignment="1">
      <alignment horizontal="center" vertical="center"/>
    </xf>
    <xf numFmtId="165" fontId="16" fillId="2" borderId="20" xfId="0" applyFont="1" applyFill="1" applyBorder="1" applyAlignment="1">
      <alignment horizontal="center" wrapText="1"/>
    </xf>
    <xf numFmtId="165" fontId="16" fillId="2" borderId="7" xfId="0" applyFont="1" applyFill="1" applyBorder="1" applyAlignment="1">
      <alignment horizontal="center" wrapText="1"/>
    </xf>
    <xf numFmtId="165" fontId="46" fillId="6" borderId="15" xfId="29" quotePrefix="1" applyBorder="1" applyAlignment="1">
      <alignment horizontal="center"/>
    </xf>
    <xf numFmtId="165" fontId="46" fillId="6" borderId="14" xfId="29" quotePrefix="1" applyBorder="1" applyAlignment="1">
      <alignment horizontal="center"/>
    </xf>
    <xf numFmtId="165" fontId="46" fillId="6" borderId="15" xfId="26" quotePrefix="1" applyBorder="1" applyAlignment="1">
      <alignment horizontal="center" vertical="center"/>
    </xf>
    <xf numFmtId="165" fontId="46" fillId="6" borderId="14" xfId="26" quotePrefix="1" applyBorder="1" applyAlignment="1">
      <alignment horizontal="center" vertical="center"/>
    </xf>
    <xf numFmtId="165" fontId="66" fillId="4" borderId="22" xfId="43" quotePrefix="1" applyBorder="1" applyAlignment="1">
      <alignment horizontal="left" vertical="center"/>
    </xf>
    <xf numFmtId="165" fontId="0" fillId="0" borderId="23" xfId="0" applyBorder="1" applyAlignment="1">
      <alignment horizontal="left" vertical="center"/>
    </xf>
    <xf numFmtId="165" fontId="66" fillId="4" borderId="21" xfId="43" quotePrefix="1" applyBorder="1" applyAlignment="1">
      <alignment horizontal="left" vertical="center"/>
    </xf>
    <xf numFmtId="165" fontId="0" fillId="0" borderId="22" xfId="0" applyBorder="1" applyAlignment="1">
      <alignment horizontal="left" vertical="center"/>
    </xf>
    <xf numFmtId="165" fontId="46" fillId="6" borderId="13" xfId="29" quotePrefix="1" applyAlignment="1">
      <alignment horizontal="center"/>
    </xf>
    <xf numFmtId="165" fontId="0" fillId="0" borderId="11" xfId="0" applyBorder="1" applyAlignment="1">
      <alignment horizontal="center"/>
    </xf>
    <xf numFmtId="165" fontId="0" fillId="0" borderId="14" xfId="0" applyBorder="1" applyAlignment="1">
      <alignment horizontal="center"/>
    </xf>
    <xf numFmtId="165" fontId="46" fillId="6" borderId="13" xfId="29" quotePrefix="1" applyBorder="1" applyAlignment="1">
      <alignment horizontal="center"/>
    </xf>
    <xf numFmtId="165" fontId="46" fillId="6" borderId="11" xfId="29" quotePrefix="1" applyBorder="1" applyAlignment="1">
      <alignment horizontal="center"/>
    </xf>
    <xf numFmtId="165" fontId="0" fillId="0" borderId="14" xfId="0" applyBorder="1" applyAlignment="1">
      <alignment horizontal="center" vertical="center"/>
    </xf>
    <xf numFmtId="165" fontId="46" fillId="10" borderId="15" xfId="29" applyFill="1" applyBorder="1" applyAlignment="1">
      <alignment horizontal="center"/>
    </xf>
    <xf numFmtId="165" fontId="46" fillId="10" borderId="14" xfId="29" applyFill="1" applyBorder="1" applyAlignment="1">
      <alignment horizontal="center"/>
    </xf>
    <xf numFmtId="165" fontId="34" fillId="2" borderId="12" xfId="0" applyFont="1" applyFill="1" applyBorder="1" applyAlignment="1" applyProtection="1">
      <alignment horizontal="center"/>
    </xf>
    <xf numFmtId="0" fontId="34" fillId="0" borderId="3" xfId="11" applyFont="1" applyFill="1" applyBorder="1" applyAlignment="1">
      <alignment horizontal="center"/>
    </xf>
  </cellXfs>
  <cellStyles count="49">
    <cellStyle name="consejo" xfId="10" xr:uid="{00000000-0005-0000-0000-000000000000}"/>
    <cellStyle name="Hipervínculo 2" xfId="17" xr:uid="{00000000-0005-0000-0000-000001000000}"/>
    <cellStyle name="Hipervínculo 3" xfId="15" xr:uid="{00000000-0005-0000-0000-000002000000}"/>
    <cellStyle name="Millares" xfId="18" builtinId="3"/>
    <cellStyle name="MSTRStyle.Todos.c1_f233c5b5-8efc-40cc-a089-d6ee1d6d5aff" xfId="28" xr:uid="{00000000-0005-0000-0000-000004000000}"/>
    <cellStyle name="MSTRStyle.Todos.c12_41e5c802-0036-4296-98c2-7fda3afe8126" xfId="46" xr:uid="{67A0AA3A-AC11-4695-8802-88404AA6C089}"/>
    <cellStyle name="MSTRStyle.Todos.c12_7a1e8989-ce78-4d49-8f33-804e75eaa9ac" xfId="41" xr:uid="{00000000-0005-0000-0000-000005000000}"/>
    <cellStyle name="MSTRStyle.Todos.c13_1c857d04-1888-46ca-a093-da254b91b892" xfId="45" xr:uid="{00000000-0005-0000-0000-000006000000}"/>
    <cellStyle name="MSTRStyle.Todos.c13_7e420611-275d-473b-8f31-0e521fd83d09" xfId="26" xr:uid="{00000000-0005-0000-0000-000007000000}"/>
    <cellStyle name="MSTRStyle.Todos.c14_bd018b41-2aac-4afa-b128-186e0d2a0ba8" xfId="44" xr:uid="{00000000-0005-0000-0000-000008000000}"/>
    <cellStyle name="MSTRStyle.Todos.c15_2cf64c0a-4b23-4d71-9fc9-4d389f48a7db" xfId="35" xr:uid="{00000000-0005-0000-0000-000009000000}"/>
    <cellStyle name="MSTRStyle.Todos.c16_a3abbdba-39c5-4475-8de4-e6135500e251" xfId="23" xr:uid="{00000000-0005-0000-0000-00000A000000}"/>
    <cellStyle name="MSTRStyle.Todos.c17_4d0c6726-016a-458a-8b38-aa05b0e7297c" xfId="47" xr:uid="{D18DF0AE-27F8-4B95-8BD1-57C13B7B04DF}"/>
    <cellStyle name="MSTRStyle.Todos.c18_19c4098a-8743-4bc4-b466-65d82a5a7505" xfId="24" xr:uid="{00000000-0005-0000-0000-00000B000000}"/>
    <cellStyle name="MSTRStyle.Todos.c19_15009b83-d662-472c-ae48-4df3fea471dd" xfId="36" xr:uid="{00000000-0005-0000-0000-00000C000000}"/>
    <cellStyle name="MSTRStyle.Todos.c2_3c6e317f-bd39-4422-933b-ac144830b67b" xfId="21" xr:uid="{00000000-0005-0000-0000-00000D000000}"/>
    <cellStyle name="MSTRStyle.Todos.c2_c104d2fa-5300-418c-a569-abbb41344e9d" xfId="42" xr:uid="{00000000-0005-0000-0000-00000E000000}"/>
    <cellStyle name="MSTRStyle.Todos.c20_17d38e15-bcc2-49f6-adb0-74fa24f73c0d" xfId="19" xr:uid="{00000000-0005-0000-0000-00000F000000}"/>
    <cellStyle name="MSTRStyle.Todos.c21_8e710c8e-e33a-4c2d-8e81-b7657ce67fb9" xfId="33" xr:uid="{00000000-0005-0000-0000-000010000000}"/>
    <cellStyle name="MSTRStyle.Todos.c22_928c9b5c-8086-45a3-84f9-2dc5b737a557" xfId="27" xr:uid="{00000000-0005-0000-0000-000011000000}"/>
    <cellStyle name="MSTRStyle.Todos.c23_54a66e00-ce3a-4eb4-88c1-b8c753f0ebd7" xfId="32" xr:uid="{00000000-0005-0000-0000-000012000000}"/>
    <cellStyle name="MSTRStyle.Todos.c23_b4897d19-5129-427d-b27c-b6d10c22bb8b" xfId="20" xr:uid="{00000000-0005-0000-0000-000013000000}"/>
    <cellStyle name="MSTRStyle.Todos.c24_035038c2-2ddd-4b85-84d7-5bc27c6cfc1f" xfId="22" xr:uid="{00000000-0005-0000-0000-000014000000}"/>
    <cellStyle name="MSTRStyle.Todos.c25_afaf7586-66ac-412d-9de1-4c2909e1f8f2" xfId="31" xr:uid="{00000000-0005-0000-0000-000015000000}"/>
    <cellStyle name="MSTRStyle.Todos.c3_643e75d5-5bb6-4a8f-a153-5b2cbad6ca42" xfId="25" xr:uid="{00000000-0005-0000-0000-000016000000}"/>
    <cellStyle name="MSTRStyle.Todos.c3_c7acf525-e5b5-4332-9962-8db109e784ea" xfId="43" xr:uid="{00000000-0005-0000-0000-000017000000}"/>
    <cellStyle name="MSTRStyle.Todos.c6_81bfd3a6-0f47-492d-bc49-79c4fbba0499" xfId="34" xr:uid="{00000000-0005-0000-0000-000018000000}"/>
    <cellStyle name="MSTRStyle.Todos.c7_3e22e94e-2e1a-4be3-9466-931f06a0e26e" xfId="30" xr:uid="{00000000-0005-0000-0000-000019000000}"/>
    <cellStyle name="MSTRStyle.Todos.c7_4be24ddf-a144-4ef7-aea0-57f6cd34329f" xfId="40" xr:uid="{00000000-0005-0000-0000-00001A000000}"/>
    <cellStyle name="MSTRStyle.Todos.c9_5a51e594-f96b-4da2-8e95-9c20ffe12f9e" xfId="29" xr:uid="{00000000-0005-0000-0000-00001B000000}"/>
    <cellStyle name="Normal" xfId="0" builtinId="0"/>
    <cellStyle name="Normal 10" xfId="48" xr:uid="{7058EDDB-2C98-440F-B7DB-70A68D35EAE7}"/>
    <cellStyle name="Normal 2" xfId="4" xr:uid="{00000000-0005-0000-0000-00001D000000}"/>
    <cellStyle name="Normal 2 2" xfId="11" xr:uid="{00000000-0005-0000-0000-00001E000000}"/>
    <cellStyle name="Normal 2 2 2" xfId="16" xr:uid="{00000000-0005-0000-0000-00001F000000}"/>
    <cellStyle name="Normal 3" xfId="3" xr:uid="{00000000-0005-0000-0000-000020000000}"/>
    <cellStyle name="Normal 3 2" xfId="8" xr:uid="{00000000-0005-0000-0000-000021000000}"/>
    <cellStyle name="Normal 4" xfId="5" xr:uid="{00000000-0005-0000-0000-000022000000}"/>
    <cellStyle name="Normal 4 2" xfId="7" xr:uid="{00000000-0005-0000-0000-000023000000}"/>
    <cellStyle name="Normal 5" xfId="12" xr:uid="{00000000-0005-0000-0000-000024000000}"/>
    <cellStyle name="Normal 6" xfId="37" xr:uid="{00000000-0005-0000-0000-000025000000}"/>
    <cellStyle name="Normal 7" xfId="2" xr:uid="{00000000-0005-0000-0000-000026000000}"/>
    <cellStyle name="Normal 8" xfId="38" xr:uid="{00000000-0005-0000-0000-000027000000}"/>
    <cellStyle name="Normal 9" xfId="39" xr:uid="{00000000-0005-0000-0000-000028000000}"/>
    <cellStyle name="Normal_3 Regimen Ordinario" xfId="14" xr:uid="{00000000-0005-0000-0000-000029000000}"/>
    <cellStyle name="Normal_5 Regimen Especial" xfId="6" xr:uid="{00000000-0005-0000-0000-00002A000000}"/>
    <cellStyle name="Normal_A1 Comparacion Internacional" xfId="1" xr:uid="{00000000-0005-0000-0000-00002B000000}"/>
    <cellStyle name="Normal_cuadro 1.1 2" xfId="9" xr:uid="{00000000-0005-0000-0000-00002C000000}"/>
    <cellStyle name="Porcentaje" xfId="13" builtinId="5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5F5F5"/>
      <color rgb="FF44B114"/>
      <color rgb="FF385723"/>
      <color rgb="FFDFA7A3"/>
      <color rgb="FFDAACA8"/>
      <color rgb="FFD6ADAC"/>
      <color rgb="FFD6AD84"/>
      <color rgb="FFFFCCCC"/>
      <color rgb="FFFF99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32E5-4465-9654-3942BDE5BA0E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32E5-4465-9654-3942BDE5BA0E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32E5-4465-9654-3942BDE5BA0E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32E5-4465-9654-3942BDE5BA0E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32E5-4465-9654-3942BDE5BA0E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32E5-4465-9654-3942BDE5BA0E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32E5-4465-9654-3942BDE5BA0E}"/>
              </c:ext>
            </c:extLst>
          </c:dPt>
          <c:dPt>
            <c:idx val="7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0F-32E5-4465-9654-3942BDE5BA0E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32E5-4465-9654-3942BDE5BA0E}"/>
              </c:ext>
            </c:extLst>
          </c:dPt>
          <c:dPt>
            <c:idx val="9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3-32E5-4465-9654-3942BDE5BA0E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32E5-4465-9654-3942BDE5BA0E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32E5-4465-9654-3942BDE5BA0E}"/>
              </c:ext>
            </c:extLst>
          </c:dPt>
          <c:dLbls>
            <c:dLbl>
              <c:idx val="0"/>
              <c:layout>
                <c:manualLayout>
                  <c:x val="0.13333333333333333"/>
                  <c:y val="-0.12614852555195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E5-4465-9654-3942BDE5BA0E}"/>
                </c:ext>
              </c:extLst>
            </c:dLbl>
            <c:dLbl>
              <c:idx val="1"/>
              <c:layout>
                <c:manualLayout>
                  <c:x val="0.20162601626016249"/>
                  <c:y val="-5.2287581699346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E5-4465-9654-3942BDE5BA0E}"/>
                </c:ext>
              </c:extLst>
            </c:dLbl>
            <c:dLbl>
              <c:idx val="2"/>
              <c:layout>
                <c:manualLayout>
                  <c:x val="0.17560975609756097"/>
                  <c:y val="-2.614379084967320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2E5-4465-9654-3942BDE5BA0E}"/>
                </c:ext>
              </c:extLst>
            </c:dLbl>
            <c:dLbl>
              <c:idx val="3"/>
              <c:layout>
                <c:manualLayout>
                  <c:x val="0.14308943089430895"/>
                  <c:y val="0.162091503267973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2E5-4465-9654-3942BDE5BA0E}"/>
                </c:ext>
              </c:extLst>
            </c:dLbl>
            <c:dLbl>
              <c:idx val="4"/>
              <c:layout>
                <c:manualLayout>
                  <c:x val="0.11707317073170732"/>
                  <c:y val="0.151633986928104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E5-4465-9654-3942BDE5BA0E}"/>
                </c:ext>
              </c:extLst>
            </c:dLbl>
            <c:dLbl>
              <c:idx val="5"/>
              <c:layout>
                <c:manualLayout>
                  <c:x val="-0.24715447154471545"/>
                  <c:y val="0.1190291801760073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016272965879266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32E5-4465-9654-3942BDE5BA0E}"/>
                </c:ext>
              </c:extLst>
            </c:dLbl>
            <c:dLbl>
              <c:idx val="6"/>
              <c:layout>
                <c:manualLayout>
                  <c:x val="-0.3772357723577236"/>
                  <c:y val="-1.0457516339869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E5-4465-9654-3942BDE5BA0E}"/>
                </c:ext>
              </c:extLst>
            </c:dLbl>
            <c:dLbl>
              <c:idx val="7"/>
              <c:layout>
                <c:manualLayout>
                  <c:x val="-0.27317073170731709"/>
                  <c:y val="-0.125490196078431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E5-4465-9654-3942BDE5BA0E}"/>
                </c:ext>
              </c:extLst>
            </c:dLbl>
            <c:dLbl>
              <c:idx val="8"/>
              <c:layout>
                <c:manualLayout>
                  <c:x val="-0.22276435567505282"/>
                  <c:y val="3.39869281045751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32E5-4465-9654-3942BDE5BA0E}"/>
                </c:ext>
              </c:extLst>
            </c:dLbl>
            <c:dLbl>
              <c:idx val="9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32E5-4465-9654-3942BDE5BA0E}"/>
                </c:ext>
              </c:extLst>
            </c:dLbl>
            <c:dLbl>
              <c:idx val="10"/>
              <c:layout>
                <c:manualLayout>
                  <c:x val="-0.21463414634146344"/>
                  <c:y val="-7.5816993464052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32E5-4465-9654-3942BDE5BA0E}"/>
                </c:ext>
              </c:extLst>
            </c:dLbl>
            <c:dLbl>
              <c:idx val="11"/>
              <c:layout>
                <c:manualLayout>
                  <c:x val="-9.9186991869918723E-2"/>
                  <c:y val="-0.14379084967320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32E5-4465-9654-3942BDE5BA0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Dat_01!$A$33:$A$44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Dat_01!$C$33:$C$44</c:f>
              <c:numCache>
                <c:formatCode>#,##0.0</c:formatCode>
                <c:ptCount val="12"/>
                <c:pt idx="0">
                  <c:v>3.1867808626252563</c:v>
                </c:pt>
                <c:pt idx="1">
                  <c:v>6.8134554057821388</c:v>
                </c:pt>
                <c:pt idx="2">
                  <c:v>5.7226816293617242</c:v>
                </c:pt>
                <c:pt idx="3">
                  <c:v>23.51332287894186</c:v>
                </c:pt>
                <c:pt idx="4">
                  <c:v>5.414329571227106</c:v>
                </c:pt>
                <c:pt idx="5">
                  <c:v>0.42260226227173692</c:v>
                </c:pt>
                <c:pt idx="6">
                  <c:v>0.11659226391692841</c:v>
                </c:pt>
                <c:pt idx="7">
                  <c:v>25.478744695792827</c:v>
                </c:pt>
                <c:pt idx="8">
                  <c:v>16.353396015585734</c:v>
                </c:pt>
                <c:pt idx="9">
                  <c:v>9.7475481944389948</c:v>
                </c:pt>
                <c:pt idx="10">
                  <c:v>2.205655499472738</c:v>
                </c:pt>
                <c:pt idx="11">
                  <c:v>1.0248907205829638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2E5-4465-9654-3942BDE5BA0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Dat_01!$A$143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7CF9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Dat_01!$B$143:$N$143</c:f>
              <c:numCache>
                <c:formatCode>#,##0.0</c:formatCode>
                <c:ptCount val="13"/>
                <c:pt idx="0">
                  <c:v>172.10635217000001</c:v>
                </c:pt>
                <c:pt idx="1">
                  <c:v>321.94269827400001</c:v>
                </c:pt>
                <c:pt idx="2">
                  <c:v>233.77888705199999</c:v>
                </c:pt>
                <c:pt idx="3">
                  <c:v>229.83714941400001</c:v>
                </c:pt>
                <c:pt idx="4">
                  <c:v>303.52379088800001</c:v>
                </c:pt>
                <c:pt idx="5">
                  <c:v>314.35098405000002</c:v>
                </c:pt>
                <c:pt idx="6">
                  <c:v>243.63992918599999</c:v>
                </c:pt>
                <c:pt idx="7">
                  <c:v>152.39581989600001</c:v>
                </c:pt>
                <c:pt idx="8">
                  <c:v>167.16093403400001</c:v>
                </c:pt>
                <c:pt idx="9">
                  <c:v>158.85512120000001</c:v>
                </c:pt>
                <c:pt idx="10">
                  <c:v>187.668031348</c:v>
                </c:pt>
                <c:pt idx="11">
                  <c:v>229.96712263000001</c:v>
                </c:pt>
                <c:pt idx="12">
                  <c:v>198.0479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0-4BE9-B18B-1E29E3BE3F83}"/>
            </c:ext>
          </c:extLst>
        </c:ser>
        <c:ser>
          <c:idx val="2"/>
          <c:order val="1"/>
          <c:tx>
            <c:strRef>
              <c:f>Dat_01!$A$144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Dat_01!$B$144:$N$144</c:f>
              <c:numCache>
                <c:formatCode>#,##0.0</c:formatCode>
                <c:ptCount val="13"/>
                <c:pt idx="0">
                  <c:v>3427.5262950000001</c:v>
                </c:pt>
                <c:pt idx="1">
                  <c:v>4349.8902129999997</c:v>
                </c:pt>
                <c:pt idx="2">
                  <c:v>5289.1958240000004</c:v>
                </c:pt>
                <c:pt idx="3">
                  <c:v>4885.6830239999999</c:v>
                </c:pt>
                <c:pt idx="4">
                  <c:v>5174.9451150000004</c:v>
                </c:pt>
                <c:pt idx="5">
                  <c:v>4085.604789</c:v>
                </c:pt>
                <c:pt idx="6">
                  <c:v>3078.9784669999999</c:v>
                </c:pt>
                <c:pt idx="7">
                  <c:v>3621.3812859999998</c:v>
                </c:pt>
                <c:pt idx="8">
                  <c:v>5159.0193049999998</c:v>
                </c:pt>
                <c:pt idx="9">
                  <c:v>5151.9122530000004</c:v>
                </c:pt>
                <c:pt idx="10">
                  <c:v>4871.2094020000004</c:v>
                </c:pt>
                <c:pt idx="11">
                  <c:v>4528.3442359999999</c:v>
                </c:pt>
                <c:pt idx="12">
                  <c:v>4654.2524999999996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70-4BE9-B18B-1E29E3BE3F83}"/>
            </c:ext>
          </c:extLst>
        </c:ser>
        <c:ser>
          <c:idx val="0"/>
          <c:order val="2"/>
          <c:tx>
            <c:strRef>
              <c:f>Dat_01!$A$145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Dat_01!$B$145:$N$145</c:f>
              <c:numCache>
                <c:formatCode>#,##0.0</c:formatCode>
                <c:ptCount val="13"/>
                <c:pt idx="0">
                  <c:v>548.13411599999995</c:v>
                </c:pt>
                <c:pt idx="1">
                  <c:v>374.11610899999999</c:v>
                </c:pt>
                <c:pt idx="2">
                  <c:v>869.06686000000002</c:v>
                </c:pt>
                <c:pt idx="3">
                  <c:v>822.66154500000005</c:v>
                </c:pt>
                <c:pt idx="4">
                  <c:v>476.52099399999997</c:v>
                </c:pt>
                <c:pt idx="5">
                  <c:v>306.83838200000002</c:v>
                </c:pt>
                <c:pt idx="6">
                  <c:v>244.57665399999999</c:v>
                </c:pt>
                <c:pt idx="7">
                  <c:v>362.74284999999998</c:v>
                </c:pt>
                <c:pt idx="8">
                  <c:v>303.34445399999998</c:v>
                </c:pt>
                <c:pt idx="9">
                  <c:v>338.34975300000002</c:v>
                </c:pt>
                <c:pt idx="10">
                  <c:v>282.63350100000002</c:v>
                </c:pt>
                <c:pt idx="11">
                  <c:v>235.10996900000001</c:v>
                </c:pt>
                <c:pt idx="12">
                  <c:v>340.17090000000002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70-4BE9-B18B-1E29E3BE3F83}"/>
            </c:ext>
          </c:extLst>
        </c:ser>
        <c:ser>
          <c:idx val="1"/>
          <c:order val="3"/>
          <c:tx>
            <c:strRef>
              <c:f>Dat_01!$A$146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Dat_01!$B$146:$N$146</c:f>
              <c:numCache>
                <c:formatCode>#,##0.0</c:formatCode>
                <c:ptCount val="13"/>
                <c:pt idx="0">
                  <c:v>3860.487071</c:v>
                </c:pt>
                <c:pt idx="1">
                  <c:v>2755.5232569999998</c:v>
                </c:pt>
                <c:pt idx="2">
                  <c:v>3272.2781909999999</c:v>
                </c:pt>
                <c:pt idx="3">
                  <c:v>2388.4234710000001</c:v>
                </c:pt>
                <c:pt idx="4">
                  <c:v>1386.2401649999999</c:v>
                </c:pt>
                <c:pt idx="5">
                  <c:v>1731.0447300000001</c:v>
                </c:pt>
                <c:pt idx="6">
                  <c:v>2018.170026</c:v>
                </c:pt>
                <c:pt idx="7">
                  <c:v>3556.6723459999998</c:v>
                </c:pt>
                <c:pt idx="8">
                  <c:v>5829.9045759999999</c:v>
                </c:pt>
                <c:pt idx="9">
                  <c:v>5051.1759540000003</c:v>
                </c:pt>
                <c:pt idx="10">
                  <c:v>4546.4520769999999</c:v>
                </c:pt>
                <c:pt idx="11">
                  <c:v>2791.4263310000001</c:v>
                </c:pt>
                <c:pt idx="12">
                  <c:v>3232.4526000000001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70-4BE9-B18B-1E29E3BE3F83}"/>
            </c:ext>
          </c:extLst>
        </c:ser>
        <c:ser>
          <c:idx val="5"/>
          <c:order val="4"/>
          <c:tx>
            <c:strRef>
              <c:f>Dat_01!$A$151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Dat_01!$B$151:$N$151</c:f>
              <c:numCache>
                <c:formatCode>#,##0.0</c:formatCode>
                <c:ptCount val="13"/>
                <c:pt idx="0">
                  <c:v>2467.9510030000001</c:v>
                </c:pt>
                <c:pt idx="1">
                  <c:v>2342.3448360000002</c:v>
                </c:pt>
                <c:pt idx="2">
                  <c:v>2436.1478390000002</c:v>
                </c:pt>
                <c:pt idx="3">
                  <c:v>2231.4833699999999</c:v>
                </c:pt>
                <c:pt idx="4">
                  <c:v>2231.357293</c:v>
                </c:pt>
                <c:pt idx="5">
                  <c:v>1925.2418520000001</c:v>
                </c:pt>
                <c:pt idx="6">
                  <c:v>2084.3367929999999</c:v>
                </c:pt>
                <c:pt idx="7">
                  <c:v>2185.8913440000001</c:v>
                </c:pt>
                <c:pt idx="8">
                  <c:v>2299.6183460000002</c:v>
                </c:pt>
                <c:pt idx="9">
                  <c:v>2189.017257</c:v>
                </c:pt>
                <c:pt idx="10">
                  <c:v>2398.8736269999999</c:v>
                </c:pt>
                <c:pt idx="11">
                  <c:v>2351.5301490000002</c:v>
                </c:pt>
                <c:pt idx="12">
                  <c:v>2400.6185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70-4BE9-B18B-1E29E3BE3F83}"/>
            </c:ext>
          </c:extLst>
        </c:ser>
        <c:ser>
          <c:idx val="3"/>
          <c:order val="5"/>
          <c:tx>
            <c:strRef>
              <c:f>Dat_01!$A$152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Dat_01!$B$152:$N$152</c:f>
              <c:numCache>
                <c:formatCode>#,##0.0</c:formatCode>
                <c:ptCount val="13"/>
                <c:pt idx="0">
                  <c:v>144.5833825</c:v>
                </c:pt>
                <c:pt idx="1">
                  <c:v>160.99247</c:v>
                </c:pt>
                <c:pt idx="2">
                  <c:v>157.97660099999999</c:v>
                </c:pt>
                <c:pt idx="3">
                  <c:v>163.5454105</c:v>
                </c:pt>
                <c:pt idx="4">
                  <c:v>166.0983985</c:v>
                </c:pt>
                <c:pt idx="5">
                  <c:v>134.23411250000001</c:v>
                </c:pt>
                <c:pt idx="6">
                  <c:v>139.503086</c:v>
                </c:pt>
                <c:pt idx="7">
                  <c:v>134.24086700000001</c:v>
                </c:pt>
                <c:pt idx="8">
                  <c:v>129.766637</c:v>
                </c:pt>
                <c:pt idx="9">
                  <c:v>178.9639675</c:v>
                </c:pt>
                <c:pt idx="10">
                  <c:v>173.89508950000001</c:v>
                </c:pt>
                <c:pt idx="11">
                  <c:v>156.50662750000001</c:v>
                </c:pt>
                <c:pt idx="12">
                  <c:v>178.09399999999999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70-4BE9-B18B-1E29E3BE3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3288"/>
        <c:axId val="690943680"/>
      </c:barChart>
      <c:catAx>
        <c:axId val="690943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680"/>
        <c:crosses val="autoZero"/>
        <c:auto val="1"/>
        <c:lblAlgn val="ctr"/>
        <c:lblOffset val="100"/>
        <c:noMultiLvlLbl val="1"/>
      </c:catAx>
      <c:valAx>
        <c:axId val="690943680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49555547907273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Dat_01!$W$178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86-462B-82E6-5CB9BA0106B9}"/>
              </c:ext>
            </c:extLst>
          </c:dPt>
          <c:dPt>
            <c:idx val="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FBE1-4447-9B95-6E000051BCCC}"/>
              </c:ext>
            </c:extLst>
          </c:dPt>
          <c:dPt>
            <c:idx val="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2E9B-4267-9522-A9849656F051}"/>
              </c:ext>
            </c:extLst>
          </c:dPt>
          <c:dPt>
            <c:idx val="5"/>
            <c:invertIfNegative val="0"/>
            <c:bubble3D val="0"/>
            <c:spPr>
              <a:solidFill>
                <a:srgbClr val="38572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86-462B-82E6-5CB9BA0106B9}"/>
              </c:ext>
            </c:extLst>
          </c:dPt>
          <c:dPt>
            <c:idx val="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A66-4769-BDF5-E92B1CE694E7}"/>
              </c:ext>
            </c:extLst>
          </c:dPt>
          <c:dPt>
            <c:idx val="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4E5B-4A73-9497-A98ABCECEEB9}"/>
              </c:ext>
            </c:extLst>
          </c:dPt>
          <c:dPt>
            <c:idx val="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86-462B-82E6-5CB9BA0106B9}"/>
              </c:ext>
            </c:extLst>
          </c:dPt>
          <c:dPt>
            <c:idx val="1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8111-4A0E-B83D-1544EFB4B877}"/>
              </c:ext>
            </c:extLst>
          </c:dPt>
          <c:dPt>
            <c:idx val="1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86-462B-82E6-5CB9BA0106B9}"/>
              </c:ext>
            </c:extLst>
          </c:dPt>
          <c:dPt>
            <c:idx val="1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C86-462B-82E6-5CB9BA0106B9}"/>
              </c:ext>
            </c:extLst>
          </c:dPt>
          <c:dPt>
            <c:idx val="1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6080-43E7-A08E-993CB70CAE32}"/>
              </c:ext>
            </c:extLst>
          </c:dPt>
          <c:dPt>
            <c:idx val="1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77D3-414D-8244-F92ABFF5E3CB}"/>
              </c:ext>
            </c:extLst>
          </c:dPt>
          <c:dPt>
            <c:idx val="1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C86-462B-82E6-5CB9BA0106B9}"/>
              </c:ext>
            </c:extLst>
          </c:dPt>
          <c:dPt>
            <c:idx val="1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258D-4659-BF57-5B540963CCB1}"/>
              </c:ext>
            </c:extLst>
          </c:dPt>
          <c:dPt>
            <c:idx val="2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C86-462B-82E6-5CB9BA0106B9}"/>
              </c:ext>
            </c:extLst>
          </c:dPt>
          <c:dPt>
            <c:idx val="2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C86-462B-82E6-5CB9BA0106B9}"/>
              </c:ext>
            </c:extLst>
          </c:dPt>
          <c:dPt>
            <c:idx val="2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C86-462B-82E6-5CB9BA0106B9}"/>
              </c:ext>
            </c:extLst>
          </c:dPt>
          <c:dPt>
            <c:idx val="2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394B-47E8-B370-D3A158253148}"/>
              </c:ext>
            </c:extLst>
          </c:dPt>
          <c:dPt>
            <c:idx val="2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C86-462B-82E6-5CB9BA0106B9}"/>
              </c:ext>
            </c:extLst>
          </c:dPt>
          <c:dPt>
            <c:idx val="2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CDBF-429D-AE67-B0C4E86261DF}"/>
              </c:ext>
            </c:extLst>
          </c:dPt>
          <c:cat>
            <c:numRef>
              <c:f>[0]!Eol_Fechas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Dat_01!$W$180:$W$209</c:f>
              <c:numCache>
                <c:formatCode>0_)</c:formatCode>
                <c:ptCount val="30"/>
                <c:pt idx="0">
                  <c:v>128.73320000000001</c:v>
                </c:pt>
                <c:pt idx="1">
                  <c:v>84.921899999999994</c:v>
                </c:pt>
                <c:pt idx="2">
                  <c:v>172.1371</c:v>
                </c:pt>
                <c:pt idx="3">
                  <c:v>214.43929999999997</c:v>
                </c:pt>
                <c:pt idx="4">
                  <c:v>306.63709999999998</c:v>
                </c:pt>
                <c:pt idx="5">
                  <c:v>329.87809999999996</c:v>
                </c:pt>
                <c:pt idx="6">
                  <c:v>226.16290000000001</c:v>
                </c:pt>
                <c:pt idx="7">
                  <c:v>157.23429999999999</c:v>
                </c:pt>
                <c:pt idx="8">
                  <c:v>67.509500000000003</c:v>
                </c:pt>
                <c:pt idx="9">
                  <c:v>38.072800000000001</c:v>
                </c:pt>
                <c:pt idx="10">
                  <c:v>138.75779999999997</c:v>
                </c:pt>
                <c:pt idx="11">
                  <c:v>97.941500000000005</c:v>
                </c:pt>
                <c:pt idx="12">
                  <c:v>76.722399999999993</c:v>
                </c:pt>
                <c:pt idx="13">
                  <c:v>135.81909999999999</c:v>
                </c:pt>
                <c:pt idx="14">
                  <c:v>217.65539999999999</c:v>
                </c:pt>
                <c:pt idx="15">
                  <c:v>104.098</c:v>
                </c:pt>
                <c:pt idx="16">
                  <c:v>62.576500000000003</c:v>
                </c:pt>
                <c:pt idx="17">
                  <c:v>89.039699999999996</c:v>
                </c:pt>
                <c:pt idx="18">
                  <c:v>184.89920000000001</c:v>
                </c:pt>
                <c:pt idx="19">
                  <c:v>252.0625</c:v>
                </c:pt>
                <c:pt idx="20">
                  <c:v>119.71889999999999</c:v>
                </c:pt>
                <c:pt idx="21">
                  <c:v>59.758499999999998</c:v>
                </c:pt>
                <c:pt idx="22">
                  <c:v>50.143300000000004</c:v>
                </c:pt>
                <c:pt idx="23">
                  <c:v>105.64569999999999</c:v>
                </c:pt>
                <c:pt idx="24">
                  <c:v>122.8772</c:v>
                </c:pt>
                <c:pt idx="25">
                  <c:v>223.2808</c:v>
                </c:pt>
                <c:pt idx="26">
                  <c:v>157.6765</c:v>
                </c:pt>
                <c:pt idx="27">
                  <c:v>76.442599999999999</c:v>
                </c:pt>
                <c:pt idx="28">
                  <c:v>59.502400000000002</c:v>
                </c:pt>
                <c:pt idx="29">
                  <c:v>89.236199999999997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944464"/>
        <c:axId val="690944856"/>
      </c:barChart>
      <c:lineChart>
        <c:grouping val="standard"/>
        <c:varyColors val="0"/>
        <c:ser>
          <c:idx val="1"/>
          <c:order val="1"/>
          <c:tx>
            <c:strRef>
              <c:f>Dat_01!$V$178</c:f>
              <c:strCache>
                <c:ptCount val="1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[0]!Eol_Fechas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[0]!Eol_Porcentaje</c:f>
              <c:numCache>
                <c:formatCode>0.0_)</c:formatCode>
                <c:ptCount val="30"/>
                <c:pt idx="0">
                  <c:v>24.206988393044174</c:v>
                </c:pt>
                <c:pt idx="1">
                  <c:v>15.123677642782168</c:v>
                </c:pt>
                <c:pt idx="2">
                  <c:v>27.448483794135136</c:v>
                </c:pt>
                <c:pt idx="3">
                  <c:v>32.169647589391296</c:v>
                </c:pt>
                <c:pt idx="4">
                  <c:v>43.406290772522922</c:v>
                </c:pt>
                <c:pt idx="5">
                  <c:v>45.724224012286342</c:v>
                </c:pt>
                <c:pt idx="6">
                  <c:v>34.861209740605155</c:v>
                </c:pt>
                <c:pt idx="7">
                  <c:v>27.485011088621746</c:v>
                </c:pt>
                <c:pt idx="8">
                  <c:v>10.983667875893232</c:v>
                </c:pt>
                <c:pt idx="9">
                  <c:v>5.9271132333192913</c:v>
                </c:pt>
                <c:pt idx="10">
                  <c:v>21.964432757472789</c:v>
                </c:pt>
                <c:pt idx="11">
                  <c:v>15.626842336446794</c:v>
                </c:pt>
                <c:pt idx="12">
                  <c:v>12.831856260945496</c:v>
                </c:pt>
                <c:pt idx="13">
                  <c:v>24.694134876833051</c:v>
                </c:pt>
                <c:pt idx="14">
                  <c:v>36.81896126924066</c:v>
                </c:pt>
                <c:pt idx="15">
                  <c:v>16.691338039280073</c:v>
                </c:pt>
                <c:pt idx="16">
                  <c:v>10.536880555303448</c:v>
                </c:pt>
                <c:pt idx="17">
                  <c:v>14.49509714385065</c:v>
                </c:pt>
                <c:pt idx="18">
                  <c:v>27.475674486890679</c:v>
                </c:pt>
                <c:pt idx="19">
                  <c:v>35.1641647707837</c:v>
                </c:pt>
                <c:pt idx="20">
                  <c:v>20.627685634077139</c:v>
                </c:pt>
                <c:pt idx="21">
                  <c:v>10.840337735063549</c:v>
                </c:pt>
                <c:pt idx="22">
                  <c:v>7.6076732004804013</c:v>
                </c:pt>
                <c:pt idx="23">
                  <c:v>15.206033953800274</c:v>
                </c:pt>
                <c:pt idx="24">
                  <c:v>18.019922087871411</c:v>
                </c:pt>
                <c:pt idx="25">
                  <c:v>30.054629288755869</c:v>
                </c:pt>
                <c:pt idx="26">
                  <c:v>21.343648215082908</c:v>
                </c:pt>
                <c:pt idx="27">
                  <c:v>12.568217335296437</c:v>
                </c:pt>
                <c:pt idx="28">
                  <c:v>10.277471912974914</c:v>
                </c:pt>
                <c:pt idx="29">
                  <c:v>13.242267842356286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45640"/>
        <c:axId val="690945248"/>
      </c:lineChart>
      <c:catAx>
        <c:axId val="69094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856"/>
        <c:crosses val="autoZero"/>
        <c:auto val="0"/>
        <c:lblAlgn val="ctr"/>
        <c:lblOffset val="100"/>
        <c:noMultiLvlLbl val="0"/>
      </c:catAx>
      <c:valAx>
        <c:axId val="690944856"/>
        <c:scaling>
          <c:orientation val="minMax"/>
          <c:max val="6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464"/>
        <c:crosses val="autoZero"/>
        <c:crossBetween val="between"/>
        <c:majorUnit val="50"/>
      </c:valAx>
      <c:valAx>
        <c:axId val="690945248"/>
        <c:scaling>
          <c:orientation val="minMax"/>
          <c:max val="6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5640"/>
        <c:crosses val="max"/>
        <c:crossBetween val="between"/>
        <c:majorUnit val="5"/>
      </c:valAx>
      <c:catAx>
        <c:axId val="690945640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69094524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04125549645195"/>
          <c:y val="3.694906307732911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90633608815426E-2"/>
          <c:y val="6.4971625915181658E-2"/>
          <c:w val="0.89118457300275478"/>
          <c:h val="0.74282612579186769"/>
        </c:manualLayout>
      </c:layout>
      <c:areaChart>
        <c:grouping val="standard"/>
        <c:varyColors val="0"/>
        <c:ser>
          <c:idx val="1"/>
          <c:order val="0"/>
          <c:tx>
            <c:v>HUMEDO</c:v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1"/>
                <c:lvl>
                  <c:pt idx="14">
                    <c:v>N</c:v>
                  </c:pt>
                  <c:pt idx="44">
                    <c:v>D</c:v>
                  </c:pt>
                  <c:pt idx="75">
                    <c:v>E</c:v>
                  </c:pt>
                  <c:pt idx="106">
                    <c:v>F</c:v>
                  </c:pt>
                  <c:pt idx="135">
                    <c:v>M</c:v>
                  </c:pt>
                  <c:pt idx="166">
                    <c:v>A</c:v>
                  </c:pt>
                  <c:pt idx="196">
                    <c:v>M</c:v>
                  </c:pt>
                  <c:pt idx="227">
                    <c:v>J</c:v>
                  </c:pt>
                  <c:pt idx="257">
                    <c:v>J</c:v>
                  </c:pt>
                  <c:pt idx="288">
                    <c:v>A</c:v>
                  </c:pt>
                  <c:pt idx="319">
                    <c:v>S</c:v>
                  </c:pt>
                  <c:pt idx="349">
                    <c:v>O</c:v>
                  </c:pt>
                  <c:pt idx="380">
                    <c:v>N</c:v>
                  </c:pt>
                </c:lvl>
                <c:lvl>
                  <c:pt idx="0">
                    <c:v>2019</c:v>
                  </c:pt>
                  <c:pt idx="92">
                    <c:v>2020</c:v>
                  </c:pt>
                </c:lvl>
              </c:multiLvlStrCache>
            </c:multiLvlStrRef>
          </c:cat>
          <c:val>
            <c:numRef>
              <c:f>'Data 4'!$C$2:$C$395</c:f>
              <c:numCache>
                <c:formatCode>#,##0</c:formatCode>
                <c:ptCount val="394"/>
                <c:pt idx="0">
                  <c:v>266.96189500000003</c:v>
                </c:pt>
                <c:pt idx="1">
                  <c:v>317.642675</c:v>
                </c:pt>
                <c:pt idx="2">
                  <c:v>349.04720299999997</c:v>
                </c:pt>
                <c:pt idx="3">
                  <c:v>347.30126800000005</c:v>
                </c:pt>
                <c:pt idx="4">
                  <c:v>330.28263400000003</c:v>
                </c:pt>
                <c:pt idx="5">
                  <c:v>213.84712299999998</c:v>
                </c:pt>
                <c:pt idx="6">
                  <c:v>246.386143</c:v>
                </c:pt>
                <c:pt idx="7">
                  <c:v>303.51008399999995</c:v>
                </c:pt>
                <c:pt idx="8">
                  <c:v>253.799825</c:v>
                </c:pt>
                <c:pt idx="9">
                  <c:v>287.63457799999998</c:v>
                </c:pt>
                <c:pt idx="10">
                  <c:v>215.39428700000002</c:v>
                </c:pt>
                <c:pt idx="11">
                  <c:v>224.70347699999999</c:v>
                </c:pt>
                <c:pt idx="12">
                  <c:v>248.08118399999998</c:v>
                </c:pt>
                <c:pt idx="13">
                  <c:v>287.01806199999999</c:v>
                </c:pt>
                <c:pt idx="14">
                  <c:v>217.31682899999998</c:v>
                </c:pt>
                <c:pt idx="15">
                  <c:v>153.56777199999999</c:v>
                </c:pt>
                <c:pt idx="16">
                  <c:v>214.21997099999999</c:v>
                </c:pt>
                <c:pt idx="17">
                  <c:v>177.14007599999999</c:v>
                </c:pt>
                <c:pt idx="18">
                  <c:v>96.379756999999998</c:v>
                </c:pt>
                <c:pt idx="19">
                  <c:v>105.01419800000001</c:v>
                </c:pt>
                <c:pt idx="20">
                  <c:v>136.28489199999999</c:v>
                </c:pt>
                <c:pt idx="21">
                  <c:v>310.891122</c:v>
                </c:pt>
                <c:pt idx="22">
                  <c:v>346.43145899999996</c:v>
                </c:pt>
                <c:pt idx="23">
                  <c:v>257.93810400000001</c:v>
                </c:pt>
                <c:pt idx="24">
                  <c:v>253.07458300000002</c:v>
                </c:pt>
                <c:pt idx="25">
                  <c:v>272.91228599999999</c:v>
                </c:pt>
                <c:pt idx="26">
                  <c:v>318.188783</c:v>
                </c:pt>
                <c:pt idx="27">
                  <c:v>260.67021199999999</c:v>
                </c:pt>
                <c:pt idx="28">
                  <c:v>122.29427</c:v>
                </c:pt>
                <c:pt idx="29">
                  <c:v>200.19029699999999</c:v>
                </c:pt>
                <c:pt idx="30">
                  <c:v>123.85886000000001</c:v>
                </c:pt>
                <c:pt idx="31">
                  <c:v>259.28905900000001</c:v>
                </c:pt>
                <c:pt idx="32">
                  <c:v>171.43941800000002</c:v>
                </c:pt>
                <c:pt idx="33">
                  <c:v>136.39610300000001</c:v>
                </c:pt>
                <c:pt idx="34">
                  <c:v>171.32826699999998</c:v>
                </c:pt>
                <c:pt idx="35">
                  <c:v>48.925923000000004</c:v>
                </c:pt>
                <c:pt idx="36">
                  <c:v>36.688713999999997</c:v>
                </c:pt>
                <c:pt idx="37">
                  <c:v>121.175737</c:v>
                </c:pt>
                <c:pt idx="38">
                  <c:v>205.07920199999998</c:v>
                </c:pt>
                <c:pt idx="39">
                  <c:v>159.07757699999999</c:v>
                </c:pt>
                <c:pt idx="40">
                  <c:v>250.818184</c:v>
                </c:pt>
                <c:pt idx="41">
                  <c:v>375.04991699999999</c:v>
                </c:pt>
                <c:pt idx="42">
                  <c:v>397.54071199999998</c:v>
                </c:pt>
                <c:pt idx="43">
                  <c:v>306.04041599999999</c:v>
                </c:pt>
                <c:pt idx="44">
                  <c:v>189.725176</c:v>
                </c:pt>
                <c:pt idx="45">
                  <c:v>251.06848399999998</c:v>
                </c:pt>
                <c:pt idx="46">
                  <c:v>112.453394</c:v>
                </c:pt>
                <c:pt idx="47">
                  <c:v>201.902681</c:v>
                </c:pt>
                <c:pt idx="48">
                  <c:v>313.10053700000003</c:v>
                </c:pt>
                <c:pt idx="49">
                  <c:v>308.41144000000003</c:v>
                </c:pt>
                <c:pt idx="50">
                  <c:v>236.581973</c:v>
                </c:pt>
                <c:pt idx="51">
                  <c:v>236.244902</c:v>
                </c:pt>
                <c:pt idx="52">
                  <c:v>210.09326799999999</c:v>
                </c:pt>
                <c:pt idx="53">
                  <c:v>119.56407</c:v>
                </c:pt>
                <c:pt idx="54">
                  <c:v>87.977371000000005</c:v>
                </c:pt>
                <c:pt idx="55">
                  <c:v>112.29524400000001</c:v>
                </c:pt>
                <c:pt idx="56">
                  <c:v>68.835712999999998</c:v>
                </c:pt>
                <c:pt idx="57">
                  <c:v>58.400758000000003</c:v>
                </c:pt>
                <c:pt idx="58">
                  <c:v>51.101322000000003</c:v>
                </c:pt>
                <c:pt idx="59">
                  <c:v>48.095516000000003</c:v>
                </c:pt>
                <c:pt idx="60">
                  <c:v>41.016286999999998</c:v>
                </c:pt>
                <c:pt idx="61">
                  <c:v>22.725347000000003</c:v>
                </c:pt>
                <c:pt idx="62">
                  <c:v>76.359752999999998</c:v>
                </c:pt>
                <c:pt idx="63">
                  <c:v>82.357483999999999</c:v>
                </c:pt>
                <c:pt idx="64">
                  <c:v>122.930384</c:v>
                </c:pt>
                <c:pt idx="65">
                  <c:v>58.951141999999997</c:v>
                </c:pt>
                <c:pt idx="66">
                  <c:v>46.909647</c:v>
                </c:pt>
                <c:pt idx="67">
                  <c:v>51.860508000000003</c:v>
                </c:pt>
                <c:pt idx="68">
                  <c:v>55.688524000000001</c:v>
                </c:pt>
                <c:pt idx="69">
                  <c:v>129.95991000000001</c:v>
                </c:pt>
                <c:pt idx="70">
                  <c:v>167.80186499999999</c:v>
                </c:pt>
                <c:pt idx="71">
                  <c:v>74.824380000000005</c:v>
                </c:pt>
                <c:pt idx="72">
                  <c:v>55.224713000000001</c:v>
                </c:pt>
                <c:pt idx="73">
                  <c:v>124.76872900000001</c:v>
                </c:pt>
                <c:pt idx="74">
                  <c:v>189.80972200000002</c:v>
                </c:pt>
                <c:pt idx="75">
                  <c:v>191.274269</c:v>
                </c:pt>
                <c:pt idx="76">
                  <c:v>208.316542</c:v>
                </c:pt>
                <c:pt idx="77">
                  <c:v>204.69009899999998</c:v>
                </c:pt>
                <c:pt idx="78">
                  <c:v>192.59486900000002</c:v>
                </c:pt>
                <c:pt idx="79">
                  <c:v>325.860681</c:v>
                </c:pt>
                <c:pt idx="80">
                  <c:v>342.83825199999995</c:v>
                </c:pt>
                <c:pt idx="81">
                  <c:v>275.09031400000003</c:v>
                </c:pt>
                <c:pt idx="82">
                  <c:v>155.30303599999999</c:v>
                </c:pt>
                <c:pt idx="83">
                  <c:v>78.354029000000011</c:v>
                </c:pt>
                <c:pt idx="84">
                  <c:v>59.712023000000002</c:v>
                </c:pt>
                <c:pt idx="85">
                  <c:v>45.160391000000004</c:v>
                </c:pt>
                <c:pt idx="86">
                  <c:v>128.33123800000001</c:v>
                </c:pt>
                <c:pt idx="87">
                  <c:v>259.00190400000002</c:v>
                </c:pt>
                <c:pt idx="88">
                  <c:v>219.239542</c:v>
                </c:pt>
                <c:pt idx="89">
                  <c:v>204.78335799999996</c:v>
                </c:pt>
                <c:pt idx="90">
                  <c:v>225.79374099999998</c:v>
                </c:pt>
                <c:pt idx="91">
                  <c:v>191.00114499999998</c:v>
                </c:pt>
                <c:pt idx="92">
                  <c:v>230.90565800000002</c:v>
                </c:pt>
                <c:pt idx="93">
                  <c:v>162.83007599999999</c:v>
                </c:pt>
                <c:pt idx="94">
                  <c:v>120.832114</c:v>
                </c:pt>
                <c:pt idx="95">
                  <c:v>186.04649499999999</c:v>
                </c:pt>
                <c:pt idx="96">
                  <c:v>161.87779900000001</c:v>
                </c:pt>
                <c:pt idx="97">
                  <c:v>139.702156</c:v>
                </c:pt>
                <c:pt idx="98">
                  <c:v>94.027539999999988</c:v>
                </c:pt>
                <c:pt idx="99">
                  <c:v>67.131011000000001</c:v>
                </c:pt>
                <c:pt idx="100">
                  <c:v>161.85495800000001</c:v>
                </c:pt>
                <c:pt idx="101">
                  <c:v>218.58601000000002</c:v>
                </c:pt>
                <c:pt idx="102">
                  <c:v>109.13270599999998</c:v>
                </c:pt>
                <c:pt idx="103">
                  <c:v>41.696413</c:v>
                </c:pt>
                <c:pt idx="104">
                  <c:v>157.776815</c:v>
                </c:pt>
                <c:pt idx="105">
                  <c:v>66.234709000000009</c:v>
                </c:pt>
                <c:pt idx="106">
                  <c:v>118.31930699999999</c:v>
                </c:pt>
                <c:pt idx="107">
                  <c:v>183.91886199999999</c:v>
                </c:pt>
                <c:pt idx="108">
                  <c:v>177.314727</c:v>
                </c:pt>
                <c:pt idx="109">
                  <c:v>108.73075800000001</c:v>
                </c:pt>
                <c:pt idx="110">
                  <c:v>80.605675000000005</c:v>
                </c:pt>
                <c:pt idx="111">
                  <c:v>96.188664000000003</c:v>
                </c:pt>
                <c:pt idx="112">
                  <c:v>96.746811000000008</c:v>
                </c:pt>
                <c:pt idx="113">
                  <c:v>54.389516999999998</c:v>
                </c:pt>
                <c:pt idx="114">
                  <c:v>52.171697000000002</c:v>
                </c:pt>
                <c:pt idx="115">
                  <c:v>67.420505999999989</c:v>
                </c:pt>
                <c:pt idx="116">
                  <c:v>210.54205199999998</c:v>
                </c:pt>
                <c:pt idx="117">
                  <c:v>235.18856599999998</c:v>
                </c:pt>
                <c:pt idx="118">
                  <c:v>279.29949599999998</c:v>
                </c:pt>
                <c:pt idx="119">
                  <c:v>169.36241700000002</c:v>
                </c:pt>
                <c:pt idx="120">
                  <c:v>329.35033199999998</c:v>
                </c:pt>
                <c:pt idx="121">
                  <c:v>356.06030500000003</c:v>
                </c:pt>
                <c:pt idx="122">
                  <c:v>343.43933399999997</c:v>
                </c:pt>
                <c:pt idx="123">
                  <c:v>343.36612700000001</c:v>
                </c:pt>
                <c:pt idx="124">
                  <c:v>292.942429</c:v>
                </c:pt>
                <c:pt idx="125">
                  <c:v>350.05911199999997</c:v>
                </c:pt>
                <c:pt idx="126">
                  <c:v>353.81008299999996</c:v>
                </c:pt>
                <c:pt idx="127">
                  <c:v>206.33933100000002</c:v>
                </c:pt>
                <c:pt idx="128">
                  <c:v>172.75144299999999</c:v>
                </c:pt>
                <c:pt idx="129">
                  <c:v>226.30976100000001</c:v>
                </c:pt>
                <c:pt idx="130">
                  <c:v>149.84728000000001</c:v>
                </c:pt>
                <c:pt idx="131">
                  <c:v>74.675634000000002</c:v>
                </c:pt>
                <c:pt idx="132">
                  <c:v>89.800191999999996</c:v>
                </c:pt>
                <c:pt idx="133">
                  <c:v>148.69305599999998</c:v>
                </c:pt>
                <c:pt idx="134">
                  <c:v>56.137732999999997</c:v>
                </c:pt>
                <c:pt idx="135">
                  <c:v>149.07385099999999</c:v>
                </c:pt>
                <c:pt idx="136">
                  <c:v>246.623379</c:v>
                </c:pt>
                <c:pt idx="137">
                  <c:v>220.31973499999998</c:v>
                </c:pt>
                <c:pt idx="138">
                  <c:v>113.821556</c:v>
                </c:pt>
                <c:pt idx="139">
                  <c:v>116.584445</c:v>
                </c:pt>
                <c:pt idx="140">
                  <c:v>130.32207099999999</c:v>
                </c:pt>
                <c:pt idx="141">
                  <c:v>70.128062999999997</c:v>
                </c:pt>
                <c:pt idx="142">
                  <c:v>47.946801000000001</c:v>
                </c:pt>
                <c:pt idx="143">
                  <c:v>120.01166000000001</c:v>
                </c:pt>
                <c:pt idx="144">
                  <c:v>133.16797599999998</c:v>
                </c:pt>
                <c:pt idx="145">
                  <c:v>54.625858000000001</c:v>
                </c:pt>
                <c:pt idx="146">
                  <c:v>196.67629500000001</c:v>
                </c:pt>
                <c:pt idx="147">
                  <c:v>110.13828100000001</c:v>
                </c:pt>
                <c:pt idx="148">
                  <c:v>36.911139999999996</c:v>
                </c:pt>
                <c:pt idx="149">
                  <c:v>154.91969899999998</c:v>
                </c:pt>
                <c:pt idx="150">
                  <c:v>234.16220199999998</c:v>
                </c:pt>
                <c:pt idx="151">
                  <c:v>209.101292</c:v>
                </c:pt>
                <c:pt idx="152">
                  <c:v>85.494511000000003</c:v>
                </c:pt>
                <c:pt idx="153">
                  <c:v>120.50856200000001</c:v>
                </c:pt>
                <c:pt idx="154">
                  <c:v>95.716239000000002</c:v>
                </c:pt>
                <c:pt idx="155">
                  <c:v>188.43538899999999</c:v>
                </c:pt>
                <c:pt idx="156">
                  <c:v>188.59655600000002</c:v>
                </c:pt>
                <c:pt idx="157">
                  <c:v>87.856709000000009</c:v>
                </c:pt>
                <c:pt idx="158">
                  <c:v>75.264637000000008</c:v>
                </c:pt>
                <c:pt idx="159">
                  <c:v>64.523509000000004</c:v>
                </c:pt>
                <c:pt idx="160">
                  <c:v>87.74248200000001</c:v>
                </c:pt>
                <c:pt idx="161">
                  <c:v>81.504300000000001</c:v>
                </c:pt>
                <c:pt idx="162">
                  <c:v>70.530736000000005</c:v>
                </c:pt>
                <c:pt idx="163">
                  <c:v>103.15505499999999</c:v>
                </c:pt>
                <c:pt idx="164">
                  <c:v>74.568534999999997</c:v>
                </c:pt>
                <c:pt idx="165">
                  <c:v>98.351004000000003</c:v>
                </c:pt>
                <c:pt idx="166">
                  <c:v>189.98884000000001</c:v>
                </c:pt>
                <c:pt idx="167">
                  <c:v>210.43480300000002</c:v>
                </c:pt>
                <c:pt idx="168">
                  <c:v>160.61517699999999</c:v>
                </c:pt>
                <c:pt idx="169">
                  <c:v>47.134428999999997</c:v>
                </c:pt>
                <c:pt idx="170">
                  <c:v>72.963836000000001</c:v>
                </c:pt>
                <c:pt idx="171">
                  <c:v>133.62629100000001</c:v>
                </c:pt>
                <c:pt idx="172">
                  <c:v>176.23869699999997</c:v>
                </c:pt>
                <c:pt idx="173">
                  <c:v>130.76599200000001</c:v>
                </c:pt>
                <c:pt idx="174">
                  <c:v>60.851399999999998</c:v>
                </c:pt>
                <c:pt idx="175">
                  <c:v>82.625645999999989</c:v>
                </c:pt>
                <c:pt idx="176">
                  <c:v>35.887877000000003</c:v>
                </c:pt>
                <c:pt idx="177">
                  <c:v>57.652014999999999</c:v>
                </c:pt>
                <c:pt idx="178">
                  <c:v>114.832217</c:v>
                </c:pt>
                <c:pt idx="179">
                  <c:v>180.68583699999999</c:v>
                </c:pt>
                <c:pt idx="180">
                  <c:v>246.37021300000001</c:v>
                </c:pt>
                <c:pt idx="181">
                  <c:v>316.74278000000004</c:v>
                </c:pt>
                <c:pt idx="182">
                  <c:v>265.81452900000005</c:v>
                </c:pt>
                <c:pt idx="183">
                  <c:v>151.97775799999999</c:v>
                </c:pt>
                <c:pt idx="184">
                  <c:v>63.662382000000001</c:v>
                </c:pt>
                <c:pt idx="185">
                  <c:v>223.58004699999998</c:v>
                </c:pt>
                <c:pt idx="186">
                  <c:v>106.923464</c:v>
                </c:pt>
                <c:pt idx="187">
                  <c:v>49.506938999999996</c:v>
                </c:pt>
                <c:pt idx="188">
                  <c:v>153.99167399999999</c:v>
                </c:pt>
                <c:pt idx="189">
                  <c:v>115.455065</c:v>
                </c:pt>
                <c:pt idx="190">
                  <c:v>108.09086500000001</c:v>
                </c:pt>
                <c:pt idx="191">
                  <c:v>151.32789700000001</c:v>
                </c:pt>
                <c:pt idx="192">
                  <c:v>185.10229000000001</c:v>
                </c:pt>
                <c:pt idx="193">
                  <c:v>61.266795999999999</c:v>
                </c:pt>
                <c:pt idx="194">
                  <c:v>67.756039999999999</c:v>
                </c:pt>
                <c:pt idx="195">
                  <c:v>148.54701399999999</c:v>
                </c:pt>
                <c:pt idx="196">
                  <c:v>178.96913000000001</c:v>
                </c:pt>
                <c:pt idx="197">
                  <c:v>189.75271300000003</c:v>
                </c:pt>
                <c:pt idx="198">
                  <c:v>114.18745</c:v>
                </c:pt>
                <c:pt idx="199">
                  <c:v>100.416403</c:v>
                </c:pt>
                <c:pt idx="200">
                  <c:v>108.03171299999998</c:v>
                </c:pt>
                <c:pt idx="201">
                  <c:v>48.323706000000001</c:v>
                </c:pt>
                <c:pt idx="202">
                  <c:v>46.976317000000002</c:v>
                </c:pt>
                <c:pt idx="203">
                  <c:v>46.023482999999999</c:v>
                </c:pt>
                <c:pt idx="204">
                  <c:v>151.53487699999999</c:v>
                </c:pt>
                <c:pt idx="205">
                  <c:v>159.31672900000001</c:v>
                </c:pt>
                <c:pt idx="206">
                  <c:v>153.39779800000002</c:v>
                </c:pt>
                <c:pt idx="207">
                  <c:v>203.94939300000001</c:v>
                </c:pt>
                <c:pt idx="208">
                  <c:v>171.21968200000001</c:v>
                </c:pt>
                <c:pt idx="209">
                  <c:v>117.85414</c:v>
                </c:pt>
                <c:pt idx="210">
                  <c:v>72.900422000000006</c:v>
                </c:pt>
                <c:pt idx="211">
                  <c:v>97.419388000000012</c:v>
                </c:pt>
                <c:pt idx="212">
                  <c:v>92.422785999999988</c:v>
                </c:pt>
                <c:pt idx="213">
                  <c:v>46.177878000000007</c:v>
                </c:pt>
                <c:pt idx="214">
                  <c:v>41.044094999999999</c:v>
                </c:pt>
                <c:pt idx="215">
                  <c:v>85.875314000000003</c:v>
                </c:pt>
                <c:pt idx="216">
                  <c:v>204.54746699999998</c:v>
                </c:pt>
                <c:pt idx="217">
                  <c:v>116.340019</c:v>
                </c:pt>
                <c:pt idx="218">
                  <c:v>90.861163000000005</c:v>
                </c:pt>
                <c:pt idx="219">
                  <c:v>193.785405</c:v>
                </c:pt>
                <c:pt idx="220">
                  <c:v>177.117988</c:v>
                </c:pt>
                <c:pt idx="221">
                  <c:v>138.041811</c:v>
                </c:pt>
                <c:pt idx="222">
                  <c:v>86.257873000000004</c:v>
                </c:pt>
                <c:pt idx="223">
                  <c:v>209.45258599999997</c:v>
                </c:pt>
                <c:pt idx="224">
                  <c:v>253.76886199999998</c:v>
                </c:pt>
                <c:pt idx="225">
                  <c:v>169.01295999999999</c:v>
                </c:pt>
                <c:pt idx="226">
                  <c:v>79.483829</c:v>
                </c:pt>
                <c:pt idx="227">
                  <c:v>83.040767000000002</c:v>
                </c:pt>
                <c:pt idx="228">
                  <c:v>112.983405</c:v>
                </c:pt>
                <c:pt idx="229">
                  <c:v>64.546361000000005</c:v>
                </c:pt>
                <c:pt idx="230">
                  <c:v>48.089733000000003</c:v>
                </c:pt>
                <c:pt idx="231">
                  <c:v>56.371910999999997</c:v>
                </c:pt>
                <c:pt idx="232">
                  <c:v>56.804876999999998</c:v>
                </c:pt>
                <c:pt idx="233">
                  <c:v>93.508905999999996</c:v>
                </c:pt>
                <c:pt idx="234">
                  <c:v>131.30022999999997</c:v>
                </c:pt>
                <c:pt idx="235">
                  <c:v>101.871376</c:v>
                </c:pt>
                <c:pt idx="236">
                  <c:v>89.436520999999999</c:v>
                </c:pt>
                <c:pt idx="237">
                  <c:v>82.739983999999993</c:v>
                </c:pt>
                <c:pt idx="238">
                  <c:v>112.994186</c:v>
                </c:pt>
                <c:pt idx="239">
                  <c:v>91.894996000000006</c:v>
                </c:pt>
                <c:pt idx="240">
                  <c:v>63.899411000000001</c:v>
                </c:pt>
                <c:pt idx="241">
                  <c:v>91.831024999999997</c:v>
                </c:pt>
                <c:pt idx="242">
                  <c:v>94.42276600000001</c:v>
                </c:pt>
                <c:pt idx="243">
                  <c:v>90.985439999999997</c:v>
                </c:pt>
                <c:pt idx="244">
                  <c:v>123.16968300000001</c:v>
                </c:pt>
                <c:pt idx="245">
                  <c:v>137.04141499999997</c:v>
                </c:pt>
                <c:pt idx="246">
                  <c:v>102.957401</c:v>
                </c:pt>
                <c:pt idx="247">
                  <c:v>117.405108</c:v>
                </c:pt>
                <c:pt idx="248">
                  <c:v>213.713482</c:v>
                </c:pt>
                <c:pt idx="249">
                  <c:v>133.55902499999999</c:v>
                </c:pt>
                <c:pt idx="250">
                  <c:v>153.37607299999999</c:v>
                </c:pt>
                <c:pt idx="251">
                  <c:v>97.588069000000004</c:v>
                </c:pt>
                <c:pt idx="252">
                  <c:v>132.11793699999998</c:v>
                </c:pt>
                <c:pt idx="253">
                  <c:v>217.17510499999997</c:v>
                </c:pt>
                <c:pt idx="254">
                  <c:v>172.88303299999998</c:v>
                </c:pt>
                <c:pt idx="255">
                  <c:v>188.836975</c:v>
                </c:pt>
                <c:pt idx="256">
                  <c:v>199.31800799999999</c:v>
                </c:pt>
                <c:pt idx="257">
                  <c:v>223.74370999999999</c:v>
                </c:pt>
                <c:pt idx="258">
                  <c:v>196.46447100000003</c:v>
                </c:pt>
                <c:pt idx="259">
                  <c:v>212.92841300000001</c:v>
                </c:pt>
                <c:pt idx="260">
                  <c:v>87.872212000000005</c:v>
                </c:pt>
                <c:pt idx="261">
                  <c:v>76.107695000000007</c:v>
                </c:pt>
                <c:pt idx="262">
                  <c:v>136.62175500000001</c:v>
                </c:pt>
                <c:pt idx="263">
                  <c:v>167.21426500000001</c:v>
                </c:pt>
                <c:pt idx="264">
                  <c:v>79.771640000000005</c:v>
                </c:pt>
                <c:pt idx="265">
                  <c:v>66.864471000000009</c:v>
                </c:pt>
                <c:pt idx="266">
                  <c:v>109.483653</c:v>
                </c:pt>
                <c:pt idx="267">
                  <c:v>75.007659000000004</c:v>
                </c:pt>
                <c:pt idx="268">
                  <c:v>65.888727000000003</c:v>
                </c:pt>
                <c:pt idx="269">
                  <c:v>101.78352099999999</c:v>
                </c:pt>
                <c:pt idx="270">
                  <c:v>134.53842</c:v>
                </c:pt>
                <c:pt idx="271">
                  <c:v>122.706419</c:v>
                </c:pt>
                <c:pt idx="272">
                  <c:v>137.93043700000001</c:v>
                </c:pt>
                <c:pt idx="273">
                  <c:v>56.699894999999998</c:v>
                </c:pt>
                <c:pt idx="274">
                  <c:v>131.74607999999998</c:v>
                </c:pt>
                <c:pt idx="275">
                  <c:v>186.58315400000001</c:v>
                </c:pt>
                <c:pt idx="276">
                  <c:v>150.797743</c:v>
                </c:pt>
                <c:pt idx="277">
                  <c:v>127.979634</c:v>
                </c:pt>
                <c:pt idx="278">
                  <c:v>64.096479000000002</c:v>
                </c:pt>
                <c:pt idx="279">
                  <c:v>105.286523</c:v>
                </c:pt>
                <c:pt idx="280">
                  <c:v>104.448375</c:v>
                </c:pt>
                <c:pt idx="281">
                  <c:v>92.978734000000003</c:v>
                </c:pt>
                <c:pt idx="282">
                  <c:v>81.685799000000003</c:v>
                </c:pt>
                <c:pt idx="283">
                  <c:v>114.205645</c:v>
                </c:pt>
                <c:pt idx="284">
                  <c:v>145.414151</c:v>
                </c:pt>
                <c:pt idx="285">
                  <c:v>97.813288</c:v>
                </c:pt>
                <c:pt idx="286">
                  <c:v>33.689917000000001</c:v>
                </c:pt>
                <c:pt idx="287">
                  <c:v>61.210757000000001</c:v>
                </c:pt>
                <c:pt idx="288">
                  <c:v>118.560697</c:v>
                </c:pt>
                <c:pt idx="289">
                  <c:v>131.750899</c:v>
                </c:pt>
                <c:pt idx="290">
                  <c:v>109.623773</c:v>
                </c:pt>
                <c:pt idx="291">
                  <c:v>85.016632000000001</c:v>
                </c:pt>
                <c:pt idx="292">
                  <c:v>170.35474500000001</c:v>
                </c:pt>
                <c:pt idx="293">
                  <c:v>175.75264999999999</c:v>
                </c:pt>
                <c:pt idx="294">
                  <c:v>116.24560000000001</c:v>
                </c:pt>
                <c:pt idx="295">
                  <c:v>75.846154000000013</c:v>
                </c:pt>
                <c:pt idx="296">
                  <c:v>114.350291</c:v>
                </c:pt>
                <c:pt idx="297">
                  <c:v>101.032933</c:v>
                </c:pt>
                <c:pt idx="298">
                  <c:v>70.946491999999992</c:v>
                </c:pt>
                <c:pt idx="299">
                  <c:v>51.768324999999997</c:v>
                </c:pt>
                <c:pt idx="300">
                  <c:v>66.186119999999988</c:v>
                </c:pt>
                <c:pt idx="301">
                  <c:v>166.32749200000001</c:v>
                </c:pt>
                <c:pt idx="302">
                  <c:v>231.144881</c:v>
                </c:pt>
                <c:pt idx="303">
                  <c:v>164.24040100000002</c:v>
                </c:pt>
                <c:pt idx="304">
                  <c:v>93.676054000000008</c:v>
                </c:pt>
                <c:pt idx="305">
                  <c:v>59.792919999999995</c:v>
                </c:pt>
                <c:pt idx="306">
                  <c:v>121.67389200000001</c:v>
                </c:pt>
                <c:pt idx="307">
                  <c:v>71.601112999999998</c:v>
                </c:pt>
                <c:pt idx="308">
                  <c:v>95.198616999999999</c:v>
                </c:pt>
                <c:pt idx="309">
                  <c:v>172.83699600000003</c:v>
                </c:pt>
                <c:pt idx="310">
                  <c:v>258.654112</c:v>
                </c:pt>
                <c:pt idx="311">
                  <c:v>255.17419599999999</c:v>
                </c:pt>
                <c:pt idx="312">
                  <c:v>165.17334400000001</c:v>
                </c:pt>
                <c:pt idx="313">
                  <c:v>76.408978000000005</c:v>
                </c:pt>
                <c:pt idx="314">
                  <c:v>97.355267999999995</c:v>
                </c:pt>
                <c:pt idx="315">
                  <c:v>84.589106999999998</c:v>
                </c:pt>
                <c:pt idx="316">
                  <c:v>95.803096000000011</c:v>
                </c:pt>
                <c:pt idx="317">
                  <c:v>133.24106599999999</c:v>
                </c:pt>
                <c:pt idx="318">
                  <c:v>143.828925</c:v>
                </c:pt>
                <c:pt idx="319">
                  <c:v>61.647432999999999</c:v>
                </c:pt>
                <c:pt idx="320">
                  <c:v>47.949944000000002</c:v>
                </c:pt>
                <c:pt idx="321">
                  <c:v>131.58466000000001</c:v>
                </c:pt>
                <c:pt idx="322">
                  <c:v>177.42003300000002</c:v>
                </c:pt>
                <c:pt idx="323">
                  <c:v>146.06672499999996</c:v>
                </c:pt>
                <c:pt idx="324">
                  <c:v>71.396695999999991</c:v>
                </c:pt>
                <c:pt idx="325">
                  <c:v>43.955591999999996</c:v>
                </c:pt>
                <c:pt idx="326">
                  <c:v>42.284765</c:v>
                </c:pt>
                <c:pt idx="327">
                  <c:v>118.38412099999999</c:v>
                </c:pt>
                <c:pt idx="328">
                  <c:v>228.58592500000003</c:v>
                </c:pt>
                <c:pt idx="329">
                  <c:v>330.95205399999998</c:v>
                </c:pt>
                <c:pt idx="330">
                  <c:v>271.04849299999995</c:v>
                </c:pt>
                <c:pt idx="331">
                  <c:v>241.81754899999999</c:v>
                </c:pt>
                <c:pt idx="332">
                  <c:v>136.10734099999999</c:v>
                </c:pt>
                <c:pt idx="333">
                  <c:v>53.049739000000002</c:v>
                </c:pt>
                <c:pt idx="334">
                  <c:v>62.263601999999999</c:v>
                </c:pt>
                <c:pt idx="335">
                  <c:v>202.31050400000001</c:v>
                </c:pt>
                <c:pt idx="336">
                  <c:v>362.36230999999998</c:v>
                </c:pt>
                <c:pt idx="337">
                  <c:v>313.48092099999997</c:v>
                </c:pt>
                <c:pt idx="338">
                  <c:v>260.74476300000003</c:v>
                </c:pt>
                <c:pt idx="339">
                  <c:v>174.01282499999999</c:v>
                </c:pt>
                <c:pt idx="340">
                  <c:v>159.32368199999999</c:v>
                </c:pt>
                <c:pt idx="341">
                  <c:v>106.332655</c:v>
                </c:pt>
                <c:pt idx="342">
                  <c:v>60.809453999999995</c:v>
                </c:pt>
                <c:pt idx="343">
                  <c:v>47.700453000000003</c:v>
                </c:pt>
                <c:pt idx="344">
                  <c:v>209.875057</c:v>
                </c:pt>
                <c:pt idx="345">
                  <c:v>251.34652199999999</c:v>
                </c:pt>
                <c:pt idx="346">
                  <c:v>193.375204</c:v>
                </c:pt>
                <c:pt idx="347">
                  <c:v>162.52114800000001</c:v>
                </c:pt>
                <c:pt idx="348">
                  <c:v>204.77274299999999</c:v>
                </c:pt>
                <c:pt idx="349">
                  <c:v>182.10322500000001</c:v>
                </c:pt>
                <c:pt idx="350">
                  <c:v>110.11264899999999</c:v>
                </c:pt>
                <c:pt idx="351">
                  <c:v>50.603324000000001</c:v>
                </c:pt>
                <c:pt idx="352">
                  <c:v>61.568376999999998</c:v>
                </c:pt>
                <c:pt idx="353">
                  <c:v>286.00790000000001</c:v>
                </c:pt>
                <c:pt idx="354">
                  <c:v>337.56828400000001</c:v>
                </c:pt>
                <c:pt idx="355">
                  <c:v>248.21931799999999</c:v>
                </c:pt>
                <c:pt idx="356">
                  <c:v>139.68876200000003</c:v>
                </c:pt>
                <c:pt idx="357">
                  <c:v>164.75299200000001</c:v>
                </c:pt>
                <c:pt idx="358">
                  <c:v>218.189187</c:v>
                </c:pt>
                <c:pt idx="359">
                  <c:v>293.93009999999998</c:v>
                </c:pt>
                <c:pt idx="360">
                  <c:v>273.07115099999993</c:v>
                </c:pt>
                <c:pt idx="361">
                  <c:v>242.38903200000001</c:v>
                </c:pt>
                <c:pt idx="362">
                  <c:v>117.432166</c:v>
                </c:pt>
                <c:pt idx="363">
                  <c:v>58.558472000000002</c:v>
                </c:pt>
                <c:pt idx="364">
                  <c:v>87.580316999999994</c:v>
                </c:pt>
                <c:pt idx="365">
                  <c:v>123.795608</c:v>
                </c:pt>
                <c:pt idx="366">
                  <c:v>128.97480000000002</c:v>
                </c:pt>
                <c:pt idx="367">
                  <c:v>84.933499999999995</c:v>
                </c:pt>
                <c:pt idx="368">
                  <c:v>172.1371</c:v>
                </c:pt>
                <c:pt idx="369">
                  <c:v>214.57400000000001</c:v>
                </c:pt>
                <c:pt idx="370">
                  <c:v>306.68459999999999</c:v>
                </c:pt>
                <c:pt idx="371">
                  <c:v>329.87809999999996</c:v>
                </c:pt>
                <c:pt idx="372">
                  <c:v>226.16290000000001</c:v>
                </c:pt>
                <c:pt idx="373">
                  <c:v>157.23429999999999</c:v>
                </c:pt>
                <c:pt idx="374">
                  <c:v>67.509500000000003</c:v>
                </c:pt>
                <c:pt idx="375">
                  <c:v>38.072800000000001</c:v>
                </c:pt>
                <c:pt idx="376">
                  <c:v>138.79640000000001</c:v>
                </c:pt>
                <c:pt idx="377">
                  <c:v>97.941500000000005</c:v>
                </c:pt>
                <c:pt idx="378">
                  <c:v>76.722399999999993</c:v>
                </c:pt>
                <c:pt idx="379">
                  <c:v>135.83720000000002</c:v>
                </c:pt>
                <c:pt idx="380">
                  <c:v>217.7259</c:v>
                </c:pt>
                <c:pt idx="381">
                  <c:v>104.098</c:v>
                </c:pt>
                <c:pt idx="382">
                  <c:v>62.576500000000003</c:v>
                </c:pt>
                <c:pt idx="383">
                  <c:v>89.039699999999996</c:v>
                </c:pt>
                <c:pt idx="384">
                  <c:v>184.89920000000001</c:v>
                </c:pt>
                <c:pt idx="385">
                  <c:v>252.0625</c:v>
                </c:pt>
                <c:pt idx="386">
                  <c:v>119.9812</c:v>
                </c:pt>
                <c:pt idx="387">
                  <c:v>59.809599999999996</c:v>
                </c:pt>
                <c:pt idx="388">
                  <c:v>50.143600000000006</c:v>
                </c:pt>
                <c:pt idx="389">
                  <c:v>105.64569999999999</c:v>
                </c:pt>
                <c:pt idx="390">
                  <c:v>122.8772</c:v>
                </c:pt>
                <c:pt idx="391">
                  <c:v>223.2808</c:v>
                </c:pt>
                <c:pt idx="392">
                  <c:v>157.6765</c:v>
                </c:pt>
                <c:pt idx="393">
                  <c:v>76.442599999999999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5B-41FB-B4FF-442B24B1BF2E}"/>
            </c:ext>
          </c:extLst>
        </c:ser>
        <c:ser>
          <c:idx val="2"/>
          <c:order val="1"/>
          <c:tx>
            <c:v>SECO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1"/>
                <c:lvl>
                  <c:pt idx="14">
                    <c:v>N</c:v>
                  </c:pt>
                  <c:pt idx="44">
                    <c:v>D</c:v>
                  </c:pt>
                  <c:pt idx="75">
                    <c:v>E</c:v>
                  </c:pt>
                  <c:pt idx="106">
                    <c:v>F</c:v>
                  </c:pt>
                  <c:pt idx="135">
                    <c:v>M</c:v>
                  </c:pt>
                  <c:pt idx="166">
                    <c:v>A</c:v>
                  </c:pt>
                  <c:pt idx="196">
                    <c:v>M</c:v>
                  </c:pt>
                  <c:pt idx="227">
                    <c:v>J</c:v>
                  </c:pt>
                  <c:pt idx="257">
                    <c:v>J</c:v>
                  </c:pt>
                  <c:pt idx="288">
                    <c:v>A</c:v>
                  </c:pt>
                  <c:pt idx="319">
                    <c:v>S</c:v>
                  </c:pt>
                  <c:pt idx="349">
                    <c:v>O</c:v>
                  </c:pt>
                  <c:pt idx="380">
                    <c:v>N</c:v>
                  </c:pt>
                </c:lvl>
                <c:lvl>
                  <c:pt idx="0">
                    <c:v>2019</c:v>
                  </c:pt>
                  <c:pt idx="92">
                    <c:v>2020</c:v>
                  </c:pt>
                </c:lvl>
              </c:multiLvlStrCache>
            </c:multiLvlStrRef>
          </c:cat>
          <c:val>
            <c:numRef>
              <c:f>'Data 4'!$D$2:$D$395</c:f>
              <c:numCache>
                <c:formatCode>#,##0.0</c:formatCode>
                <c:ptCount val="394"/>
                <c:pt idx="0">
                  <c:v>158.29445500838051</c:v>
                </c:pt>
                <c:pt idx="1">
                  <c:v>158.29445500838051</c:v>
                </c:pt>
                <c:pt idx="2">
                  <c:v>158.29445500838051</c:v>
                </c:pt>
                <c:pt idx="3">
                  <c:v>158.29445500838051</c:v>
                </c:pt>
                <c:pt idx="4">
                  <c:v>158.29445500838051</c:v>
                </c:pt>
                <c:pt idx="5">
                  <c:v>158.29445500838051</c:v>
                </c:pt>
                <c:pt idx="6">
                  <c:v>158.29445500838051</c:v>
                </c:pt>
                <c:pt idx="7">
                  <c:v>158.29445500838051</c:v>
                </c:pt>
                <c:pt idx="8">
                  <c:v>158.29445500838051</c:v>
                </c:pt>
                <c:pt idx="9">
                  <c:v>158.29445500838051</c:v>
                </c:pt>
                <c:pt idx="10">
                  <c:v>158.29445500838051</c:v>
                </c:pt>
                <c:pt idx="11">
                  <c:v>158.29445500838051</c:v>
                </c:pt>
                <c:pt idx="12">
                  <c:v>158.29445500838051</c:v>
                </c:pt>
                <c:pt idx="13">
                  <c:v>158.29445500838051</c:v>
                </c:pt>
                <c:pt idx="14">
                  <c:v>158.29445500838051</c:v>
                </c:pt>
                <c:pt idx="15">
                  <c:v>158.29445500838051</c:v>
                </c:pt>
                <c:pt idx="16">
                  <c:v>158.29445500838051</c:v>
                </c:pt>
                <c:pt idx="17">
                  <c:v>158.29445500838051</c:v>
                </c:pt>
                <c:pt idx="18">
                  <c:v>158.29445500838051</c:v>
                </c:pt>
                <c:pt idx="19">
                  <c:v>158.29445500838051</c:v>
                </c:pt>
                <c:pt idx="20">
                  <c:v>158.29445500838051</c:v>
                </c:pt>
                <c:pt idx="21">
                  <c:v>158.29445500838051</c:v>
                </c:pt>
                <c:pt idx="22">
                  <c:v>158.29445500838051</c:v>
                </c:pt>
                <c:pt idx="23">
                  <c:v>158.29445500838051</c:v>
                </c:pt>
                <c:pt idx="24">
                  <c:v>158.29445500838051</c:v>
                </c:pt>
                <c:pt idx="25">
                  <c:v>158.29445500838051</c:v>
                </c:pt>
                <c:pt idx="26">
                  <c:v>158.29445500838051</c:v>
                </c:pt>
                <c:pt idx="27">
                  <c:v>158.29445500838051</c:v>
                </c:pt>
                <c:pt idx="28">
                  <c:v>158.29445500838051</c:v>
                </c:pt>
                <c:pt idx="29">
                  <c:v>158.29445500838051</c:v>
                </c:pt>
                <c:pt idx="30">
                  <c:v>154.57471549703288</c:v>
                </c:pt>
                <c:pt idx="31">
                  <c:v>154.57471549703288</c:v>
                </c:pt>
                <c:pt idx="32">
                  <c:v>154.57471549703288</c:v>
                </c:pt>
                <c:pt idx="33">
                  <c:v>154.57471549703288</c:v>
                </c:pt>
                <c:pt idx="34">
                  <c:v>154.57471549703288</c:v>
                </c:pt>
                <c:pt idx="35">
                  <c:v>154.57471549703288</c:v>
                </c:pt>
                <c:pt idx="36">
                  <c:v>154.57471549703288</c:v>
                </c:pt>
                <c:pt idx="37">
                  <c:v>154.57471549703288</c:v>
                </c:pt>
                <c:pt idx="38">
                  <c:v>154.57471549703288</c:v>
                </c:pt>
                <c:pt idx="39">
                  <c:v>154.57471549703288</c:v>
                </c:pt>
                <c:pt idx="40">
                  <c:v>154.57471549703288</c:v>
                </c:pt>
                <c:pt idx="41">
                  <c:v>154.57471549703288</c:v>
                </c:pt>
                <c:pt idx="42">
                  <c:v>154.57471549703288</c:v>
                </c:pt>
                <c:pt idx="43">
                  <c:v>154.57471549703288</c:v>
                </c:pt>
                <c:pt idx="44">
                  <c:v>154.57471549703288</c:v>
                </c:pt>
                <c:pt idx="45">
                  <c:v>154.57471549703288</c:v>
                </c:pt>
                <c:pt idx="46">
                  <c:v>154.57471549703288</c:v>
                </c:pt>
                <c:pt idx="47">
                  <c:v>154.57471549703288</c:v>
                </c:pt>
                <c:pt idx="48">
                  <c:v>154.57471549703288</c:v>
                </c:pt>
                <c:pt idx="49">
                  <c:v>154.57471549703288</c:v>
                </c:pt>
                <c:pt idx="50">
                  <c:v>154.57471549703288</c:v>
                </c:pt>
                <c:pt idx="51">
                  <c:v>154.57471549703288</c:v>
                </c:pt>
                <c:pt idx="52">
                  <c:v>154.57471549703288</c:v>
                </c:pt>
                <c:pt idx="53">
                  <c:v>154.57471549703288</c:v>
                </c:pt>
                <c:pt idx="54">
                  <c:v>154.57471549703288</c:v>
                </c:pt>
                <c:pt idx="55">
                  <c:v>154.57471549703288</c:v>
                </c:pt>
                <c:pt idx="56">
                  <c:v>154.57471549703288</c:v>
                </c:pt>
                <c:pt idx="57">
                  <c:v>154.57471549703288</c:v>
                </c:pt>
                <c:pt idx="58">
                  <c:v>154.57471549703288</c:v>
                </c:pt>
                <c:pt idx="59">
                  <c:v>154.57471549703288</c:v>
                </c:pt>
                <c:pt idx="60">
                  <c:v>154.57471549703288</c:v>
                </c:pt>
                <c:pt idx="61">
                  <c:v>190.34769104719351</c:v>
                </c:pt>
                <c:pt idx="62">
                  <c:v>190.34769104719351</c:v>
                </c:pt>
                <c:pt idx="63">
                  <c:v>190.34769104719351</c:v>
                </c:pt>
                <c:pt idx="64">
                  <c:v>190.34769104719351</c:v>
                </c:pt>
                <c:pt idx="65">
                  <c:v>190.34769104719351</c:v>
                </c:pt>
                <c:pt idx="66">
                  <c:v>190.34769104719351</c:v>
                </c:pt>
                <c:pt idx="67">
                  <c:v>190.34769104719351</c:v>
                </c:pt>
                <c:pt idx="68">
                  <c:v>190.34769104719351</c:v>
                </c:pt>
                <c:pt idx="69">
                  <c:v>190.34769104719351</c:v>
                </c:pt>
                <c:pt idx="70">
                  <c:v>190.34769104719351</c:v>
                </c:pt>
                <c:pt idx="71">
                  <c:v>190.34769104719351</c:v>
                </c:pt>
                <c:pt idx="72">
                  <c:v>190.34769104719351</c:v>
                </c:pt>
                <c:pt idx="73">
                  <c:v>190.34769104719351</c:v>
                </c:pt>
                <c:pt idx="74">
                  <c:v>190.34769104719351</c:v>
                </c:pt>
                <c:pt idx="75">
                  <c:v>190.34769104719351</c:v>
                </c:pt>
                <c:pt idx="76">
                  <c:v>190.34769104719351</c:v>
                </c:pt>
                <c:pt idx="77">
                  <c:v>190.34769104719351</c:v>
                </c:pt>
                <c:pt idx="78">
                  <c:v>190.34769104719351</c:v>
                </c:pt>
                <c:pt idx="79">
                  <c:v>190.34769104719351</c:v>
                </c:pt>
                <c:pt idx="80">
                  <c:v>190.34769104719351</c:v>
                </c:pt>
                <c:pt idx="81">
                  <c:v>190.34769104719351</c:v>
                </c:pt>
                <c:pt idx="82">
                  <c:v>190.34769104719351</c:v>
                </c:pt>
                <c:pt idx="83">
                  <c:v>190.34769104719351</c:v>
                </c:pt>
                <c:pt idx="84">
                  <c:v>190.34769104719351</c:v>
                </c:pt>
                <c:pt idx="85">
                  <c:v>190.34769104719351</c:v>
                </c:pt>
                <c:pt idx="86">
                  <c:v>190.34769104719351</c:v>
                </c:pt>
                <c:pt idx="87">
                  <c:v>190.34769104719351</c:v>
                </c:pt>
                <c:pt idx="88">
                  <c:v>190.34769104719351</c:v>
                </c:pt>
                <c:pt idx="89">
                  <c:v>190.34769104719351</c:v>
                </c:pt>
                <c:pt idx="90">
                  <c:v>190.34769104719351</c:v>
                </c:pt>
                <c:pt idx="91">
                  <c:v>190.34769104719351</c:v>
                </c:pt>
                <c:pt idx="92">
                  <c:v>199.30530006395392</c:v>
                </c:pt>
                <c:pt idx="93">
                  <c:v>199.30530006395392</c:v>
                </c:pt>
                <c:pt idx="94">
                  <c:v>199.30530006395392</c:v>
                </c:pt>
                <c:pt idx="95">
                  <c:v>199.30530006395392</c:v>
                </c:pt>
                <c:pt idx="96">
                  <c:v>199.30530006395392</c:v>
                </c:pt>
                <c:pt idx="97">
                  <c:v>199.30530006395392</c:v>
                </c:pt>
                <c:pt idx="98">
                  <c:v>199.30530006395392</c:v>
                </c:pt>
                <c:pt idx="99">
                  <c:v>199.30530006395392</c:v>
                </c:pt>
                <c:pt idx="100">
                  <c:v>199.30530006395392</c:v>
                </c:pt>
                <c:pt idx="101">
                  <c:v>199.30530006395392</c:v>
                </c:pt>
                <c:pt idx="102">
                  <c:v>199.30530006395392</c:v>
                </c:pt>
                <c:pt idx="103">
                  <c:v>199.30530006395392</c:v>
                </c:pt>
                <c:pt idx="104">
                  <c:v>199.30530006395392</c:v>
                </c:pt>
                <c:pt idx="105">
                  <c:v>199.30530006395392</c:v>
                </c:pt>
                <c:pt idx="106">
                  <c:v>199.30530006395392</c:v>
                </c:pt>
                <c:pt idx="107">
                  <c:v>199.30530006395392</c:v>
                </c:pt>
                <c:pt idx="108">
                  <c:v>199.30530006395392</c:v>
                </c:pt>
                <c:pt idx="109">
                  <c:v>199.30530006395392</c:v>
                </c:pt>
                <c:pt idx="110">
                  <c:v>199.30530006395392</c:v>
                </c:pt>
                <c:pt idx="111">
                  <c:v>199.30530006395392</c:v>
                </c:pt>
                <c:pt idx="112">
                  <c:v>199.30530006395392</c:v>
                </c:pt>
                <c:pt idx="113">
                  <c:v>199.30530006395392</c:v>
                </c:pt>
                <c:pt idx="114">
                  <c:v>199.30530006395392</c:v>
                </c:pt>
                <c:pt idx="115">
                  <c:v>199.30530006395392</c:v>
                </c:pt>
                <c:pt idx="116">
                  <c:v>199.30530006395392</c:v>
                </c:pt>
                <c:pt idx="117">
                  <c:v>199.30530006395392</c:v>
                </c:pt>
                <c:pt idx="118">
                  <c:v>199.30530006395392</c:v>
                </c:pt>
                <c:pt idx="119">
                  <c:v>199.30530006395392</c:v>
                </c:pt>
                <c:pt idx="120">
                  <c:v>199.30530006395392</c:v>
                </c:pt>
                <c:pt idx="121">
                  <c:v>197.73887366862095</c:v>
                </c:pt>
                <c:pt idx="122">
                  <c:v>191.36020032447189</c:v>
                </c:pt>
                <c:pt idx="123">
                  <c:v>191.36020032447189</c:v>
                </c:pt>
                <c:pt idx="124">
                  <c:v>191.36020032447189</c:v>
                </c:pt>
                <c:pt idx="125">
                  <c:v>191.36020032447189</c:v>
                </c:pt>
                <c:pt idx="126">
                  <c:v>191.36020032447189</c:v>
                </c:pt>
                <c:pt idx="127">
                  <c:v>191.36020032447189</c:v>
                </c:pt>
                <c:pt idx="128">
                  <c:v>191.36020032447189</c:v>
                </c:pt>
                <c:pt idx="129">
                  <c:v>191.36020032447189</c:v>
                </c:pt>
                <c:pt idx="130">
                  <c:v>191.36020032447189</c:v>
                </c:pt>
                <c:pt idx="131">
                  <c:v>191.36020032447189</c:v>
                </c:pt>
                <c:pt idx="132">
                  <c:v>191.36020032447189</c:v>
                </c:pt>
                <c:pt idx="133">
                  <c:v>191.36020032447189</c:v>
                </c:pt>
                <c:pt idx="134">
                  <c:v>191.36020032447189</c:v>
                </c:pt>
                <c:pt idx="135">
                  <c:v>191.36020032447189</c:v>
                </c:pt>
                <c:pt idx="136">
                  <c:v>191.36020032447189</c:v>
                </c:pt>
                <c:pt idx="137">
                  <c:v>191.36020032447189</c:v>
                </c:pt>
                <c:pt idx="138">
                  <c:v>191.36020032447189</c:v>
                </c:pt>
                <c:pt idx="139">
                  <c:v>191.36020032447189</c:v>
                </c:pt>
                <c:pt idx="140">
                  <c:v>191.36020032447189</c:v>
                </c:pt>
                <c:pt idx="141">
                  <c:v>191.36020032447189</c:v>
                </c:pt>
                <c:pt idx="142">
                  <c:v>191.36020032447189</c:v>
                </c:pt>
                <c:pt idx="143">
                  <c:v>191.36020032447189</c:v>
                </c:pt>
                <c:pt idx="144">
                  <c:v>191.36020032447189</c:v>
                </c:pt>
                <c:pt idx="145">
                  <c:v>191.36020032447189</c:v>
                </c:pt>
                <c:pt idx="146">
                  <c:v>191.36020032447189</c:v>
                </c:pt>
                <c:pt idx="147">
                  <c:v>191.36020032447189</c:v>
                </c:pt>
                <c:pt idx="148">
                  <c:v>191.36020032447189</c:v>
                </c:pt>
                <c:pt idx="149">
                  <c:v>191.36020032447189</c:v>
                </c:pt>
                <c:pt idx="150">
                  <c:v>191.36020032447189</c:v>
                </c:pt>
                <c:pt idx="151">
                  <c:v>191.36020032447189</c:v>
                </c:pt>
                <c:pt idx="152">
                  <c:v>157.99441729871316</c:v>
                </c:pt>
                <c:pt idx="153">
                  <c:v>157.99441729871316</c:v>
                </c:pt>
                <c:pt idx="154">
                  <c:v>157.99441729871316</c:v>
                </c:pt>
                <c:pt idx="155">
                  <c:v>157.99441729871316</c:v>
                </c:pt>
                <c:pt idx="156">
                  <c:v>157.99441729871316</c:v>
                </c:pt>
                <c:pt idx="157">
                  <c:v>157.99441729871316</c:v>
                </c:pt>
                <c:pt idx="158">
                  <c:v>157.99441729871316</c:v>
                </c:pt>
                <c:pt idx="159">
                  <c:v>157.99441729871316</c:v>
                </c:pt>
                <c:pt idx="160">
                  <c:v>157.99441729871316</c:v>
                </c:pt>
                <c:pt idx="161">
                  <c:v>157.99441729871316</c:v>
                </c:pt>
                <c:pt idx="162">
                  <c:v>157.99441729871316</c:v>
                </c:pt>
                <c:pt idx="163">
                  <c:v>157.99441729871316</c:v>
                </c:pt>
                <c:pt idx="164">
                  <c:v>157.99441729871316</c:v>
                </c:pt>
                <c:pt idx="165">
                  <c:v>157.99441729871316</c:v>
                </c:pt>
                <c:pt idx="166">
                  <c:v>157.99441729871316</c:v>
                </c:pt>
                <c:pt idx="167">
                  <c:v>157.99441729871316</c:v>
                </c:pt>
                <c:pt idx="168">
                  <c:v>157.99441729871316</c:v>
                </c:pt>
                <c:pt idx="169">
                  <c:v>157.99441729871316</c:v>
                </c:pt>
                <c:pt idx="170">
                  <c:v>157.99441729871316</c:v>
                </c:pt>
                <c:pt idx="171">
                  <c:v>157.99441729871316</c:v>
                </c:pt>
                <c:pt idx="172">
                  <c:v>157.99441729871316</c:v>
                </c:pt>
                <c:pt idx="173">
                  <c:v>157.99441729871316</c:v>
                </c:pt>
                <c:pt idx="174">
                  <c:v>157.99441729871316</c:v>
                </c:pt>
                <c:pt idx="175">
                  <c:v>157.99441729871316</c:v>
                </c:pt>
                <c:pt idx="176">
                  <c:v>157.99441729871316</c:v>
                </c:pt>
                <c:pt idx="177">
                  <c:v>157.99441729871316</c:v>
                </c:pt>
                <c:pt idx="178">
                  <c:v>157.99441729871316</c:v>
                </c:pt>
                <c:pt idx="179">
                  <c:v>157.99441729871316</c:v>
                </c:pt>
                <c:pt idx="180">
                  <c:v>157.99441729871316</c:v>
                </c:pt>
                <c:pt idx="181">
                  <c:v>157.99441729871316</c:v>
                </c:pt>
                <c:pt idx="182">
                  <c:v>142.04868651196702</c:v>
                </c:pt>
                <c:pt idx="183">
                  <c:v>142.04868651196702</c:v>
                </c:pt>
                <c:pt idx="184">
                  <c:v>142.04868651196702</c:v>
                </c:pt>
                <c:pt idx="185">
                  <c:v>142.04868651196702</c:v>
                </c:pt>
                <c:pt idx="186">
                  <c:v>142.04868651196702</c:v>
                </c:pt>
                <c:pt idx="187">
                  <c:v>142.04868651196702</c:v>
                </c:pt>
                <c:pt idx="188">
                  <c:v>142.04868651196702</c:v>
                </c:pt>
                <c:pt idx="189">
                  <c:v>142.04868651196702</c:v>
                </c:pt>
                <c:pt idx="190">
                  <c:v>142.04868651196702</c:v>
                </c:pt>
                <c:pt idx="191">
                  <c:v>142.04868651196702</c:v>
                </c:pt>
                <c:pt idx="192">
                  <c:v>142.04868651196702</c:v>
                </c:pt>
                <c:pt idx="193">
                  <c:v>142.04868651196702</c:v>
                </c:pt>
                <c:pt idx="194">
                  <c:v>142.04868651196702</c:v>
                </c:pt>
                <c:pt idx="195">
                  <c:v>142.04868651196702</c:v>
                </c:pt>
                <c:pt idx="196">
                  <c:v>142.04868651196702</c:v>
                </c:pt>
                <c:pt idx="197">
                  <c:v>142.04868651196702</c:v>
                </c:pt>
                <c:pt idx="198">
                  <c:v>142.04868651196702</c:v>
                </c:pt>
                <c:pt idx="199">
                  <c:v>142.04868651196702</c:v>
                </c:pt>
                <c:pt idx="200">
                  <c:v>142.04868651196702</c:v>
                </c:pt>
                <c:pt idx="201">
                  <c:v>142.04868651196702</c:v>
                </c:pt>
                <c:pt idx="202">
                  <c:v>142.04868651196702</c:v>
                </c:pt>
                <c:pt idx="203">
                  <c:v>142.04868651196702</c:v>
                </c:pt>
                <c:pt idx="204">
                  <c:v>142.04868651196702</c:v>
                </c:pt>
                <c:pt idx="205">
                  <c:v>142.04868651196702</c:v>
                </c:pt>
                <c:pt idx="206">
                  <c:v>142.04868651196702</c:v>
                </c:pt>
                <c:pt idx="207">
                  <c:v>142.04868651196702</c:v>
                </c:pt>
                <c:pt idx="208">
                  <c:v>142.04868651196702</c:v>
                </c:pt>
                <c:pt idx="209">
                  <c:v>142.04868651196702</c:v>
                </c:pt>
                <c:pt idx="210">
                  <c:v>142.04868651196702</c:v>
                </c:pt>
                <c:pt idx="211">
                  <c:v>142.04868651196702</c:v>
                </c:pt>
                <c:pt idx="212">
                  <c:v>142.04868651196702</c:v>
                </c:pt>
                <c:pt idx="213">
                  <c:v>117.98799468998862</c:v>
                </c:pt>
                <c:pt idx="214">
                  <c:v>117.98799468998862</c:v>
                </c:pt>
                <c:pt idx="215">
                  <c:v>117.98799468998862</c:v>
                </c:pt>
                <c:pt idx="216">
                  <c:v>117.98799468998862</c:v>
                </c:pt>
                <c:pt idx="217">
                  <c:v>117.98799468998862</c:v>
                </c:pt>
                <c:pt idx="218">
                  <c:v>117.98799468998862</c:v>
                </c:pt>
                <c:pt idx="219">
                  <c:v>117.98799468998862</c:v>
                </c:pt>
                <c:pt idx="220">
                  <c:v>117.98799468998862</c:v>
                </c:pt>
                <c:pt idx="221">
                  <c:v>117.98799468998862</c:v>
                </c:pt>
                <c:pt idx="222">
                  <c:v>117.98799468998862</c:v>
                </c:pt>
                <c:pt idx="223">
                  <c:v>117.98799468998862</c:v>
                </c:pt>
                <c:pt idx="224">
                  <c:v>117.98799468998862</c:v>
                </c:pt>
                <c:pt idx="225">
                  <c:v>117.98799468998862</c:v>
                </c:pt>
                <c:pt idx="226">
                  <c:v>117.98799468998862</c:v>
                </c:pt>
                <c:pt idx="227">
                  <c:v>117.98799468998862</c:v>
                </c:pt>
                <c:pt idx="228">
                  <c:v>117.98799468998862</c:v>
                </c:pt>
                <c:pt idx="229">
                  <c:v>117.98799468998862</c:v>
                </c:pt>
                <c:pt idx="230">
                  <c:v>117.98799468998862</c:v>
                </c:pt>
                <c:pt idx="231">
                  <c:v>117.98799468998862</c:v>
                </c:pt>
                <c:pt idx="232">
                  <c:v>117.98799468998862</c:v>
                </c:pt>
                <c:pt idx="233">
                  <c:v>117.98799468998862</c:v>
                </c:pt>
                <c:pt idx="234">
                  <c:v>117.98799468998862</c:v>
                </c:pt>
                <c:pt idx="235">
                  <c:v>117.98799468998862</c:v>
                </c:pt>
                <c:pt idx="236">
                  <c:v>117.98799468998862</c:v>
                </c:pt>
                <c:pt idx="237">
                  <c:v>117.98799468998862</c:v>
                </c:pt>
                <c:pt idx="238">
                  <c:v>117.98799468998862</c:v>
                </c:pt>
                <c:pt idx="239">
                  <c:v>117.98799468998862</c:v>
                </c:pt>
                <c:pt idx="240">
                  <c:v>117.98799468998862</c:v>
                </c:pt>
                <c:pt idx="241">
                  <c:v>117.98799468998862</c:v>
                </c:pt>
                <c:pt idx="242">
                  <c:v>117.98799468998862</c:v>
                </c:pt>
                <c:pt idx="243">
                  <c:v>114.16743186792735</c:v>
                </c:pt>
                <c:pt idx="244">
                  <c:v>114.16743186792735</c:v>
                </c:pt>
                <c:pt idx="245">
                  <c:v>114.16743186792735</c:v>
                </c:pt>
                <c:pt idx="246">
                  <c:v>114.16743186792735</c:v>
                </c:pt>
                <c:pt idx="247">
                  <c:v>114.16743186792735</c:v>
                </c:pt>
                <c:pt idx="248">
                  <c:v>114.16743186792735</c:v>
                </c:pt>
                <c:pt idx="249">
                  <c:v>114.16743186792735</c:v>
                </c:pt>
                <c:pt idx="250">
                  <c:v>114.16743186792735</c:v>
                </c:pt>
                <c:pt idx="251">
                  <c:v>114.16743186792735</c:v>
                </c:pt>
                <c:pt idx="252">
                  <c:v>114.16743186792735</c:v>
                </c:pt>
                <c:pt idx="253">
                  <c:v>114.16743186792735</c:v>
                </c:pt>
                <c:pt idx="254">
                  <c:v>114.16743186792735</c:v>
                </c:pt>
                <c:pt idx="255">
                  <c:v>114.16743186792735</c:v>
                </c:pt>
                <c:pt idx="256">
                  <c:v>114.16743186792735</c:v>
                </c:pt>
                <c:pt idx="257">
                  <c:v>114.16743186792735</c:v>
                </c:pt>
                <c:pt idx="258">
                  <c:v>114.16743186792735</c:v>
                </c:pt>
                <c:pt idx="259">
                  <c:v>114.16743186792735</c:v>
                </c:pt>
                <c:pt idx="260">
                  <c:v>114.16743186792735</c:v>
                </c:pt>
                <c:pt idx="261">
                  <c:v>114.16743186792735</c:v>
                </c:pt>
                <c:pt idx="262">
                  <c:v>114.16743186792735</c:v>
                </c:pt>
                <c:pt idx="263">
                  <c:v>114.16743186792735</c:v>
                </c:pt>
                <c:pt idx="264">
                  <c:v>114.16743186792735</c:v>
                </c:pt>
                <c:pt idx="265">
                  <c:v>114.16743186792735</c:v>
                </c:pt>
                <c:pt idx="266">
                  <c:v>114.16743186792735</c:v>
                </c:pt>
                <c:pt idx="267">
                  <c:v>114.16743186792735</c:v>
                </c:pt>
                <c:pt idx="268">
                  <c:v>114.16743186792735</c:v>
                </c:pt>
                <c:pt idx="269">
                  <c:v>114.16743186792735</c:v>
                </c:pt>
                <c:pt idx="270">
                  <c:v>114.16743186792735</c:v>
                </c:pt>
                <c:pt idx="271">
                  <c:v>114.16743186792735</c:v>
                </c:pt>
                <c:pt idx="272">
                  <c:v>114.16743186792735</c:v>
                </c:pt>
                <c:pt idx="273">
                  <c:v>114.16743186792735</c:v>
                </c:pt>
                <c:pt idx="274">
                  <c:v>113.31003930622772</c:v>
                </c:pt>
                <c:pt idx="275">
                  <c:v>113.31003930622772</c:v>
                </c:pt>
                <c:pt idx="276">
                  <c:v>113.31003930622772</c:v>
                </c:pt>
                <c:pt idx="277">
                  <c:v>113.31003930622772</c:v>
                </c:pt>
                <c:pt idx="278">
                  <c:v>113.31003930622772</c:v>
                </c:pt>
                <c:pt idx="279">
                  <c:v>113.31003930622772</c:v>
                </c:pt>
                <c:pt idx="280">
                  <c:v>113.31003930622772</c:v>
                </c:pt>
                <c:pt idx="281">
                  <c:v>113.31003930622772</c:v>
                </c:pt>
                <c:pt idx="282">
                  <c:v>113.31003930622772</c:v>
                </c:pt>
                <c:pt idx="283">
                  <c:v>113.31003930622772</c:v>
                </c:pt>
                <c:pt idx="284">
                  <c:v>113.31003930622772</c:v>
                </c:pt>
                <c:pt idx="285">
                  <c:v>113.31003930622772</c:v>
                </c:pt>
                <c:pt idx="286">
                  <c:v>113.31003930622772</c:v>
                </c:pt>
                <c:pt idx="287">
                  <c:v>113.31003930622772</c:v>
                </c:pt>
                <c:pt idx="288">
                  <c:v>113.31003930622772</c:v>
                </c:pt>
                <c:pt idx="289">
                  <c:v>113.31003930622772</c:v>
                </c:pt>
                <c:pt idx="290">
                  <c:v>113.31003930622772</c:v>
                </c:pt>
                <c:pt idx="291">
                  <c:v>113.31003930622772</c:v>
                </c:pt>
                <c:pt idx="292">
                  <c:v>113.31003930622772</c:v>
                </c:pt>
                <c:pt idx="293">
                  <c:v>113.31003930622772</c:v>
                </c:pt>
                <c:pt idx="294">
                  <c:v>113.31003930622772</c:v>
                </c:pt>
                <c:pt idx="295">
                  <c:v>113.31003930622772</c:v>
                </c:pt>
                <c:pt idx="296">
                  <c:v>113.31003930622772</c:v>
                </c:pt>
                <c:pt idx="297">
                  <c:v>113.31003930622772</c:v>
                </c:pt>
                <c:pt idx="298">
                  <c:v>113.31003930622772</c:v>
                </c:pt>
                <c:pt idx="299">
                  <c:v>113.31003930622772</c:v>
                </c:pt>
                <c:pt idx="300">
                  <c:v>113.31003930622772</c:v>
                </c:pt>
                <c:pt idx="301">
                  <c:v>113.31003930622772</c:v>
                </c:pt>
                <c:pt idx="302">
                  <c:v>113.31003930622772</c:v>
                </c:pt>
                <c:pt idx="303">
                  <c:v>113.31003930622772</c:v>
                </c:pt>
                <c:pt idx="304">
                  <c:v>113.31003930622772</c:v>
                </c:pt>
                <c:pt idx="305">
                  <c:v>107.53022318893329</c:v>
                </c:pt>
                <c:pt idx="306">
                  <c:v>107.53022318893329</c:v>
                </c:pt>
                <c:pt idx="307">
                  <c:v>107.53022318893329</c:v>
                </c:pt>
                <c:pt idx="308">
                  <c:v>107.53022318893329</c:v>
                </c:pt>
                <c:pt idx="309">
                  <c:v>107.53022318893329</c:v>
                </c:pt>
                <c:pt idx="310">
                  <c:v>107.53022318893329</c:v>
                </c:pt>
                <c:pt idx="311">
                  <c:v>107.53022318893329</c:v>
                </c:pt>
                <c:pt idx="312">
                  <c:v>107.53022318893329</c:v>
                </c:pt>
                <c:pt idx="313">
                  <c:v>107.53022318893329</c:v>
                </c:pt>
                <c:pt idx="314">
                  <c:v>107.53022318893329</c:v>
                </c:pt>
                <c:pt idx="315">
                  <c:v>107.53022318893329</c:v>
                </c:pt>
                <c:pt idx="316">
                  <c:v>107.53022318893329</c:v>
                </c:pt>
                <c:pt idx="317">
                  <c:v>107.53022318893329</c:v>
                </c:pt>
                <c:pt idx="318">
                  <c:v>107.53022318893329</c:v>
                </c:pt>
                <c:pt idx="319">
                  <c:v>107.53022318893329</c:v>
                </c:pt>
                <c:pt idx="320">
                  <c:v>107.53022318893329</c:v>
                </c:pt>
                <c:pt idx="321">
                  <c:v>107.53022318893329</c:v>
                </c:pt>
                <c:pt idx="322">
                  <c:v>107.53022318893329</c:v>
                </c:pt>
                <c:pt idx="323">
                  <c:v>107.53022318893329</c:v>
                </c:pt>
                <c:pt idx="324">
                  <c:v>107.53022318893329</c:v>
                </c:pt>
                <c:pt idx="325">
                  <c:v>107.53022318893329</c:v>
                </c:pt>
                <c:pt idx="326">
                  <c:v>107.53022318893329</c:v>
                </c:pt>
                <c:pt idx="327">
                  <c:v>107.53022318893329</c:v>
                </c:pt>
                <c:pt idx="328">
                  <c:v>107.53022318893329</c:v>
                </c:pt>
                <c:pt idx="329">
                  <c:v>107.53022318893329</c:v>
                </c:pt>
                <c:pt idx="330">
                  <c:v>107.53022318893329</c:v>
                </c:pt>
                <c:pt idx="331">
                  <c:v>107.53022318893329</c:v>
                </c:pt>
                <c:pt idx="332">
                  <c:v>107.53022318893329</c:v>
                </c:pt>
                <c:pt idx="333">
                  <c:v>107.53022318893329</c:v>
                </c:pt>
                <c:pt idx="334">
                  <c:v>107.53022318893329</c:v>
                </c:pt>
                <c:pt idx="335">
                  <c:v>127.77685884771405</c:v>
                </c:pt>
                <c:pt idx="336">
                  <c:v>127.77685884771405</c:v>
                </c:pt>
                <c:pt idx="337">
                  <c:v>127.77685884771405</c:v>
                </c:pt>
                <c:pt idx="338">
                  <c:v>127.77685884771405</c:v>
                </c:pt>
                <c:pt idx="339">
                  <c:v>127.77685884771405</c:v>
                </c:pt>
                <c:pt idx="340">
                  <c:v>127.77685884771405</c:v>
                </c:pt>
                <c:pt idx="341">
                  <c:v>127.77685884771405</c:v>
                </c:pt>
                <c:pt idx="342">
                  <c:v>127.77685884771405</c:v>
                </c:pt>
                <c:pt idx="343">
                  <c:v>127.77685884771405</c:v>
                </c:pt>
                <c:pt idx="344">
                  <c:v>127.77685884771405</c:v>
                </c:pt>
                <c:pt idx="345">
                  <c:v>127.77685884771405</c:v>
                </c:pt>
                <c:pt idx="346">
                  <c:v>127.77685884771405</c:v>
                </c:pt>
                <c:pt idx="347">
                  <c:v>127.77685884771405</c:v>
                </c:pt>
                <c:pt idx="348">
                  <c:v>127.77685884771405</c:v>
                </c:pt>
                <c:pt idx="349">
                  <c:v>127.77685884771405</c:v>
                </c:pt>
                <c:pt idx="350">
                  <c:v>127.77685884771405</c:v>
                </c:pt>
                <c:pt idx="351">
                  <c:v>127.77685884771405</c:v>
                </c:pt>
                <c:pt idx="352">
                  <c:v>127.77685884771405</c:v>
                </c:pt>
                <c:pt idx="353">
                  <c:v>127.77685884771405</c:v>
                </c:pt>
                <c:pt idx="354">
                  <c:v>127.77685884771405</c:v>
                </c:pt>
                <c:pt idx="355">
                  <c:v>127.77685884771405</c:v>
                </c:pt>
                <c:pt idx="356">
                  <c:v>127.77685884771405</c:v>
                </c:pt>
                <c:pt idx="357">
                  <c:v>127.77685884771405</c:v>
                </c:pt>
                <c:pt idx="358">
                  <c:v>127.77685884771405</c:v>
                </c:pt>
                <c:pt idx="359">
                  <c:v>127.77685884771405</c:v>
                </c:pt>
                <c:pt idx="360">
                  <c:v>127.77685884771405</c:v>
                </c:pt>
                <c:pt idx="361">
                  <c:v>127.77685884771405</c:v>
                </c:pt>
                <c:pt idx="362">
                  <c:v>127.77685884771405</c:v>
                </c:pt>
                <c:pt idx="363">
                  <c:v>127.77685884771405</c:v>
                </c:pt>
                <c:pt idx="364">
                  <c:v>127.77685884771405</c:v>
                </c:pt>
                <c:pt idx="365">
                  <c:v>127.77685884771405</c:v>
                </c:pt>
                <c:pt idx="366">
                  <c:v>177.45500682365255</c:v>
                </c:pt>
                <c:pt idx="367">
                  <c:v>177.45500682365255</c:v>
                </c:pt>
                <c:pt idx="368">
                  <c:v>177.45500682365255</c:v>
                </c:pt>
                <c:pt idx="369">
                  <c:v>177.45500682365255</c:v>
                </c:pt>
                <c:pt idx="370">
                  <c:v>177.45500682365255</c:v>
                </c:pt>
                <c:pt idx="371">
                  <c:v>177.45500682365255</c:v>
                </c:pt>
                <c:pt idx="372">
                  <c:v>177.45500682365255</c:v>
                </c:pt>
                <c:pt idx="373">
                  <c:v>177.45500682365255</c:v>
                </c:pt>
                <c:pt idx="374">
                  <c:v>177.45500682365255</c:v>
                </c:pt>
                <c:pt idx="375">
                  <c:v>177.45500682365255</c:v>
                </c:pt>
                <c:pt idx="376">
                  <c:v>177.45500682365255</c:v>
                </c:pt>
                <c:pt idx="377">
                  <c:v>177.45500682365255</c:v>
                </c:pt>
                <c:pt idx="378">
                  <c:v>177.45500682365255</c:v>
                </c:pt>
                <c:pt idx="379">
                  <c:v>177.45500682365255</c:v>
                </c:pt>
                <c:pt idx="380">
                  <c:v>177.45500682365255</c:v>
                </c:pt>
                <c:pt idx="381">
                  <c:v>177.45500682365255</c:v>
                </c:pt>
                <c:pt idx="382">
                  <c:v>177.45500682365255</c:v>
                </c:pt>
                <c:pt idx="383">
                  <c:v>177.45500682365255</c:v>
                </c:pt>
                <c:pt idx="384">
                  <c:v>177.45500682365255</c:v>
                </c:pt>
                <c:pt idx="385">
                  <c:v>177.45500682365255</c:v>
                </c:pt>
                <c:pt idx="386">
                  <c:v>177.45500682365255</c:v>
                </c:pt>
                <c:pt idx="387">
                  <c:v>177.45500682365255</c:v>
                </c:pt>
                <c:pt idx="388">
                  <c:v>177.45500682365255</c:v>
                </c:pt>
                <c:pt idx="389">
                  <c:v>177.45500682365255</c:v>
                </c:pt>
                <c:pt idx="390">
                  <c:v>177.45500682365255</c:v>
                </c:pt>
                <c:pt idx="391">
                  <c:v>177.45500682365255</c:v>
                </c:pt>
                <c:pt idx="392">
                  <c:v>177.45500682365255</c:v>
                </c:pt>
                <c:pt idx="393">
                  <c:v>177.45500682365255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49840"/>
        <c:axId val="511950232"/>
      </c:areaChart>
      <c:areaChart>
        <c:grouping val="standard"/>
        <c:varyColors val="0"/>
        <c:ser>
          <c:idx val="0"/>
          <c:order val="2"/>
          <c:tx>
            <c:v>DIFERENCIA</c:v>
          </c:tx>
          <c:spPr>
            <a:solidFill>
              <a:srgbClr val="F5F5F5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'Data 4'!$E$2:$E$395</c:f>
              <c:numCache>
                <c:formatCode>#,##0</c:formatCode>
                <c:ptCount val="394"/>
                <c:pt idx="0">
                  <c:v>158.29445500838051</c:v>
                </c:pt>
                <c:pt idx="1">
                  <c:v>158.29445500838051</c:v>
                </c:pt>
                <c:pt idx="2">
                  <c:v>158.29445500838051</c:v>
                </c:pt>
                <c:pt idx="3">
                  <c:v>158.29445500838051</c:v>
                </c:pt>
                <c:pt idx="4">
                  <c:v>158.29445500838051</c:v>
                </c:pt>
                <c:pt idx="5">
                  <c:v>158.29445500838051</c:v>
                </c:pt>
                <c:pt idx="6">
                  <c:v>158.29445500838051</c:v>
                </c:pt>
                <c:pt idx="7">
                  <c:v>158.29445500838051</c:v>
                </c:pt>
                <c:pt idx="8">
                  <c:v>158.29445500838051</c:v>
                </c:pt>
                <c:pt idx="9">
                  <c:v>158.29445500838051</c:v>
                </c:pt>
                <c:pt idx="10">
                  <c:v>158.29445500838051</c:v>
                </c:pt>
                <c:pt idx="11">
                  <c:v>158.29445500838051</c:v>
                </c:pt>
                <c:pt idx="12">
                  <c:v>158.29445500838051</c:v>
                </c:pt>
                <c:pt idx="13">
                  <c:v>158.29445500838051</c:v>
                </c:pt>
                <c:pt idx="14">
                  <c:v>158.29445500838051</c:v>
                </c:pt>
                <c:pt idx="15">
                  <c:v>153.56777199999999</c:v>
                </c:pt>
                <c:pt idx="16">
                  <c:v>158.29445500838051</c:v>
                </c:pt>
                <c:pt idx="17">
                  <c:v>158.29445500838051</c:v>
                </c:pt>
                <c:pt idx="18">
                  <c:v>96.379756999999998</c:v>
                </c:pt>
                <c:pt idx="19">
                  <c:v>105.01419800000001</c:v>
                </c:pt>
                <c:pt idx="20">
                  <c:v>136.28489199999999</c:v>
                </c:pt>
                <c:pt idx="21">
                  <c:v>158.29445500838051</c:v>
                </c:pt>
                <c:pt idx="22">
                  <c:v>158.29445500838051</c:v>
                </c:pt>
                <c:pt idx="23">
                  <c:v>158.29445500838051</c:v>
                </c:pt>
                <c:pt idx="24">
                  <c:v>158.29445500838051</c:v>
                </c:pt>
                <c:pt idx="25">
                  <c:v>158.29445500838051</c:v>
                </c:pt>
                <c:pt idx="26">
                  <c:v>158.29445500838051</c:v>
                </c:pt>
                <c:pt idx="27">
                  <c:v>158.29445500838051</c:v>
                </c:pt>
                <c:pt idx="28">
                  <c:v>122.29427</c:v>
                </c:pt>
                <c:pt idx="29">
                  <c:v>158.29445500838051</c:v>
                </c:pt>
                <c:pt idx="30">
                  <c:v>123.85886000000001</c:v>
                </c:pt>
                <c:pt idx="31">
                  <c:v>154.57471549703288</c:v>
                </c:pt>
                <c:pt idx="32">
                  <c:v>154.57471549703288</c:v>
                </c:pt>
                <c:pt idx="33">
                  <c:v>136.39610300000001</c:v>
                </c:pt>
                <c:pt idx="34">
                  <c:v>154.57471549703288</c:v>
                </c:pt>
                <c:pt idx="35">
                  <c:v>48.925923000000004</c:v>
                </c:pt>
                <c:pt idx="36">
                  <c:v>36.688713999999997</c:v>
                </c:pt>
                <c:pt idx="37">
                  <c:v>121.175737</c:v>
                </c:pt>
                <c:pt idx="38">
                  <c:v>154.57471549703288</c:v>
                </c:pt>
                <c:pt idx="39">
                  <c:v>154.57471549703288</c:v>
                </c:pt>
                <c:pt idx="40">
                  <c:v>154.57471549703288</c:v>
                </c:pt>
                <c:pt idx="41">
                  <c:v>154.57471549703288</c:v>
                </c:pt>
                <c:pt idx="42">
                  <c:v>154.57471549703288</c:v>
                </c:pt>
                <c:pt idx="43">
                  <c:v>154.57471549703288</c:v>
                </c:pt>
                <c:pt idx="44">
                  <c:v>154.57471549703288</c:v>
                </c:pt>
                <c:pt idx="45">
                  <c:v>154.57471549703288</c:v>
                </c:pt>
                <c:pt idx="46">
                  <c:v>112.453394</c:v>
                </c:pt>
                <c:pt idx="47">
                  <c:v>154.57471549703288</c:v>
                </c:pt>
                <c:pt idx="48">
                  <c:v>154.57471549703288</c:v>
                </c:pt>
                <c:pt idx="49">
                  <c:v>154.57471549703288</c:v>
                </c:pt>
                <c:pt idx="50">
                  <c:v>154.57471549703288</c:v>
                </c:pt>
                <c:pt idx="51">
                  <c:v>154.57471549703288</c:v>
                </c:pt>
                <c:pt idx="52">
                  <c:v>154.57471549703288</c:v>
                </c:pt>
                <c:pt idx="53">
                  <c:v>119.56407</c:v>
                </c:pt>
                <c:pt idx="54">
                  <c:v>87.977371000000005</c:v>
                </c:pt>
                <c:pt idx="55">
                  <c:v>112.29524400000001</c:v>
                </c:pt>
                <c:pt idx="56">
                  <c:v>68.835712999999998</c:v>
                </c:pt>
                <c:pt idx="57">
                  <c:v>58.400758000000003</c:v>
                </c:pt>
                <c:pt idx="58">
                  <c:v>51.101322000000003</c:v>
                </c:pt>
                <c:pt idx="59">
                  <c:v>48.095516000000003</c:v>
                </c:pt>
                <c:pt idx="60">
                  <c:v>41.016286999999998</c:v>
                </c:pt>
                <c:pt idx="61">
                  <c:v>22.725347000000003</c:v>
                </c:pt>
                <c:pt idx="62">
                  <c:v>76.359752999999998</c:v>
                </c:pt>
                <c:pt idx="63">
                  <c:v>82.357483999999999</c:v>
                </c:pt>
                <c:pt idx="64">
                  <c:v>122.930384</c:v>
                </c:pt>
                <c:pt idx="65">
                  <c:v>58.951141999999997</c:v>
                </c:pt>
                <c:pt idx="66">
                  <c:v>46.909647</c:v>
                </c:pt>
                <c:pt idx="67">
                  <c:v>51.860508000000003</c:v>
                </c:pt>
                <c:pt idx="68">
                  <c:v>55.688524000000001</c:v>
                </c:pt>
                <c:pt idx="69">
                  <c:v>129.95991000000001</c:v>
                </c:pt>
                <c:pt idx="70">
                  <c:v>167.80186499999999</c:v>
                </c:pt>
                <c:pt idx="71">
                  <c:v>74.824380000000005</c:v>
                </c:pt>
                <c:pt idx="72">
                  <c:v>55.224713000000001</c:v>
                </c:pt>
                <c:pt idx="73">
                  <c:v>124.76872900000001</c:v>
                </c:pt>
                <c:pt idx="74">
                  <c:v>189.80972200000002</c:v>
                </c:pt>
                <c:pt idx="75">
                  <c:v>190.34769104719351</c:v>
                </c:pt>
                <c:pt idx="76">
                  <c:v>190.34769104719351</c:v>
                </c:pt>
                <c:pt idx="77">
                  <c:v>190.34769104719351</c:v>
                </c:pt>
                <c:pt idx="78">
                  <c:v>190.34769104719351</c:v>
                </c:pt>
                <c:pt idx="79">
                  <c:v>190.34769104719351</c:v>
                </c:pt>
                <c:pt idx="80">
                  <c:v>190.34769104719351</c:v>
                </c:pt>
                <c:pt idx="81">
                  <c:v>190.34769104719351</c:v>
                </c:pt>
                <c:pt idx="82">
                  <c:v>155.30303599999999</c:v>
                </c:pt>
                <c:pt idx="83">
                  <c:v>78.354029000000011</c:v>
                </c:pt>
                <c:pt idx="84">
                  <c:v>59.712023000000002</c:v>
                </c:pt>
                <c:pt idx="85">
                  <c:v>45.160391000000004</c:v>
                </c:pt>
                <c:pt idx="86">
                  <c:v>128.33123800000001</c:v>
                </c:pt>
                <c:pt idx="87">
                  <c:v>190.34769104719351</c:v>
                </c:pt>
                <c:pt idx="88">
                  <c:v>190.34769104719351</c:v>
                </c:pt>
                <c:pt idx="89">
                  <c:v>190.34769104719351</c:v>
                </c:pt>
                <c:pt idx="90">
                  <c:v>190.34769104719351</c:v>
                </c:pt>
                <c:pt idx="91">
                  <c:v>190.34769104719351</c:v>
                </c:pt>
                <c:pt idx="92">
                  <c:v>199.30530006395392</c:v>
                </c:pt>
                <c:pt idx="93">
                  <c:v>162.83007599999999</c:v>
                </c:pt>
                <c:pt idx="94">
                  <c:v>120.832114</c:v>
                </c:pt>
                <c:pt idx="95">
                  <c:v>186.04649499999999</c:v>
                </c:pt>
                <c:pt idx="96">
                  <c:v>161.87779900000001</c:v>
                </c:pt>
                <c:pt idx="97">
                  <c:v>139.702156</c:v>
                </c:pt>
                <c:pt idx="98">
                  <c:v>94.027539999999988</c:v>
                </c:pt>
                <c:pt idx="99">
                  <c:v>67.131011000000001</c:v>
                </c:pt>
                <c:pt idx="100">
                  <c:v>161.85495800000001</c:v>
                </c:pt>
                <c:pt idx="101">
                  <c:v>199.30530006395392</c:v>
                </c:pt>
                <c:pt idx="102">
                  <c:v>109.13270599999998</c:v>
                </c:pt>
                <c:pt idx="103">
                  <c:v>41.696413</c:v>
                </c:pt>
                <c:pt idx="104">
                  <c:v>157.776815</c:v>
                </c:pt>
                <c:pt idx="105">
                  <c:v>66.234709000000009</c:v>
                </c:pt>
                <c:pt idx="106">
                  <c:v>118.31930699999999</c:v>
                </c:pt>
                <c:pt idx="107">
                  <c:v>183.91886199999999</c:v>
                </c:pt>
                <c:pt idx="108">
                  <c:v>177.314727</c:v>
                </c:pt>
                <c:pt idx="109">
                  <c:v>108.73075800000001</c:v>
                </c:pt>
                <c:pt idx="110">
                  <c:v>80.605675000000005</c:v>
                </c:pt>
                <c:pt idx="111">
                  <c:v>96.188664000000003</c:v>
                </c:pt>
                <c:pt idx="112">
                  <c:v>96.746811000000008</c:v>
                </c:pt>
                <c:pt idx="113">
                  <c:v>54.389516999999998</c:v>
                </c:pt>
                <c:pt idx="114">
                  <c:v>52.171697000000002</c:v>
                </c:pt>
                <c:pt idx="115">
                  <c:v>67.420505999999989</c:v>
                </c:pt>
                <c:pt idx="116">
                  <c:v>199.30530006395392</c:v>
                </c:pt>
                <c:pt idx="117">
                  <c:v>199.30530006395392</c:v>
                </c:pt>
                <c:pt idx="118">
                  <c:v>199.30530006395392</c:v>
                </c:pt>
                <c:pt idx="119">
                  <c:v>169.36241700000002</c:v>
                </c:pt>
                <c:pt idx="120">
                  <c:v>199.30530006395392</c:v>
                </c:pt>
                <c:pt idx="121">
                  <c:v>197.73887366862095</c:v>
                </c:pt>
                <c:pt idx="122">
                  <c:v>191.36020032447189</c:v>
                </c:pt>
                <c:pt idx="123">
                  <c:v>191.36020032447189</c:v>
                </c:pt>
                <c:pt idx="124">
                  <c:v>191.36020032447189</c:v>
                </c:pt>
                <c:pt idx="125">
                  <c:v>191.36020032447189</c:v>
                </c:pt>
                <c:pt idx="126">
                  <c:v>191.36020032447189</c:v>
                </c:pt>
                <c:pt idx="127">
                  <c:v>191.36020032447189</c:v>
                </c:pt>
                <c:pt idx="128">
                  <c:v>172.75144299999999</c:v>
                </c:pt>
                <c:pt idx="129">
                  <c:v>191.36020032447189</c:v>
                </c:pt>
                <c:pt idx="130">
                  <c:v>149.84728000000001</c:v>
                </c:pt>
                <c:pt idx="131">
                  <c:v>74.675634000000002</c:v>
                </c:pt>
                <c:pt idx="132">
                  <c:v>89.800191999999996</c:v>
                </c:pt>
                <c:pt idx="133">
                  <c:v>148.69305599999998</c:v>
                </c:pt>
                <c:pt idx="134">
                  <c:v>56.137732999999997</c:v>
                </c:pt>
                <c:pt idx="135">
                  <c:v>149.07385099999999</c:v>
                </c:pt>
                <c:pt idx="136">
                  <c:v>191.36020032447189</c:v>
                </c:pt>
                <c:pt idx="137">
                  <c:v>191.36020032447189</c:v>
                </c:pt>
                <c:pt idx="138">
                  <c:v>113.821556</c:v>
                </c:pt>
                <c:pt idx="139">
                  <c:v>116.584445</c:v>
                </c:pt>
                <c:pt idx="140">
                  <c:v>130.32207099999999</c:v>
                </c:pt>
                <c:pt idx="141">
                  <c:v>70.128062999999997</c:v>
                </c:pt>
                <c:pt idx="142">
                  <c:v>47.946801000000001</c:v>
                </c:pt>
                <c:pt idx="143">
                  <c:v>120.01166000000001</c:v>
                </c:pt>
                <c:pt idx="144">
                  <c:v>133.16797599999998</c:v>
                </c:pt>
                <c:pt idx="145">
                  <c:v>54.625858000000001</c:v>
                </c:pt>
                <c:pt idx="146">
                  <c:v>191.36020032447189</c:v>
                </c:pt>
                <c:pt idx="147">
                  <c:v>110.13828100000001</c:v>
                </c:pt>
                <c:pt idx="148">
                  <c:v>36.911139999999996</c:v>
                </c:pt>
                <c:pt idx="149">
                  <c:v>154.91969899999998</c:v>
                </c:pt>
                <c:pt idx="150">
                  <c:v>191.36020032447189</c:v>
                </c:pt>
                <c:pt idx="151">
                  <c:v>191.36020032447189</c:v>
                </c:pt>
                <c:pt idx="152">
                  <c:v>85.494511000000003</c:v>
                </c:pt>
                <c:pt idx="153">
                  <c:v>120.50856200000001</c:v>
                </c:pt>
                <c:pt idx="154">
                  <c:v>95.716239000000002</c:v>
                </c:pt>
                <c:pt idx="155">
                  <c:v>157.99441729871316</c:v>
                </c:pt>
                <c:pt idx="156">
                  <c:v>157.99441729871316</c:v>
                </c:pt>
                <c:pt idx="157">
                  <c:v>87.856709000000009</c:v>
                </c:pt>
                <c:pt idx="158">
                  <c:v>75.264637000000008</c:v>
                </c:pt>
                <c:pt idx="159">
                  <c:v>64.523509000000004</c:v>
                </c:pt>
                <c:pt idx="160">
                  <c:v>87.74248200000001</c:v>
                </c:pt>
                <c:pt idx="161">
                  <c:v>81.504300000000001</c:v>
                </c:pt>
                <c:pt idx="162">
                  <c:v>70.530736000000005</c:v>
                </c:pt>
                <c:pt idx="163">
                  <c:v>103.15505499999999</c:v>
                </c:pt>
                <c:pt idx="164">
                  <c:v>74.568534999999997</c:v>
                </c:pt>
                <c:pt idx="165">
                  <c:v>98.351004000000003</c:v>
                </c:pt>
                <c:pt idx="166">
                  <c:v>157.99441729871316</c:v>
                </c:pt>
                <c:pt idx="167">
                  <c:v>157.99441729871316</c:v>
                </c:pt>
                <c:pt idx="168">
                  <c:v>157.99441729871316</c:v>
                </c:pt>
                <c:pt idx="169">
                  <c:v>47.134428999999997</c:v>
                </c:pt>
                <c:pt idx="170">
                  <c:v>72.963836000000001</c:v>
                </c:pt>
                <c:pt idx="171">
                  <c:v>133.62629100000001</c:v>
                </c:pt>
                <c:pt idx="172">
                  <c:v>157.99441729871316</c:v>
                </c:pt>
                <c:pt idx="173">
                  <c:v>130.76599200000001</c:v>
                </c:pt>
                <c:pt idx="174">
                  <c:v>60.851399999999998</c:v>
                </c:pt>
                <c:pt idx="175">
                  <c:v>82.625645999999989</c:v>
                </c:pt>
                <c:pt idx="176">
                  <c:v>35.887877000000003</c:v>
                </c:pt>
                <c:pt idx="177">
                  <c:v>57.652014999999999</c:v>
                </c:pt>
                <c:pt idx="178">
                  <c:v>114.832217</c:v>
                </c:pt>
                <c:pt idx="179">
                  <c:v>157.99441729871316</c:v>
                </c:pt>
                <c:pt idx="180">
                  <c:v>157.99441729871316</c:v>
                </c:pt>
                <c:pt idx="181">
                  <c:v>157.99441729871316</c:v>
                </c:pt>
                <c:pt idx="182">
                  <c:v>142.04868651196702</c:v>
                </c:pt>
                <c:pt idx="183">
                  <c:v>142.04868651196702</c:v>
                </c:pt>
                <c:pt idx="184">
                  <c:v>63.662382000000001</c:v>
                </c:pt>
                <c:pt idx="185">
                  <c:v>142.04868651196702</c:v>
                </c:pt>
                <c:pt idx="186">
                  <c:v>106.923464</c:v>
                </c:pt>
                <c:pt idx="187">
                  <c:v>49.506938999999996</c:v>
                </c:pt>
                <c:pt idx="188">
                  <c:v>142.04868651196702</c:v>
                </c:pt>
                <c:pt idx="189">
                  <c:v>115.455065</c:v>
                </c:pt>
                <c:pt idx="190">
                  <c:v>108.09086500000001</c:v>
                </c:pt>
                <c:pt idx="191">
                  <c:v>142.04868651196702</c:v>
                </c:pt>
                <c:pt idx="192">
                  <c:v>142.04868651196702</c:v>
                </c:pt>
                <c:pt idx="193">
                  <c:v>61.266795999999999</c:v>
                </c:pt>
                <c:pt idx="194">
                  <c:v>67.756039999999999</c:v>
                </c:pt>
                <c:pt idx="195">
                  <c:v>142.04868651196702</c:v>
                </c:pt>
                <c:pt idx="196">
                  <c:v>142.04868651196702</c:v>
                </c:pt>
                <c:pt idx="197">
                  <c:v>142.04868651196702</c:v>
                </c:pt>
                <c:pt idx="198">
                  <c:v>114.18745</c:v>
                </c:pt>
                <c:pt idx="199">
                  <c:v>100.416403</c:v>
                </c:pt>
                <c:pt idx="200">
                  <c:v>108.03171299999998</c:v>
                </c:pt>
                <c:pt idx="201">
                  <c:v>48.323706000000001</c:v>
                </c:pt>
                <c:pt idx="202">
                  <c:v>46.976317000000002</c:v>
                </c:pt>
                <c:pt idx="203">
                  <c:v>46.023482999999999</c:v>
                </c:pt>
                <c:pt idx="204">
                  <c:v>142.04868651196702</c:v>
                </c:pt>
                <c:pt idx="205">
                  <c:v>142.04868651196702</c:v>
                </c:pt>
                <c:pt idx="206">
                  <c:v>142.04868651196702</c:v>
                </c:pt>
                <c:pt idx="207">
                  <c:v>142.04868651196702</c:v>
                </c:pt>
                <c:pt idx="208">
                  <c:v>142.04868651196702</c:v>
                </c:pt>
                <c:pt idx="209">
                  <c:v>117.85414</c:v>
                </c:pt>
                <c:pt idx="210">
                  <c:v>72.900422000000006</c:v>
                </c:pt>
                <c:pt idx="211">
                  <c:v>97.419388000000012</c:v>
                </c:pt>
                <c:pt idx="212">
                  <c:v>92.422785999999988</c:v>
                </c:pt>
                <c:pt idx="213">
                  <c:v>46.177878000000007</c:v>
                </c:pt>
                <c:pt idx="214">
                  <c:v>41.044094999999999</c:v>
                </c:pt>
                <c:pt idx="215">
                  <c:v>85.875314000000003</c:v>
                </c:pt>
                <c:pt idx="216">
                  <c:v>117.98799468998862</c:v>
                </c:pt>
                <c:pt idx="217">
                  <c:v>116.340019</c:v>
                </c:pt>
                <c:pt idx="218">
                  <c:v>90.861163000000005</c:v>
                </c:pt>
                <c:pt idx="219">
                  <c:v>117.98799468998862</c:v>
                </c:pt>
                <c:pt idx="220">
                  <c:v>117.98799468998862</c:v>
                </c:pt>
                <c:pt idx="221">
                  <c:v>117.98799468998862</c:v>
                </c:pt>
                <c:pt idx="222">
                  <c:v>86.257873000000004</c:v>
                </c:pt>
                <c:pt idx="223">
                  <c:v>117.98799468998862</c:v>
                </c:pt>
                <c:pt idx="224">
                  <c:v>117.98799468998862</c:v>
                </c:pt>
                <c:pt idx="225">
                  <c:v>117.98799468998862</c:v>
                </c:pt>
                <c:pt idx="226">
                  <c:v>79.483829</c:v>
                </c:pt>
                <c:pt idx="227">
                  <c:v>83.040767000000002</c:v>
                </c:pt>
                <c:pt idx="228">
                  <c:v>112.983405</c:v>
                </c:pt>
                <c:pt idx="229">
                  <c:v>64.546361000000005</c:v>
                </c:pt>
                <c:pt idx="230">
                  <c:v>48.089733000000003</c:v>
                </c:pt>
                <c:pt idx="231">
                  <c:v>56.371910999999997</c:v>
                </c:pt>
                <c:pt idx="232">
                  <c:v>56.804876999999998</c:v>
                </c:pt>
                <c:pt idx="233">
                  <c:v>93.508905999999996</c:v>
                </c:pt>
                <c:pt idx="234">
                  <c:v>117.98799468998862</c:v>
                </c:pt>
                <c:pt idx="235">
                  <c:v>101.871376</c:v>
                </c:pt>
                <c:pt idx="236">
                  <c:v>89.436520999999999</c:v>
                </c:pt>
                <c:pt idx="237">
                  <c:v>82.739983999999993</c:v>
                </c:pt>
                <c:pt idx="238">
                  <c:v>112.994186</c:v>
                </c:pt>
                <c:pt idx="239">
                  <c:v>91.894996000000006</c:v>
                </c:pt>
                <c:pt idx="240">
                  <c:v>63.899411000000001</c:v>
                </c:pt>
                <c:pt idx="241">
                  <c:v>91.831024999999997</c:v>
                </c:pt>
                <c:pt idx="242">
                  <c:v>94.42276600000001</c:v>
                </c:pt>
                <c:pt idx="243">
                  <c:v>90.985439999999997</c:v>
                </c:pt>
                <c:pt idx="244">
                  <c:v>114.16743186792735</c:v>
                </c:pt>
                <c:pt idx="245">
                  <c:v>114.16743186792735</c:v>
                </c:pt>
                <c:pt idx="246">
                  <c:v>102.957401</c:v>
                </c:pt>
                <c:pt idx="247">
                  <c:v>114.16743186792735</c:v>
                </c:pt>
                <c:pt idx="248">
                  <c:v>114.16743186792735</c:v>
                </c:pt>
                <c:pt idx="249">
                  <c:v>114.16743186792735</c:v>
                </c:pt>
                <c:pt idx="250">
                  <c:v>114.16743186792735</c:v>
                </c:pt>
                <c:pt idx="251">
                  <c:v>97.588069000000004</c:v>
                </c:pt>
                <c:pt idx="252">
                  <c:v>114.16743186792735</c:v>
                </c:pt>
                <c:pt idx="253">
                  <c:v>114.16743186792735</c:v>
                </c:pt>
                <c:pt idx="254">
                  <c:v>114.16743186792735</c:v>
                </c:pt>
                <c:pt idx="255">
                  <c:v>114.16743186792735</c:v>
                </c:pt>
                <c:pt idx="256">
                  <c:v>114.16743186792735</c:v>
                </c:pt>
                <c:pt idx="257">
                  <c:v>114.16743186792735</c:v>
                </c:pt>
                <c:pt idx="258">
                  <c:v>114.16743186792735</c:v>
                </c:pt>
                <c:pt idx="259">
                  <c:v>114.16743186792735</c:v>
                </c:pt>
                <c:pt idx="260">
                  <c:v>87.872212000000005</c:v>
                </c:pt>
                <c:pt idx="261">
                  <c:v>76.107695000000007</c:v>
                </c:pt>
                <c:pt idx="262">
                  <c:v>114.16743186792735</c:v>
                </c:pt>
                <c:pt idx="263">
                  <c:v>114.16743186792735</c:v>
                </c:pt>
                <c:pt idx="264">
                  <c:v>79.771640000000005</c:v>
                </c:pt>
                <c:pt idx="265">
                  <c:v>66.864471000000009</c:v>
                </c:pt>
                <c:pt idx="266">
                  <c:v>109.483653</c:v>
                </c:pt>
                <c:pt idx="267">
                  <c:v>75.007659000000004</c:v>
                </c:pt>
                <c:pt idx="268">
                  <c:v>65.888727000000003</c:v>
                </c:pt>
                <c:pt idx="269">
                  <c:v>101.78352099999999</c:v>
                </c:pt>
                <c:pt idx="270">
                  <c:v>114.16743186792735</c:v>
                </c:pt>
                <c:pt idx="271">
                  <c:v>114.16743186792735</c:v>
                </c:pt>
                <c:pt idx="272">
                  <c:v>114.16743186792735</c:v>
                </c:pt>
                <c:pt idx="273">
                  <c:v>56.699894999999998</c:v>
                </c:pt>
                <c:pt idx="274">
                  <c:v>113.31003930622772</c:v>
                </c:pt>
                <c:pt idx="275">
                  <c:v>113.31003930622772</c:v>
                </c:pt>
                <c:pt idx="276">
                  <c:v>113.31003930622772</c:v>
                </c:pt>
                <c:pt idx="277">
                  <c:v>113.31003930622772</c:v>
                </c:pt>
                <c:pt idx="278">
                  <c:v>64.096479000000002</c:v>
                </c:pt>
                <c:pt idx="279">
                  <c:v>105.286523</c:v>
                </c:pt>
                <c:pt idx="280">
                  <c:v>104.448375</c:v>
                </c:pt>
                <c:pt idx="281">
                  <c:v>92.978734000000003</c:v>
                </c:pt>
                <c:pt idx="282">
                  <c:v>81.685799000000003</c:v>
                </c:pt>
                <c:pt idx="283">
                  <c:v>113.31003930622772</c:v>
                </c:pt>
                <c:pt idx="284">
                  <c:v>113.31003930622772</c:v>
                </c:pt>
                <c:pt idx="285">
                  <c:v>97.813288</c:v>
                </c:pt>
                <c:pt idx="286">
                  <c:v>33.689917000000001</c:v>
                </c:pt>
                <c:pt idx="287">
                  <c:v>61.210757000000001</c:v>
                </c:pt>
                <c:pt idx="288">
                  <c:v>113.31003930622772</c:v>
                </c:pt>
                <c:pt idx="289">
                  <c:v>113.31003930622772</c:v>
                </c:pt>
                <c:pt idx="290">
                  <c:v>109.623773</c:v>
                </c:pt>
                <c:pt idx="291">
                  <c:v>85.016632000000001</c:v>
                </c:pt>
                <c:pt idx="292">
                  <c:v>113.31003930622772</c:v>
                </c:pt>
                <c:pt idx="293">
                  <c:v>113.31003930622772</c:v>
                </c:pt>
                <c:pt idx="294">
                  <c:v>113.31003930622772</c:v>
                </c:pt>
                <c:pt idx="295">
                  <c:v>75.846154000000013</c:v>
                </c:pt>
                <c:pt idx="296">
                  <c:v>113.31003930622772</c:v>
                </c:pt>
                <c:pt idx="297">
                  <c:v>101.032933</c:v>
                </c:pt>
                <c:pt idx="298">
                  <c:v>70.946491999999992</c:v>
                </c:pt>
                <c:pt idx="299">
                  <c:v>51.768324999999997</c:v>
                </c:pt>
                <c:pt idx="300">
                  <c:v>66.186119999999988</c:v>
                </c:pt>
                <c:pt idx="301">
                  <c:v>113.31003930622772</c:v>
                </c:pt>
                <c:pt idx="302">
                  <c:v>113.31003930622772</c:v>
                </c:pt>
                <c:pt idx="303">
                  <c:v>113.31003930622772</c:v>
                </c:pt>
                <c:pt idx="304">
                  <c:v>93.676054000000008</c:v>
                </c:pt>
                <c:pt idx="305">
                  <c:v>59.792919999999995</c:v>
                </c:pt>
                <c:pt idx="306">
                  <c:v>107.53022318893329</c:v>
                </c:pt>
                <c:pt idx="307">
                  <c:v>71.601112999999998</c:v>
                </c:pt>
                <c:pt idx="308">
                  <c:v>95.198616999999999</c:v>
                </c:pt>
                <c:pt idx="309">
                  <c:v>107.53022318893329</c:v>
                </c:pt>
                <c:pt idx="310">
                  <c:v>107.53022318893329</c:v>
                </c:pt>
                <c:pt idx="311">
                  <c:v>107.53022318893329</c:v>
                </c:pt>
                <c:pt idx="312">
                  <c:v>107.53022318893329</c:v>
                </c:pt>
                <c:pt idx="313">
                  <c:v>76.408978000000005</c:v>
                </c:pt>
                <c:pt idx="314">
                  <c:v>97.355267999999995</c:v>
                </c:pt>
                <c:pt idx="315">
                  <c:v>84.589106999999998</c:v>
                </c:pt>
                <c:pt idx="316">
                  <c:v>95.803096000000011</c:v>
                </c:pt>
                <c:pt idx="317">
                  <c:v>107.53022318893329</c:v>
                </c:pt>
                <c:pt idx="318">
                  <c:v>107.53022318893329</c:v>
                </c:pt>
                <c:pt idx="319">
                  <c:v>61.647432999999999</c:v>
                </c:pt>
                <c:pt idx="320">
                  <c:v>47.949944000000002</c:v>
                </c:pt>
                <c:pt idx="321">
                  <c:v>107.53022318893329</c:v>
                </c:pt>
                <c:pt idx="322">
                  <c:v>107.53022318893329</c:v>
                </c:pt>
                <c:pt idx="323">
                  <c:v>107.53022318893329</c:v>
                </c:pt>
                <c:pt idx="324">
                  <c:v>71.396695999999991</c:v>
                </c:pt>
                <c:pt idx="325">
                  <c:v>43.955591999999996</c:v>
                </c:pt>
                <c:pt idx="326">
                  <c:v>42.284765</c:v>
                </c:pt>
                <c:pt idx="327">
                  <c:v>107.53022318893329</c:v>
                </c:pt>
                <c:pt idx="328">
                  <c:v>107.53022318893329</c:v>
                </c:pt>
                <c:pt idx="329">
                  <c:v>107.53022318893329</c:v>
                </c:pt>
                <c:pt idx="330">
                  <c:v>107.53022318893329</c:v>
                </c:pt>
                <c:pt idx="331">
                  <c:v>107.53022318893329</c:v>
                </c:pt>
                <c:pt idx="332">
                  <c:v>107.53022318893329</c:v>
                </c:pt>
                <c:pt idx="333">
                  <c:v>53.049739000000002</c:v>
                </c:pt>
                <c:pt idx="334">
                  <c:v>62.263601999999999</c:v>
                </c:pt>
                <c:pt idx="335">
                  <c:v>127.77685884771405</c:v>
                </c:pt>
                <c:pt idx="336">
                  <c:v>127.77685884771405</c:v>
                </c:pt>
                <c:pt idx="337">
                  <c:v>127.77685884771405</c:v>
                </c:pt>
                <c:pt idx="338">
                  <c:v>127.77685884771405</c:v>
                </c:pt>
                <c:pt idx="339">
                  <c:v>127.77685884771405</c:v>
                </c:pt>
                <c:pt idx="340">
                  <c:v>127.77685884771405</c:v>
                </c:pt>
                <c:pt idx="341">
                  <c:v>106.332655</c:v>
                </c:pt>
                <c:pt idx="342">
                  <c:v>60.809453999999995</c:v>
                </c:pt>
                <c:pt idx="343">
                  <c:v>47.700453000000003</c:v>
                </c:pt>
                <c:pt idx="344">
                  <c:v>127.77685884771405</c:v>
                </c:pt>
                <c:pt idx="345">
                  <c:v>127.77685884771405</c:v>
                </c:pt>
                <c:pt idx="346">
                  <c:v>127.77685884771405</c:v>
                </c:pt>
                <c:pt idx="347">
                  <c:v>127.77685884771405</c:v>
                </c:pt>
                <c:pt idx="348">
                  <c:v>127.77685884771405</c:v>
                </c:pt>
                <c:pt idx="349">
                  <c:v>127.77685884771405</c:v>
                </c:pt>
                <c:pt idx="350">
                  <c:v>110.11264899999999</c:v>
                </c:pt>
                <c:pt idx="351">
                  <c:v>50.603324000000001</c:v>
                </c:pt>
                <c:pt idx="352">
                  <c:v>61.568376999999998</c:v>
                </c:pt>
                <c:pt idx="353">
                  <c:v>127.77685884771405</c:v>
                </c:pt>
                <c:pt idx="354">
                  <c:v>127.77685884771405</c:v>
                </c:pt>
                <c:pt idx="355">
                  <c:v>127.77685884771405</c:v>
                </c:pt>
                <c:pt idx="356">
                  <c:v>127.77685884771405</c:v>
                </c:pt>
                <c:pt idx="357">
                  <c:v>127.77685884771405</c:v>
                </c:pt>
                <c:pt idx="358">
                  <c:v>127.77685884771405</c:v>
                </c:pt>
                <c:pt idx="359">
                  <c:v>127.77685884771405</c:v>
                </c:pt>
                <c:pt idx="360">
                  <c:v>127.77685884771405</c:v>
                </c:pt>
                <c:pt idx="361">
                  <c:v>127.77685884771405</c:v>
                </c:pt>
                <c:pt idx="362">
                  <c:v>117.432166</c:v>
                </c:pt>
                <c:pt idx="363">
                  <c:v>58.558472000000002</c:v>
                </c:pt>
                <c:pt idx="364">
                  <c:v>87.580316999999994</c:v>
                </c:pt>
                <c:pt idx="365">
                  <c:v>123.795608</c:v>
                </c:pt>
                <c:pt idx="366">
                  <c:v>128.97480000000002</c:v>
                </c:pt>
                <c:pt idx="367">
                  <c:v>84.933499999999995</c:v>
                </c:pt>
                <c:pt idx="368">
                  <c:v>172.1371</c:v>
                </c:pt>
                <c:pt idx="369">
                  <c:v>177.45500682365255</c:v>
                </c:pt>
                <c:pt idx="370">
                  <c:v>177.45500682365255</c:v>
                </c:pt>
                <c:pt idx="371">
                  <c:v>177.45500682365255</c:v>
                </c:pt>
                <c:pt idx="372">
                  <c:v>177.45500682365255</c:v>
                </c:pt>
                <c:pt idx="373">
                  <c:v>157.23429999999999</c:v>
                </c:pt>
                <c:pt idx="374">
                  <c:v>67.509500000000003</c:v>
                </c:pt>
                <c:pt idx="375">
                  <c:v>38.072800000000001</c:v>
                </c:pt>
                <c:pt idx="376">
                  <c:v>138.79640000000001</c:v>
                </c:pt>
                <c:pt idx="377">
                  <c:v>97.941500000000005</c:v>
                </c:pt>
                <c:pt idx="378">
                  <c:v>76.722399999999993</c:v>
                </c:pt>
                <c:pt idx="379">
                  <c:v>135.83720000000002</c:v>
                </c:pt>
                <c:pt idx="380">
                  <c:v>177.45500682365255</c:v>
                </c:pt>
                <c:pt idx="381">
                  <c:v>104.098</c:v>
                </c:pt>
                <c:pt idx="382">
                  <c:v>62.576500000000003</c:v>
                </c:pt>
                <c:pt idx="383">
                  <c:v>89.039699999999996</c:v>
                </c:pt>
                <c:pt idx="384">
                  <c:v>177.45500682365255</c:v>
                </c:pt>
                <c:pt idx="385">
                  <c:v>177.45500682365255</c:v>
                </c:pt>
                <c:pt idx="386">
                  <c:v>119.9812</c:v>
                </c:pt>
                <c:pt idx="387">
                  <c:v>59.809599999999996</c:v>
                </c:pt>
                <c:pt idx="388">
                  <c:v>50.143600000000006</c:v>
                </c:pt>
                <c:pt idx="389">
                  <c:v>105.64569999999999</c:v>
                </c:pt>
                <c:pt idx="390">
                  <c:v>122.8772</c:v>
                </c:pt>
                <c:pt idx="391">
                  <c:v>177.45500682365255</c:v>
                </c:pt>
                <c:pt idx="392">
                  <c:v>157.6765</c:v>
                </c:pt>
                <c:pt idx="393">
                  <c:v>76.442599999999999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50624"/>
        <c:axId val="511951016"/>
      </c:areaChart>
      <c:barChart>
        <c:barDir val="col"/>
        <c:grouping val="clustered"/>
        <c:varyColors val="0"/>
        <c:ser>
          <c:idx val="4"/>
          <c:order val="3"/>
          <c:tx>
            <c:v>CARACT</c:v>
          </c:tx>
          <c:spPr>
            <a:noFill/>
            <a:ln>
              <a:noFill/>
            </a:ln>
          </c:spPr>
          <c:invertIfNegative val="0"/>
          <c:dPt>
            <c:idx val="10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25B-41FB-B4FF-442B24B1BF2E}"/>
              </c:ext>
            </c:extLst>
          </c:dPt>
          <c:cat>
            <c:strRef>
              <c:f>'Data 4'!$G$2:$G$395</c:f>
              <c:strCache>
                <c:ptCount val="381"/>
                <c:pt idx="14">
                  <c:v>N</c:v>
                </c:pt>
                <c:pt idx="44">
                  <c:v>D</c:v>
                </c:pt>
                <c:pt idx="75">
                  <c:v>E</c:v>
                </c:pt>
                <c:pt idx="106">
                  <c:v>F</c:v>
                </c:pt>
                <c:pt idx="135">
                  <c:v>M</c:v>
                </c:pt>
                <c:pt idx="166">
                  <c:v>A</c:v>
                </c:pt>
                <c:pt idx="196">
                  <c:v>M</c:v>
                </c:pt>
                <c:pt idx="227">
                  <c:v>J</c:v>
                </c:pt>
                <c:pt idx="257">
                  <c:v>J</c:v>
                </c:pt>
                <c:pt idx="288">
                  <c:v>A</c:v>
                </c:pt>
                <c:pt idx="319">
                  <c:v>S</c:v>
                </c:pt>
                <c:pt idx="349">
                  <c:v>O</c:v>
                </c:pt>
                <c:pt idx="380">
                  <c:v>N</c:v>
                </c:pt>
              </c:strCache>
            </c:strRef>
          </c:cat>
          <c:val>
            <c:numRef>
              <c:f>'Data 4'!$H$2:$H$395</c:f>
              <c:numCache>
                <c:formatCode>0.0</c:formatCode>
                <c:ptCount val="39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11950624"/>
        <c:axId val="511951016"/>
      </c:barChart>
      <c:catAx>
        <c:axId val="511949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spPr>
          <a:ln>
            <a:solidFill>
              <a:srgbClr val="004563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1950232"/>
        <c:crossesAt val="0"/>
        <c:auto val="0"/>
        <c:lblAlgn val="ctr"/>
        <c:lblOffset val="100"/>
        <c:tickLblSkip val="1"/>
        <c:noMultiLvlLbl val="0"/>
      </c:catAx>
      <c:valAx>
        <c:axId val="511950232"/>
        <c:scaling>
          <c:orientation val="minMax"/>
          <c:max val="400"/>
          <c:min val="0"/>
        </c:scaling>
        <c:delete val="0"/>
        <c:axPos val="l"/>
        <c:majorGridlines>
          <c:spPr>
            <a:ln w="12700">
              <a:solidFill>
                <a:srgbClr val="BFBFBF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12700">
            <a:solidFill>
              <a:srgbClr val="004563"/>
            </a:solidFill>
            <a:prstDash val="solid"/>
          </a:ln>
        </c:spPr>
        <c:txPr>
          <a:bodyPr rot="0" vert="horz"/>
          <a:lstStyle/>
          <a:p>
            <a:pPr algn="ctr" rtl="0">
              <a:defRPr lang="es-E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11949840"/>
        <c:crosses val="autoZero"/>
        <c:crossBetween val="midCat"/>
        <c:majorUnit val="100"/>
        <c:minorUnit val="100"/>
      </c:valAx>
      <c:catAx>
        <c:axId val="511950624"/>
        <c:scaling>
          <c:orientation val="minMax"/>
        </c:scaling>
        <c:delete val="1"/>
        <c:axPos val="b"/>
        <c:majorTickMark val="out"/>
        <c:minorTickMark val="none"/>
        <c:tickLblPos val="nextTo"/>
        <c:crossAx val="511951016"/>
        <c:crosses val="autoZero"/>
        <c:auto val="0"/>
        <c:lblAlgn val="ctr"/>
        <c:lblOffset val="100"/>
        <c:noMultiLvlLbl val="0"/>
      </c:catAx>
      <c:valAx>
        <c:axId val="5119510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11950624"/>
        <c:crosses val="autoZero"/>
        <c:crossBetween val="midCat"/>
      </c:valAx>
      <c:spPr>
        <a:noFill/>
        <a:ln w="12700">
          <a:noFill/>
          <a:prstDash val="solid"/>
        </a:ln>
      </c:spPr>
    </c:plotArea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Futura"/>
          <a:ea typeface="Futura"/>
          <a:cs typeface="Futura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4"/>
          <c:order val="0"/>
          <c:tx>
            <c:strRef>
              <c:f>Dat_02!$C$1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dLbls>
            <c:delete val="1"/>
          </c:dLbls>
          <c:cat>
            <c:strRef>
              <c:f>Dat_02!$F$3:$F$399</c:f>
              <c:strCache>
                <c:ptCount val="381"/>
                <c:pt idx="14">
                  <c:v>N</c:v>
                </c:pt>
                <c:pt idx="44">
                  <c:v>D</c:v>
                </c:pt>
                <c:pt idx="75">
                  <c:v>E</c:v>
                </c:pt>
                <c:pt idx="106">
                  <c:v>F</c:v>
                </c:pt>
                <c:pt idx="135">
                  <c:v>M</c:v>
                </c:pt>
                <c:pt idx="166">
                  <c:v>A</c:v>
                </c:pt>
                <c:pt idx="196">
                  <c:v>M</c:v>
                </c:pt>
                <c:pt idx="227">
                  <c:v>J</c:v>
                </c:pt>
                <c:pt idx="257">
                  <c:v>J</c:v>
                </c:pt>
                <c:pt idx="288">
                  <c:v>A</c:v>
                </c:pt>
                <c:pt idx="319">
                  <c:v>S</c:v>
                </c:pt>
                <c:pt idx="349">
                  <c:v>O</c:v>
                </c:pt>
                <c:pt idx="380">
                  <c:v>N</c:v>
                </c:pt>
              </c:strCache>
            </c:strRef>
          </c:cat>
          <c:val>
            <c:numRef>
              <c:f>Dat_02!$C$3:$C$398</c:f>
              <c:numCache>
                <c:formatCode>#,##0.0</c:formatCode>
                <c:ptCount val="396"/>
                <c:pt idx="0">
                  <c:v>32.750995321750644</c:v>
                </c:pt>
                <c:pt idx="1">
                  <c:v>33.413095321749708</c:v>
                </c:pt>
                <c:pt idx="2">
                  <c:v>39.359695321751566</c:v>
                </c:pt>
                <c:pt idx="3">
                  <c:v>49.605095321750639</c:v>
                </c:pt>
                <c:pt idx="4">
                  <c:v>55.317295321749711</c:v>
                </c:pt>
                <c:pt idx="5">
                  <c:v>96.69022090814002</c:v>
                </c:pt>
                <c:pt idx="6">
                  <c:v>97.172820908139087</c:v>
                </c:pt>
                <c:pt idx="7">
                  <c:v>99.457520908140026</c:v>
                </c:pt>
                <c:pt idx="8">
                  <c:v>100.58242090814002</c:v>
                </c:pt>
                <c:pt idx="9">
                  <c:v>100.16012090814002</c:v>
                </c:pt>
                <c:pt idx="10">
                  <c:v>103.75672090813909</c:v>
                </c:pt>
                <c:pt idx="11">
                  <c:v>108.05162090814095</c:v>
                </c:pt>
                <c:pt idx="12">
                  <c:v>169.53390638546196</c:v>
                </c:pt>
                <c:pt idx="13">
                  <c:v>179.08830638546013</c:v>
                </c:pt>
                <c:pt idx="14">
                  <c:v>175.86230638546013</c:v>
                </c:pt>
                <c:pt idx="15">
                  <c:v>172.47260638546197</c:v>
                </c:pt>
                <c:pt idx="16">
                  <c:v>168.68210638546012</c:v>
                </c:pt>
                <c:pt idx="17">
                  <c:v>177.03180638546107</c:v>
                </c:pt>
                <c:pt idx="18">
                  <c:v>191.38050638546011</c:v>
                </c:pt>
                <c:pt idx="19">
                  <c:v>165.7317124804627</c:v>
                </c:pt>
                <c:pt idx="20">
                  <c:v>164.64921248046363</c:v>
                </c:pt>
                <c:pt idx="21">
                  <c:v>142.72911248046458</c:v>
                </c:pt>
                <c:pt idx="22">
                  <c:v>149.97001248046365</c:v>
                </c:pt>
                <c:pt idx="23">
                  <c:v>152.80211248046365</c:v>
                </c:pt>
                <c:pt idx="24">
                  <c:v>160.75901248046367</c:v>
                </c:pt>
                <c:pt idx="25">
                  <c:v>155.05231248046178</c:v>
                </c:pt>
                <c:pt idx="26">
                  <c:v>208.97216638452076</c:v>
                </c:pt>
                <c:pt idx="27">
                  <c:v>218.74646638451983</c:v>
                </c:pt>
                <c:pt idx="28">
                  <c:v>228.64096638451983</c:v>
                </c:pt>
                <c:pt idx="29">
                  <c:v>214.75856638452075</c:v>
                </c:pt>
                <c:pt idx="30">
                  <c:v>220.02446638451889</c:v>
                </c:pt>
                <c:pt idx="31">
                  <c:v>220.93696638452076</c:v>
                </c:pt>
                <c:pt idx="32">
                  <c:v>238.31986638452074</c:v>
                </c:pt>
                <c:pt idx="33">
                  <c:v>156.94177797175308</c:v>
                </c:pt>
                <c:pt idx="34">
                  <c:v>156.35437797175402</c:v>
                </c:pt>
                <c:pt idx="35">
                  <c:v>145.71837797175311</c:v>
                </c:pt>
                <c:pt idx="36">
                  <c:v>138.4799779717531</c:v>
                </c:pt>
                <c:pt idx="37">
                  <c:v>123.6798779717531</c:v>
                </c:pt>
                <c:pt idx="38">
                  <c:v>121.28207797175217</c:v>
                </c:pt>
                <c:pt idx="39">
                  <c:v>130.3171779717531</c:v>
                </c:pt>
                <c:pt idx="40">
                  <c:v>138.70278654671944</c:v>
                </c:pt>
                <c:pt idx="41">
                  <c:v>127.68308654672039</c:v>
                </c:pt>
                <c:pt idx="42">
                  <c:v>135.46618654671852</c:v>
                </c:pt>
                <c:pt idx="43">
                  <c:v>142.37948654671945</c:v>
                </c:pt>
                <c:pt idx="44">
                  <c:v>136.77508654672039</c:v>
                </c:pt>
                <c:pt idx="45">
                  <c:v>157.64818654672038</c:v>
                </c:pt>
                <c:pt idx="46">
                  <c:v>173.63738654671945</c:v>
                </c:pt>
                <c:pt idx="47">
                  <c:v>334.36363688784093</c:v>
                </c:pt>
                <c:pt idx="48">
                  <c:v>332.79693688784465</c:v>
                </c:pt>
                <c:pt idx="49">
                  <c:v>354.77393688784275</c:v>
                </c:pt>
                <c:pt idx="50">
                  <c:v>354.52443688784462</c:v>
                </c:pt>
                <c:pt idx="51">
                  <c:v>343.64063688784279</c:v>
                </c:pt>
                <c:pt idx="52">
                  <c:v>350.88903688784467</c:v>
                </c:pt>
                <c:pt idx="53">
                  <c:v>355.5973368878428</c:v>
                </c:pt>
                <c:pt idx="54">
                  <c:v>172.96803796917945</c:v>
                </c:pt>
                <c:pt idx="55">
                  <c:v>174.7728379691813</c:v>
                </c:pt>
                <c:pt idx="56">
                  <c:v>178.6237379691832</c:v>
                </c:pt>
                <c:pt idx="57">
                  <c:v>175.33903796917946</c:v>
                </c:pt>
                <c:pt idx="58">
                  <c:v>165.11513796918132</c:v>
                </c:pt>
                <c:pt idx="59">
                  <c:v>163.71783796918129</c:v>
                </c:pt>
                <c:pt idx="60">
                  <c:v>161.18603796918876</c:v>
                </c:pt>
                <c:pt idx="61">
                  <c:v>184.28364091592655</c:v>
                </c:pt>
                <c:pt idx="62">
                  <c:v>191.98454091592654</c:v>
                </c:pt>
                <c:pt idx="63">
                  <c:v>184.82194091592655</c:v>
                </c:pt>
                <c:pt idx="64">
                  <c:v>172.69454091592468</c:v>
                </c:pt>
                <c:pt idx="65">
                  <c:v>159.62764091592655</c:v>
                </c:pt>
                <c:pt idx="66">
                  <c:v>163.11084091592656</c:v>
                </c:pt>
                <c:pt idx="67">
                  <c:v>178.37934091592655</c:v>
                </c:pt>
                <c:pt idx="68">
                  <c:v>184.30429312520474</c:v>
                </c:pt>
                <c:pt idx="69">
                  <c:v>167.72469312520474</c:v>
                </c:pt>
                <c:pt idx="70">
                  <c:v>172.46919312520473</c:v>
                </c:pt>
                <c:pt idx="71">
                  <c:v>146.39959312520472</c:v>
                </c:pt>
                <c:pt idx="72">
                  <c:v>143.13519312520472</c:v>
                </c:pt>
                <c:pt idx="73">
                  <c:v>167.98059312520473</c:v>
                </c:pt>
                <c:pt idx="74">
                  <c:v>161.94979312520474</c:v>
                </c:pt>
                <c:pt idx="75">
                  <c:v>109.49860715492852</c:v>
                </c:pt>
                <c:pt idx="76">
                  <c:v>102.81940715493037</c:v>
                </c:pt>
                <c:pt idx="77">
                  <c:v>95.576007154928519</c:v>
                </c:pt>
                <c:pt idx="78">
                  <c:v>78.538607154930389</c:v>
                </c:pt>
                <c:pt idx="79">
                  <c:v>81.264607154928527</c:v>
                </c:pt>
                <c:pt idx="80">
                  <c:v>107.20760715493039</c:v>
                </c:pt>
                <c:pt idx="81">
                  <c:v>109.99690715492851</c:v>
                </c:pt>
                <c:pt idx="82">
                  <c:v>156.73273092885577</c:v>
                </c:pt>
                <c:pt idx="83">
                  <c:v>153.73723092885763</c:v>
                </c:pt>
                <c:pt idx="84">
                  <c:v>158.31193092885576</c:v>
                </c:pt>
                <c:pt idx="85">
                  <c:v>142.16853092885577</c:v>
                </c:pt>
                <c:pt idx="86">
                  <c:v>113.01793092885576</c:v>
                </c:pt>
                <c:pt idx="87">
                  <c:v>106.38223092885762</c:v>
                </c:pt>
                <c:pt idx="88">
                  <c:v>117.30713092885577</c:v>
                </c:pt>
                <c:pt idx="89">
                  <c:v>163.13593686418943</c:v>
                </c:pt>
                <c:pt idx="90">
                  <c:v>149.3266368641913</c:v>
                </c:pt>
                <c:pt idx="91">
                  <c:v>156.05203686418571</c:v>
                </c:pt>
                <c:pt idx="92">
                  <c:v>145.22593686419128</c:v>
                </c:pt>
                <c:pt idx="93">
                  <c:v>144.93633686419128</c:v>
                </c:pt>
                <c:pt idx="94">
                  <c:v>153.95463686418944</c:v>
                </c:pt>
                <c:pt idx="95">
                  <c:v>147.42883686419316</c:v>
                </c:pt>
                <c:pt idx="96">
                  <c:v>101.07637480868175</c:v>
                </c:pt>
                <c:pt idx="97">
                  <c:v>119.89337480868176</c:v>
                </c:pt>
                <c:pt idx="98">
                  <c:v>132.50547480868175</c:v>
                </c:pt>
                <c:pt idx="99">
                  <c:v>111.28487480868175</c:v>
                </c:pt>
                <c:pt idx="100">
                  <c:v>81.630574808679896</c:v>
                </c:pt>
                <c:pt idx="101">
                  <c:v>93.520274808683624</c:v>
                </c:pt>
                <c:pt idx="102">
                  <c:v>120.85797480868362</c:v>
                </c:pt>
                <c:pt idx="103">
                  <c:v>138.61622846951818</c:v>
                </c:pt>
                <c:pt idx="104">
                  <c:v>96.8228284695182</c:v>
                </c:pt>
                <c:pt idx="105">
                  <c:v>124.76382846952005</c:v>
                </c:pt>
                <c:pt idx="106">
                  <c:v>77.748528469514483</c:v>
                </c:pt>
                <c:pt idx="107">
                  <c:v>60.013928469521922</c:v>
                </c:pt>
                <c:pt idx="108">
                  <c:v>83.613828469518197</c:v>
                </c:pt>
                <c:pt idx="109">
                  <c:v>108.04012846952006</c:v>
                </c:pt>
                <c:pt idx="110">
                  <c:v>106.5020102428887</c:v>
                </c:pt>
                <c:pt idx="111">
                  <c:v>108.2354102428887</c:v>
                </c:pt>
                <c:pt idx="112">
                  <c:v>96.361410242890557</c:v>
                </c:pt>
                <c:pt idx="113">
                  <c:v>87.22831024288871</c:v>
                </c:pt>
                <c:pt idx="114">
                  <c:v>70.260710242890568</c:v>
                </c:pt>
                <c:pt idx="115">
                  <c:v>100.42171024288871</c:v>
                </c:pt>
                <c:pt idx="116">
                  <c:v>64.319710242890565</c:v>
                </c:pt>
                <c:pt idx="117">
                  <c:v>73.959059217030187</c:v>
                </c:pt>
                <c:pt idx="118">
                  <c:v>62.859059217033909</c:v>
                </c:pt>
                <c:pt idx="119">
                  <c:v>77.919359217033914</c:v>
                </c:pt>
                <c:pt idx="120">
                  <c:v>37.53485921703205</c:v>
                </c:pt>
                <c:pt idx="121">
                  <c:v>43.078659217033909</c:v>
                </c:pt>
                <c:pt idx="122">
                  <c:v>76.267359217032052</c:v>
                </c:pt>
                <c:pt idx="123">
                  <c:v>77.871559217033905</c:v>
                </c:pt>
                <c:pt idx="124">
                  <c:v>163.08137888084127</c:v>
                </c:pt>
                <c:pt idx="125">
                  <c:v>152.79087888084314</c:v>
                </c:pt>
                <c:pt idx="126">
                  <c:v>160.08117888083945</c:v>
                </c:pt>
                <c:pt idx="127">
                  <c:v>163.19277888084315</c:v>
                </c:pt>
                <c:pt idx="128">
                  <c:v>160.10027888084127</c:v>
                </c:pt>
                <c:pt idx="129">
                  <c:v>178.97097888083943</c:v>
                </c:pt>
                <c:pt idx="130">
                  <c:v>190.54627888084315</c:v>
                </c:pt>
                <c:pt idx="131">
                  <c:v>136.73492045660987</c:v>
                </c:pt>
                <c:pt idx="132">
                  <c:v>137.07152045660987</c:v>
                </c:pt>
                <c:pt idx="133">
                  <c:v>118.60192045660988</c:v>
                </c:pt>
                <c:pt idx="134">
                  <c:v>117.30392045660801</c:v>
                </c:pt>
                <c:pt idx="135">
                  <c:v>86.369520456609862</c:v>
                </c:pt>
                <c:pt idx="136">
                  <c:v>108.84542045660987</c:v>
                </c:pt>
                <c:pt idx="137">
                  <c:v>108.86742045660802</c:v>
                </c:pt>
                <c:pt idx="138">
                  <c:v>170.3784249703441</c:v>
                </c:pt>
                <c:pt idx="139">
                  <c:v>160.06522497034595</c:v>
                </c:pt>
                <c:pt idx="140">
                  <c:v>155.51932497034221</c:v>
                </c:pt>
                <c:pt idx="141">
                  <c:v>145.0455249703441</c:v>
                </c:pt>
                <c:pt idx="142">
                  <c:v>137.97682497034407</c:v>
                </c:pt>
                <c:pt idx="143">
                  <c:v>145.83512497034593</c:v>
                </c:pt>
                <c:pt idx="144">
                  <c:v>140.25812497034221</c:v>
                </c:pt>
                <c:pt idx="145">
                  <c:v>113.15580534969642</c:v>
                </c:pt>
                <c:pt idx="146">
                  <c:v>71.520605349694563</c:v>
                </c:pt>
                <c:pt idx="147">
                  <c:v>92.584205349694557</c:v>
                </c:pt>
                <c:pt idx="148">
                  <c:v>92.001505349692692</c:v>
                </c:pt>
                <c:pt idx="149">
                  <c:v>39.350705349696426</c:v>
                </c:pt>
                <c:pt idx="150">
                  <c:v>46.330505349694562</c:v>
                </c:pt>
                <c:pt idx="151">
                  <c:v>51.606705349692703</c:v>
                </c:pt>
                <c:pt idx="152">
                  <c:v>134.40447783593535</c:v>
                </c:pt>
                <c:pt idx="153">
                  <c:v>122.02307783593349</c:v>
                </c:pt>
                <c:pt idx="154">
                  <c:v>126.27587783593164</c:v>
                </c:pt>
                <c:pt idx="155">
                  <c:v>94.506777835935353</c:v>
                </c:pt>
                <c:pt idx="156">
                  <c:v>96.542077835933497</c:v>
                </c:pt>
                <c:pt idx="157">
                  <c:v>126.34327783593535</c:v>
                </c:pt>
                <c:pt idx="158">
                  <c:v>128.90007783592978</c:v>
                </c:pt>
                <c:pt idx="159">
                  <c:v>113.33062023510224</c:v>
                </c:pt>
                <c:pt idx="160">
                  <c:v>102.35942023509853</c:v>
                </c:pt>
                <c:pt idx="161">
                  <c:v>100.01672023510039</c:v>
                </c:pt>
                <c:pt idx="162">
                  <c:v>104.57982023510039</c:v>
                </c:pt>
                <c:pt idx="163">
                  <c:v>94.163720235100399</c:v>
                </c:pt>
                <c:pt idx="164">
                  <c:v>102.59432023509852</c:v>
                </c:pt>
                <c:pt idx="165">
                  <c:v>114.42222023509854</c:v>
                </c:pt>
                <c:pt idx="166">
                  <c:v>158.30298560191989</c:v>
                </c:pt>
                <c:pt idx="167">
                  <c:v>162.35648560191242</c:v>
                </c:pt>
                <c:pt idx="168">
                  <c:v>181.2441856019143</c:v>
                </c:pt>
                <c:pt idx="169">
                  <c:v>189.8460856019143</c:v>
                </c:pt>
                <c:pt idx="170">
                  <c:v>186.59238560191616</c:v>
                </c:pt>
                <c:pt idx="171">
                  <c:v>187.58548560191429</c:v>
                </c:pt>
                <c:pt idx="172">
                  <c:v>201.50998560191428</c:v>
                </c:pt>
                <c:pt idx="173">
                  <c:v>163.15151164440064</c:v>
                </c:pt>
                <c:pt idx="174">
                  <c:v>191.00541164440438</c:v>
                </c:pt>
                <c:pt idx="175">
                  <c:v>187.46851164440253</c:v>
                </c:pt>
                <c:pt idx="176">
                  <c:v>176.51871164440254</c:v>
                </c:pt>
                <c:pt idx="177">
                  <c:v>173.53591164440252</c:v>
                </c:pt>
                <c:pt idx="178">
                  <c:v>187.58451164440439</c:v>
                </c:pt>
                <c:pt idx="179">
                  <c:v>175.34141164440251</c:v>
                </c:pt>
                <c:pt idx="180">
                  <c:v>179.67674334770666</c:v>
                </c:pt>
                <c:pt idx="181">
                  <c:v>159.46004334771035</c:v>
                </c:pt>
                <c:pt idx="182">
                  <c:v>141.94044334770851</c:v>
                </c:pt>
                <c:pt idx="183">
                  <c:v>162.45604334770476</c:v>
                </c:pt>
                <c:pt idx="184">
                  <c:v>156.22704334771038</c:v>
                </c:pt>
                <c:pt idx="185">
                  <c:v>150.44364334770665</c:v>
                </c:pt>
                <c:pt idx="186">
                  <c:v>195.05914334770665</c:v>
                </c:pt>
                <c:pt idx="187">
                  <c:v>136.12816014253497</c:v>
                </c:pt>
                <c:pt idx="188">
                  <c:v>121.61546014253311</c:v>
                </c:pt>
                <c:pt idx="189">
                  <c:v>112.48296014253124</c:v>
                </c:pt>
                <c:pt idx="190">
                  <c:v>99.332860142533121</c:v>
                </c:pt>
                <c:pt idx="191">
                  <c:v>88.647960142533108</c:v>
                </c:pt>
                <c:pt idx="192">
                  <c:v>98.173560142531244</c:v>
                </c:pt>
                <c:pt idx="193">
                  <c:v>143.88616014253498</c:v>
                </c:pt>
                <c:pt idx="194">
                  <c:v>150.43729215595312</c:v>
                </c:pt>
                <c:pt idx="195">
                  <c:v>121.29869215595498</c:v>
                </c:pt>
                <c:pt idx="196">
                  <c:v>119.889892155955</c:v>
                </c:pt>
                <c:pt idx="197">
                  <c:v>107.10919215595871</c:v>
                </c:pt>
                <c:pt idx="198">
                  <c:v>98.103592155951262</c:v>
                </c:pt>
                <c:pt idx="199">
                  <c:v>106.96159215595685</c:v>
                </c:pt>
                <c:pt idx="200">
                  <c:v>96.202492155954985</c:v>
                </c:pt>
                <c:pt idx="201">
                  <c:v>88.739219824280596</c:v>
                </c:pt>
                <c:pt idx="202">
                  <c:v>99.634619824282453</c:v>
                </c:pt>
                <c:pt idx="203">
                  <c:v>110.96651982428432</c:v>
                </c:pt>
                <c:pt idx="204">
                  <c:v>75.814719824276864</c:v>
                </c:pt>
                <c:pt idx="205">
                  <c:v>73.434619824284312</c:v>
                </c:pt>
                <c:pt idx="206">
                  <c:v>79.599919824282452</c:v>
                </c:pt>
                <c:pt idx="207">
                  <c:v>71.389319824278729</c:v>
                </c:pt>
                <c:pt idx="208">
                  <c:v>56.780297967005524</c:v>
                </c:pt>
                <c:pt idx="209">
                  <c:v>68.078397967005529</c:v>
                </c:pt>
                <c:pt idx="210">
                  <c:v>87.433897967001798</c:v>
                </c:pt>
                <c:pt idx="211">
                  <c:v>65.949397967003662</c:v>
                </c:pt>
                <c:pt idx="212">
                  <c:v>59.973997967001793</c:v>
                </c:pt>
                <c:pt idx="213">
                  <c:v>92.190697967007381</c:v>
                </c:pt>
                <c:pt idx="214">
                  <c:v>98.260597967005523</c:v>
                </c:pt>
                <c:pt idx="215">
                  <c:v>61.905344371254742</c:v>
                </c:pt>
                <c:pt idx="216">
                  <c:v>55.473644371258473</c:v>
                </c:pt>
                <c:pt idx="217">
                  <c:v>55.85604437125847</c:v>
                </c:pt>
                <c:pt idx="218">
                  <c:v>38.13264437125661</c:v>
                </c:pt>
                <c:pt idx="219">
                  <c:v>32.878044371254745</c:v>
                </c:pt>
                <c:pt idx="220">
                  <c:v>34.727844371256609</c:v>
                </c:pt>
                <c:pt idx="221">
                  <c:v>44.663944371258459</c:v>
                </c:pt>
                <c:pt idx="222">
                  <c:v>71.323262023906778</c:v>
                </c:pt>
                <c:pt idx="223">
                  <c:v>55.397262023908645</c:v>
                </c:pt>
                <c:pt idx="224">
                  <c:v>61.927462023908653</c:v>
                </c:pt>
                <c:pt idx="225">
                  <c:v>56.816062023908643</c:v>
                </c:pt>
                <c:pt idx="226">
                  <c:v>53.090462023908643</c:v>
                </c:pt>
                <c:pt idx="227">
                  <c:v>65.941062023908643</c:v>
                </c:pt>
                <c:pt idx="228">
                  <c:v>68.063362023908638</c:v>
                </c:pt>
                <c:pt idx="229">
                  <c:v>57.908673730405049</c:v>
                </c:pt>
                <c:pt idx="230">
                  <c:v>51.14037373041063</c:v>
                </c:pt>
                <c:pt idx="231">
                  <c:v>48.942373730403183</c:v>
                </c:pt>
                <c:pt idx="232">
                  <c:v>32.105273730408769</c:v>
                </c:pt>
                <c:pt idx="233">
                  <c:v>26.652473730408776</c:v>
                </c:pt>
                <c:pt idx="234">
                  <c:v>45.374773730406915</c:v>
                </c:pt>
                <c:pt idx="235">
                  <c:v>63.074573730406904</c:v>
                </c:pt>
                <c:pt idx="236">
                  <c:v>38.710998386582361</c:v>
                </c:pt>
                <c:pt idx="237">
                  <c:v>49.306998386587949</c:v>
                </c:pt>
                <c:pt idx="238">
                  <c:v>49.329998386584222</c:v>
                </c:pt>
                <c:pt idx="239">
                  <c:v>34.305298386582365</c:v>
                </c:pt>
                <c:pt idx="240">
                  <c:v>30.354798386584225</c:v>
                </c:pt>
                <c:pt idx="241">
                  <c:v>45.563998386586086</c:v>
                </c:pt>
                <c:pt idx="242">
                  <c:v>58.461398386580491</c:v>
                </c:pt>
                <c:pt idx="243">
                  <c:v>51.952441889485343</c:v>
                </c:pt>
                <c:pt idx="244">
                  <c:v>37.132841889485341</c:v>
                </c:pt>
                <c:pt idx="245">
                  <c:v>14.066841889485346</c:v>
                </c:pt>
                <c:pt idx="246">
                  <c:v>8.3983418894853461</c:v>
                </c:pt>
                <c:pt idx="247">
                  <c:v>8.0012418894834845</c:v>
                </c:pt>
                <c:pt idx="248">
                  <c:v>17.791341889485345</c:v>
                </c:pt>
                <c:pt idx="249">
                  <c:v>25.094941889481618</c:v>
                </c:pt>
                <c:pt idx="250">
                  <c:v>31.865014404026791</c:v>
                </c:pt>
                <c:pt idx="251">
                  <c:v>27.082214404023063</c:v>
                </c:pt>
                <c:pt idx="252">
                  <c:v>21.241714404026787</c:v>
                </c:pt>
                <c:pt idx="253">
                  <c:v>17.792714404021201</c:v>
                </c:pt>
                <c:pt idx="254">
                  <c:v>8.9562144040249265</c:v>
                </c:pt>
                <c:pt idx="255">
                  <c:v>23.02581440402307</c:v>
                </c:pt>
                <c:pt idx="256">
                  <c:v>22.195214404024927</c:v>
                </c:pt>
                <c:pt idx="257">
                  <c:v>21.587164615732057</c:v>
                </c:pt>
                <c:pt idx="258">
                  <c:v>22.25656461573206</c:v>
                </c:pt>
                <c:pt idx="259">
                  <c:v>24.386564615732059</c:v>
                </c:pt>
                <c:pt idx="260">
                  <c:v>19.524964615733921</c:v>
                </c:pt>
                <c:pt idx="261">
                  <c:v>12.476364615733925</c:v>
                </c:pt>
                <c:pt idx="262">
                  <c:v>27.044864615730198</c:v>
                </c:pt>
                <c:pt idx="263">
                  <c:v>19.316464615733924</c:v>
                </c:pt>
                <c:pt idx="264">
                  <c:v>13.504691299972313</c:v>
                </c:pt>
                <c:pt idx="265">
                  <c:v>17.08589129997231</c:v>
                </c:pt>
                <c:pt idx="266">
                  <c:v>13.806591299974171</c:v>
                </c:pt>
                <c:pt idx="267">
                  <c:v>5.5891912999723132</c:v>
                </c:pt>
                <c:pt idx="268">
                  <c:v>4.0950912999760334</c:v>
                </c:pt>
                <c:pt idx="269">
                  <c:v>27.26549129997418</c:v>
                </c:pt>
                <c:pt idx="270">
                  <c:v>30.291691299972314</c:v>
                </c:pt>
                <c:pt idx="271">
                  <c:v>14.449744701170552</c:v>
                </c:pt>
                <c:pt idx="272">
                  <c:v>11.960344701170543</c:v>
                </c:pt>
                <c:pt idx="273">
                  <c:v>31.587444701164962</c:v>
                </c:pt>
                <c:pt idx="274">
                  <c:v>1.1538447011686876</c:v>
                </c:pt>
                <c:pt idx="275">
                  <c:v>2.1983447011705501</c:v>
                </c:pt>
                <c:pt idx="276">
                  <c:v>1.2358447011686804</c:v>
                </c:pt>
                <c:pt idx="277">
                  <c:v>0.99304470116868471</c:v>
                </c:pt>
                <c:pt idx="278">
                  <c:v>1.2502095372110635</c:v>
                </c:pt>
                <c:pt idx="279">
                  <c:v>5.0392095372054753</c:v>
                </c:pt>
                <c:pt idx="280">
                  <c:v>6.6257095372054753</c:v>
                </c:pt>
                <c:pt idx="281">
                  <c:v>4.2226095372110573</c:v>
                </c:pt>
                <c:pt idx="282">
                  <c:v>1.3989095372073352</c:v>
                </c:pt>
                <c:pt idx="283">
                  <c:v>1.9705095372091965</c:v>
                </c:pt>
                <c:pt idx="284">
                  <c:v>9.8279095372073346</c:v>
                </c:pt>
                <c:pt idx="285">
                  <c:v>16.179420477262887</c:v>
                </c:pt>
                <c:pt idx="286">
                  <c:v>46.312220477261029</c:v>
                </c:pt>
                <c:pt idx="287">
                  <c:v>19.582720477262889</c:v>
                </c:pt>
                <c:pt idx="288">
                  <c:v>7.3201204772628845</c:v>
                </c:pt>
                <c:pt idx="289">
                  <c:v>4.2417204772591575</c:v>
                </c:pt>
                <c:pt idx="290">
                  <c:v>15.838020477262885</c:v>
                </c:pt>
                <c:pt idx="291">
                  <c:v>30.79082047726288</c:v>
                </c:pt>
                <c:pt idx="292">
                  <c:v>6.3324321625173106</c:v>
                </c:pt>
                <c:pt idx="293">
                  <c:v>5.5617321625191689</c:v>
                </c:pt>
                <c:pt idx="294">
                  <c:v>10.257532162519173</c:v>
                </c:pt>
                <c:pt idx="295">
                  <c:v>4.6552321625173061</c:v>
                </c:pt>
                <c:pt idx="296">
                  <c:v>5.450232162517306</c:v>
                </c:pt>
                <c:pt idx="297">
                  <c:v>7.4565321625191716</c:v>
                </c:pt>
                <c:pt idx="298">
                  <c:v>24.78173216251917</c:v>
                </c:pt>
                <c:pt idx="299">
                  <c:v>31.584529551378264</c:v>
                </c:pt>
                <c:pt idx="300">
                  <c:v>11.699929551380134</c:v>
                </c:pt>
                <c:pt idx="301">
                  <c:v>7.1733295513819906</c:v>
                </c:pt>
                <c:pt idx="302">
                  <c:v>1.4501295513764052</c:v>
                </c:pt>
                <c:pt idx="303">
                  <c:v>1.4524295513838514</c:v>
                </c:pt>
                <c:pt idx="304">
                  <c:v>1.3377295513782665</c:v>
                </c:pt>
                <c:pt idx="305">
                  <c:v>9.8079295513782636</c:v>
                </c:pt>
                <c:pt idx="306">
                  <c:v>19.966084909409286</c:v>
                </c:pt>
                <c:pt idx="307">
                  <c:v>24.446284909405556</c:v>
                </c:pt>
                <c:pt idx="308">
                  <c:v>14.10968490940742</c:v>
                </c:pt>
                <c:pt idx="309">
                  <c:v>6.4796849094055577</c:v>
                </c:pt>
                <c:pt idx="310">
                  <c:v>2.191584909407422</c:v>
                </c:pt>
                <c:pt idx="311">
                  <c:v>1.8539849094055607</c:v>
                </c:pt>
                <c:pt idx="312">
                  <c:v>10.339484909407423</c:v>
                </c:pt>
                <c:pt idx="313">
                  <c:v>22.892920741324122</c:v>
                </c:pt>
                <c:pt idx="314">
                  <c:v>17.659020741325993</c:v>
                </c:pt>
                <c:pt idx="315">
                  <c:v>14.349120741322265</c:v>
                </c:pt>
                <c:pt idx="316">
                  <c:v>2.5634207413259866</c:v>
                </c:pt>
                <c:pt idx="317">
                  <c:v>1.4610207413222669</c:v>
                </c:pt>
                <c:pt idx="318">
                  <c:v>22.386220741325989</c:v>
                </c:pt>
                <c:pt idx="319">
                  <c:v>36.317120741324118</c:v>
                </c:pt>
                <c:pt idx="320">
                  <c:v>48.998136673035098</c:v>
                </c:pt>
                <c:pt idx="321">
                  <c:v>23.226636673033237</c:v>
                </c:pt>
                <c:pt idx="322">
                  <c:v>17.120136673036964</c:v>
                </c:pt>
                <c:pt idx="323">
                  <c:v>7.4920366730351011</c:v>
                </c:pt>
                <c:pt idx="324">
                  <c:v>6.3300366730351012</c:v>
                </c:pt>
                <c:pt idx="325">
                  <c:v>29.449836673035097</c:v>
                </c:pt>
                <c:pt idx="326">
                  <c:v>41.022236673035103</c:v>
                </c:pt>
                <c:pt idx="327">
                  <c:v>47.506582213733346</c:v>
                </c:pt>
                <c:pt idx="328">
                  <c:v>28.103082213733344</c:v>
                </c:pt>
                <c:pt idx="329">
                  <c:v>14.233182213735207</c:v>
                </c:pt>
                <c:pt idx="330">
                  <c:v>9.809582213731483</c:v>
                </c:pt>
                <c:pt idx="331">
                  <c:v>13.20448221373521</c:v>
                </c:pt>
                <c:pt idx="332">
                  <c:v>20.889882213735209</c:v>
                </c:pt>
                <c:pt idx="333">
                  <c:v>31.569082213735207</c:v>
                </c:pt>
                <c:pt idx="334">
                  <c:v>49.51678041639812</c:v>
                </c:pt>
                <c:pt idx="335">
                  <c:v>34.484280416399983</c:v>
                </c:pt>
                <c:pt idx="336">
                  <c:v>33.251180416401844</c:v>
                </c:pt>
                <c:pt idx="337">
                  <c:v>31.903780416398121</c:v>
                </c:pt>
                <c:pt idx="338">
                  <c:v>32.307580416400917</c:v>
                </c:pt>
                <c:pt idx="339">
                  <c:v>36.510980416400919</c:v>
                </c:pt>
                <c:pt idx="340">
                  <c:v>44.142080416401846</c:v>
                </c:pt>
                <c:pt idx="341">
                  <c:v>51.267975035480411</c:v>
                </c:pt>
                <c:pt idx="342">
                  <c:v>57.779175035484137</c:v>
                </c:pt>
                <c:pt idx="343">
                  <c:v>58.880275035482278</c:v>
                </c:pt>
                <c:pt idx="344">
                  <c:v>31.932175035482274</c:v>
                </c:pt>
                <c:pt idx="345">
                  <c:v>27.284175035484136</c:v>
                </c:pt>
                <c:pt idx="346">
                  <c:v>33.381475035482275</c:v>
                </c:pt>
                <c:pt idx="347">
                  <c:v>56.992775035482268</c:v>
                </c:pt>
                <c:pt idx="348">
                  <c:v>40.406737656433137</c:v>
                </c:pt>
                <c:pt idx="349">
                  <c:v>49.309937656431266</c:v>
                </c:pt>
                <c:pt idx="350">
                  <c:v>55.494537656433138</c:v>
                </c:pt>
                <c:pt idx="351">
                  <c:v>60.255937656433133</c:v>
                </c:pt>
                <c:pt idx="352">
                  <c:v>50.562737656433136</c:v>
                </c:pt>
                <c:pt idx="353">
                  <c:v>17.771037656431275</c:v>
                </c:pt>
                <c:pt idx="354">
                  <c:v>33.208137656433138</c:v>
                </c:pt>
                <c:pt idx="355">
                  <c:v>97.291032216170805</c:v>
                </c:pt>
                <c:pt idx="356">
                  <c:v>126.0293322161708</c:v>
                </c:pt>
                <c:pt idx="357">
                  <c:v>115.91943221617173</c:v>
                </c:pt>
                <c:pt idx="358">
                  <c:v>92.78983221616987</c:v>
                </c:pt>
                <c:pt idx="359">
                  <c:v>89.756632216171738</c:v>
                </c:pt>
                <c:pt idx="360">
                  <c:v>109.11183221617081</c:v>
                </c:pt>
                <c:pt idx="361">
                  <c:v>109.85633221616987</c:v>
                </c:pt>
                <c:pt idx="362">
                  <c:v>97.513333258563279</c:v>
                </c:pt>
                <c:pt idx="363">
                  <c:v>100.72623325856142</c:v>
                </c:pt>
                <c:pt idx="364">
                  <c:v>94.830733258563285</c:v>
                </c:pt>
                <c:pt idx="365">
                  <c:v>73.145933258563275</c:v>
                </c:pt>
                <c:pt idx="366">
                  <c:v>64.711733258562887</c:v>
                </c:pt>
                <c:pt idx="367">
                  <c:v>93.417533258562898</c:v>
                </c:pt>
                <c:pt idx="368">
                  <c:v>85.329933258562889</c:v>
                </c:pt>
                <c:pt idx="369">
                  <c:v>92.059814019519166</c:v>
                </c:pt>
                <c:pt idx="370">
                  <c:v>84.913114019519156</c:v>
                </c:pt>
                <c:pt idx="371">
                  <c:v>83.47701401951916</c:v>
                </c:pt>
                <c:pt idx="372">
                  <c:v>86.268814019519169</c:v>
                </c:pt>
                <c:pt idx="373">
                  <c:v>87.437714019519163</c:v>
                </c:pt>
                <c:pt idx="374">
                  <c:v>120.78061401951915</c:v>
                </c:pt>
                <c:pt idx="375">
                  <c:v>137.60111401951914</c:v>
                </c:pt>
                <c:pt idx="376">
                  <c:v>95.96769465272213</c:v>
                </c:pt>
                <c:pt idx="377">
                  <c:v>98.078294652722136</c:v>
                </c:pt>
                <c:pt idx="378">
                  <c:v>96.484394652722131</c:v>
                </c:pt>
                <c:pt idx="379">
                  <c:v>68.95269465272213</c:v>
                </c:pt>
                <c:pt idx="380">
                  <c:v>52.064494652722139</c:v>
                </c:pt>
                <c:pt idx="381">
                  <c:v>91.767994652722138</c:v>
                </c:pt>
                <c:pt idx="382">
                  <c:v>93.165794652722141</c:v>
                </c:pt>
                <c:pt idx="383">
                  <c:v>72.630552717442654</c:v>
                </c:pt>
                <c:pt idx="384">
                  <c:v>63.004652717442646</c:v>
                </c:pt>
                <c:pt idx="385">
                  <c:v>56.796152717442659</c:v>
                </c:pt>
                <c:pt idx="386">
                  <c:v>53.172052717442654</c:v>
                </c:pt>
                <c:pt idx="387">
                  <c:v>48.916152717442657</c:v>
                </c:pt>
                <c:pt idx="388">
                  <c:v>87.868552717442654</c:v>
                </c:pt>
                <c:pt idx="389">
                  <c:v>85.365152717442641</c:v>
                </c:pt>
                <c:pt idx="390">
                  <c:v>69.01658826066425</c:v>
                </c:pt>
                <c:pt idx="391">
                  <c:v>71.082788260664259</c:v>
                </c:pt>
                <c:pt idx="392">
                  <c:v>81.511788260664247</c:v>
                </c:pt>
                <c:pt idx="393">
                  <c:v>61.805388260664259</c:v>
                </c:pt>
                <c:pt idx="394">
                  <c:v>58.887488260664263</c:v>
                </c:pt>
                <c:pt idx="395">
                  <c:v>78.146388260664253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A-4CF7-8075-2D23B26E89FB}"/>
            </c:ext>
          </c:extLst>
        </c:ser>
        <c:ser>
          <c:idx val="0"/>
          <c:order val="1"/>
          <c:tx>
            <c:strRef>
              <c:f>Dat_02!$D$1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dLbls>
            <c:delete val="1"/>
          </c:dLbls>
          <c:cat>
            <c:strRef>
              <c:f>Dat_02!$F$3:$F$399</c:f>
              <c:strCache>
                <c:ptCount val="381"/>
                <c:pt idx="14">
                  <c:v>N</c:v>
                </c:pt>
                <c:pt idx="44">
                  <c:v>D</c:v>
                </c:pt>
                <c:pt idx="75">
                  <c:v>E</c:v>
                </c:pt>
                <c:pt idx="106">
                  <c:v>F</c:v>
                </c:pt>
                <c:pt idx="135">
                  <c:v>M</c:v>
                </c:pt>
                <c:pt idx="166">
                  <c:v>A</c:v>
                </c:pt>
                <c:pt idx="196">
                  <c:v>M</c:v>
                </c:pt>
                <c:pt idx="227">
                  <c:v>J</c:v>
                </c:pt>
                <c:pt idx="257">
                  <c:v>J</c:v>
                </c:pt>
                <c:pt idx="288">
                  <c:v>A</c:v>
                </c:pt>
                <c:pt idx="319">
                  <c:v>S</c:v>
                </c:pt>
                <c:pt idx="349">
                  <c:v>O</c:v>
                </c:pt>
                <c:pt idx="380">
                  <c:v>N</c:v>
                </c:pt>
              </c:strCache>
            </c:strRef>
          </c:cat>
          <c:val>
            <c:numRef>
              <c:f>Dat_02!$D$3:$D$398</c:f>
              <c:numCache>
                <c:formatCode>#,##0.0</c:formatCode>
                <c:ptCount val="396"/>
                <c:pt idx="0">
                  <c:v>83.137557492553753</c:v>
                </c:pt>
                <c:pt idx="1">
                  <c:v>83.137557492553753</c:v>
                </c:pt>
                <c:pt idx="2">
                  <c:v>83.137557492553753</c:v>
                </c:pt>
                <c:pt idx="3">
                  <c:v>83.137557492553753</c:v>
                </c:pt>
                <c:pt idx="4">
                  <c:v>83.137557492553753</c:v>
                </c:pt>
                <c:pt idx="5">
                  <c:v>83.137557492553753</c:v>
                </c:pt>
                <c:pt idx="6">
                  <c:v>83.137557492553753</c:v>
                </c:pt>
                <c:pt idx="7">
                  <c:v>83.137557492553753</c:v>
                </c:pt>
                <c:pt idx="8">
                  <c:v>83.137557492553753</c:v>
                </c:pt>
                <c:pt idx="9">
                  <c:v>83.137557492553753</c:v>
                </c:pt>
                <c:pt idx="10">
                  <c:v>83.137557492553753</c:v>
                </c:pt>
                <c:pt idx="11">
                  <c:v>83.137557492553753</c:v>
                </c:pt>
                <c:pt idx="12">
                  <c:v>83.137557492553753</c:v>
                </c:pt>
                <c:pt idx="13">
                  <c:v>83.137557492553753</c:v>
                </c:pt>
                <c:pt idx="14">
                  <c:v>83.137557492553753</c:v>
                </c:pt>
                <c:pt idx="15">
                  <c:v>83.137557492553753</c:v>
                </c:pt>
                <c:pt idx="16">
                  <c:v>83.137557492553753</c:v>
                </c:pt>
                <c:pt idx="17">
                  <c:v>83.137557492553753</c:v>
                </c:pt>
                <c:pt idx="18">
                  <c:v>83.137557492553753</c:v>
                </c:pt>
                <c:pt idx="19">
                  <c:v>83.137557492553753</c:v>
                </c:pt>
                <c:pt idx="20">
                  <c:v>83.137557492553753</c:v>
                </c:pt>
                <c:pt idx="21">
                  <c:v>83.137557492553753</c:v>
                </c:pt>
                <c:pt idx="22">
                  <c:v>83.137557492553753</c:v>
                </c:pt>
                <c:pt idx="23">
                  <c:v>83.137557492553753</c:v>
                </c:pt>
                <c:pt idx="24">
                  <c:v>83.137557492553753</c:v>
                </c:pt>
                <c:pt idx="25">
                  <c:v>83.137557492553753</c:v>
                </c:pt>
                <c:pt idx="26">
                  <c:v>83.137557492553753</c:v>
                </c:pt>
                <c:pt idx="27">
                  <c:v>83.137557492553753</c:v>
                </c:pt>
                <c:pt idx="28">
                  <c:v>83.137557492553753</c:v>
                </c:pt>
                <c:pt idx="29">
                  <c:v>83.137557492553753</c:v>
                </c:pt>
                <c:pt idx="30">
                  <c:v>104.08859355090497</c:v>
                </c:pt>
                <c:pt idx="31">
                  <c:v>104.08859355090497</c:v>
                </c:pt>
                <c:pt idx="32">
                  <c:v>104.08859355090497</c:v>
                </c:pt>
                <c:pt idx="33">
                  <c:v>104.08859355090497</c:v>
                </c:pt>
                <c:pt idx="34">
                  <c:v>104.08859355090497</c:v>
                </c:pt>
                <c:pt idx="35">
                  <c:v>104.08859355090497</c:v>
                </c:pt>
                <c:pt idx="36">
                  <c:v>104.08859355090497</c:v>
                </c:pt>
                <c:pt idx="37">
                  <c:v>104.08859355090497</c:v>
                </c:pt>
                <c:pt idx="38">
                  <c:v>104.08859355090497</c:v>
                </c:pt>
                <c:pt idx="39">
                  <c:v>104.08859355090497</c:v>
                </c:pt>
                <c:pt idx="40">
                  <c:v>104.08859355090497</c:v>
                </c:pt>
                <c:pt idx="41">
                  <c:v>104.08859355090497</c:v>
                </c:pt>
                <c:pt idx="42">
                  <c:v>104.08859355090497</c:v>
                </c:pt>
                <c:pt idx="43">
                  <c:v>104.08859355090497</c:v>
                </c:pt>
                <c:pt idx="44">
                  <c:v>104.08859355090497</c:v>
                </c:pt>
                <c:pt idx="45">
                  <c:v>104.08859355090497</c:v>
                </c:pt>
                <c:pt idx="46">
                  <c:v>104.08859355090497</c:v>
                </c:pt>
                <c:pt idx="47">
                  <c:v>104.08859355090497</c:v>
                </c:pt>
                <c:pt idx="48">
                  <c:v>104.08859355090497</c:v>
                </c:pt>
                <c:pt idx="49">
                  <c:v>104.08859355090497</c:v>
                </c:pt>
                <c:pt idx="50">
                  <c:v>104.08859355090497</c:v>
                </c:pt>
                <c:pt idx="51">
                  <c:v>104.08859355090497</c:v>
                </c:pt>
                <c:pt idx="52">
                  <c:v>104.08859355090497</c:v>
                </c:pt>
                <c:pt idx="53">
                  <c:v>104.08859355090497</c:v>
                </c:pt>
                <c:pt idx="54">
                  <c:v>104.08859355090497</c:v>
                </c:pt>
                <c:pt idx="55">
                  <c:v>104.08859355090497</c:v>
                </c:pt>
                <c:pt idx="56">
                  <c:v>104.08859355090497</c:v>
                </c:pt>
                <c:pt idx="57">
                  <c:v>104.08859355090497</c:v>
                </c:pt>
                <c:pt idx="58">
                  <c:v>104.08859355090497</c:v>
                </c:pt>
                <c:pt idx="59">
                  <c:v>104.08859355090497</c:v>
                </c:pt>
                <c:pt idx="60">
                  <c:v>104.08859355090497</c:v>
                </c:pt>
                <c:pt idx="61">
                  <c:v>120.61015823780208</c:v>
                </c:pt>
                <c:pt idx="62">
                  <c:v>120.61015823780208</c:v>
                </c:pt>
                <c:pt idx="63">
                  <c:v>120.61015823780208</c:v>
                </c:pt>
                <c:pt idx="64">
                  <c:v>120.61015823780208</c:v>
                </c:pt>
                <c:pt idx="65">
                  <c:v>120.61015823780208</c:v>
                </c:pt>
                <c:pt idx="66">
                  <c:v>120.61015823780208</c:v>
                </c:pt>
                <c:pt idx="67">
                  <c:v>120.61015823780208</c:v>
                </c:pt>
                <c:pt idx="68">
                  <c:v>120.61015823780208</c:v>
                </c:pt>
                <c:pt idx="69">
                  <c:v>120.61015823780208</c:v>
                </c:pt>
                <c:pt idx="70">
                  <c:v>120.61015823780208</c:v>
                </c:pt>
                <c:pt idx="71">
                  <c:v>120.61015823780208</c:v>
                </c:pt>
                <c:pt idx="72">
                  <c:v>120.61015823780208</c:v>
                </c:pt>
                <c:pt idx="73">
                  <c:v>120.61015823780208</c:v>
                </c:pt>
                <c:pt idx="74">
                  <c:v>120.61015823780208</c:v>
                </c:pt>
                <c:pt idx="75">
                  <c:v>120.61015823780208</c:v>
                </c:pt>
                <c:pt idx="76">
                  <c:v>120.61015823780208</c:v>
                </c:pt>
                <c:pt idx="77">
                  <c:v>120.61015823780208</c:v>
                </c:pt>
                <c:pt idx="78">
                  <c:v>120.61015823780208</c:v>
                </c:pt>
                <c:pt idx="79">
                  <c:v>120.61015823780208</c:v>
                </c:pt>
                <c:pt idx="80">
                  <c:v>120.61015823780208</c:v>
                </c:pt>
                <c:pt idx="81">
                  <c:v>120.61015823780208</c:v>
                </c:pt>
                <c:pt idx="82">
                  <c:v>120.61015823780208</c:v>
                </c:pt>
                <c:pt idx="83">
                  <c:v>120.61015823780208</c:v>
                </c:pt>
                <c:pt idx="84">
                  <c:v>120.61015823780208</c:v>
                </c:pt>
                <c:pt idx="85">
                  <c:v>120.61015823780208</c:v>
                </c:pt>
                <c:pt idx="86">
                  <c:v>120.61015823780208</c:v>
                </c:pt>
                <c:pt idx="87">
                  <c:v>120.61015823780208</c:v>
                </c:pt>
                <c:pt idx="88">
                  <c:v>120.61015823780208</c:v>
                </c:pt>
                <c:pt idx="89">
                  <c:v>120.61015823780208</c:v>
                </c:pt>
                <c:pt idx="90">
                  <c:v>120.61015823780208</c:v>
                </c:pt>
                <c:pt idx="91">
                  <c:v>120.61015823780208</c:v>
                </c:pt>
                <c:pt idx="92">
                  <c:v>123.04180331015149</c:v>
                </c:pt>
                <c:pt idx="93">
                  <c:v>123.04180331015149</c:v>
                </c:pt>
                <c:pt idx="94">
                  <c:v>123.04180331015149</c:v>
                </c:pt>
                <c:pt idx="95">
                  <c:v>123.04180331015149</c:v>
                </c:pt>
                <c:pt idx="96">
                  <c:v>123.04180331015149</c:v>
                </c:pt>
                <c:pt idx="97">
                  <c:v>123.04180331015149</c:v>
                </c:pt>
                <c:pt idx="98">
                  <c:v>123.04180331015149</c:v>
                </c:pt>
                <c:pt idx="99">
                  <c:v>123.04180331015149</c:v>
                </c:pt>
                <c:pt idx="100">
                  <c:v>123.04180331015149</c:v>
                </c:pt>
                <c:pt idx="101">
                  <c:v>123.04180331015149</c:v>
                </c:pt>
                <c:pt idx="102">
                  <c:v>123.04180331015149</c:v>
                </c:pt>
                <c:pt idx="103">
                  <c:v>123.04180331015149</c:v>
                </c:pt>
                <c:pt idx="104">
                  <c:v>123.04180331015149</c:v>
                </c:pt>
                <c:pt idx="105">
                  <c:v>123.04180331015149</c:v>
                </c:pt>
                <c:pt idx="106">
                  <c:v>123.04180331015149</c:v>
                </c:pt>
                <c:pt idx="107">
                  <c:v>123.04180331015149</c:v>
                </c:pt>
                <c:pt idx="108">
                  <c:v>123.04180331015149</c:v>
                </c:pt>
                <c:pt idx="109">
                  <c:v>123.04180331015149</c:v>
                </c:pt>
                <c:pt idx="110">
                  <c:v>123.04180331015149</c:v>
                </c:pt>
                <c:pt idx="111">
                  <c:v>123.04180331015149</c:v>
                </c:pt>
                <c:pt idx="112">
                  <c:v>123.04180331015149</c:v>
                </c:pt>
                <c:pt idx="113">
                  <c:v>123.04180331015149</c:v>
                </c:pt>
                <c:pt idx="114">
                  <c:v>123.04180331015149</c:v>
                </c:pt>
                <c:pt idx="115">
                  <c:v>123.04180331015149</c:v>
                </c:pt>
                <c:pt idx="116">
                  <c:v>123.04180331015149</c:v>
                </c:pt>
                <c:pt idx="117">
                  <c:v>123.04180331015149</c:v>
                </c:pt>
                <c:pt idx="118">
                  <c:v>123.04180331015149</c:v>
                </c:pt>
                <c:pt idx="119">
                  <c:v>123.04180331015149</c:v>
                </c:pt>
                <c:pt idx="120">
                  <c:v>123.04180331015149</c:v>
                </c:pt>
                <c:pt idx="121">
                  <c:v>132.5377482022528</c:v>
                </c:pt>
                <c:pt idx="122">
                  <c:v>132.5377482022528</c:v>
                </c:pt>
                <c:pt idx="123">
                  <c:v>132.5377482022528</c:v>
                </c:pt>
                <c:pt idx="124">
                  <c:v>132.5377482022528</c:v>
                </c:pt>
                <c:pt idx="125">
                  <c:v>132.5377482022528</c:v>
                </c:pt>
                <c:pt idx="126">
                  <c:v>132.5377482022528</c:v>
                </c:pt>
                <c:pt idx="127">
                  <c:v>132.5377482022528</c:v>
                </c:pt>
                <c:pt idx="128">
                  <c:v>132.5377482022528</c:v>
                </c:pt>
                <c:pt idx="129">
                  <c:v>132.5377482022528</c:v>
                </c:pt>
                <c:pt idx="130">
                  <c:v>132.5377482022528</c:v>
                </c:pt>
                <c:pt idx="131">
                  <c:v>132.5377482022528</c:v>
                </c:pt>
                <c:pt idx="132">
                  <c:v>132.5377482022528</c:v>
                </c:pt>
                <c:pt idx="133">
                  <c:v>132.5377482022528</c:v>
                </c:pt>
                <c:pt idx="134">
                  <c:v>132.5377482022528</c:v>
                </c:pt>
                <c:pt idx="135">
                  <c:v>132.5377482022528</c:v>
                </c:pt>
                <c:pt idx="136">
                  <c:v>132.5377482022528</c:v>
                </c:pt>
                <c:pt idx="137">
                  <c:v>132.5377482022528</c:v>
                </c:pt>
                <c:pt idx="138">
                  <c:v>132.5377482022528</c:v>
                </c:pt>
                <c:pt idx="139">
                  <c:v>132.5377482022528</c:v>
                </c:pt>
                <c:pt idx="140">
                  <c:v>132.5377482022528</c:v>
                </c:pt>
                <c:pt idx="141">
                  <c:v>132.5377482022528</c:v>
                </c:pt>
                <c:pt idx="142">
                  <c:v>132.5377482022528</c:v>
                </c:pt>
                <c:pt idx="143">
                  <c:v>132.5377482022528</c:v>
                </c:pt>
                <c:pt idx="144">
                  <c:v>132.5377482022528</c:v>
                </c:pt>
                <c:pt idx="145">
                  <c:v>132.5377482022528</c:v>
                </c:pt>
                <c:pt idx="146">
                  <c:v>132.5377482022528</c:v>
                </c:pt>
                <c:pt idx="147">
                  <c:v>132.5377482022528</c:v>
                </c:pt>
                <c:pt idx="148">
                  <c:v>132.5377482022528</c:v>
                </c:pt>
                <c:pt idx="149">
                  <c:v>132.5377482022528</c:v>
                </c:pt>
                <c:pt idx="150">
                  <c:v>132.5377482022528</c:v>
                </c:pt>
                <c:pt idx="151">
                  <c:v>132.5377482022528</c:v>
                </c:pt>
                <c:pt idx="152">
                  <c:v>129.30997561700028</c:v>
                </c:pt>
                <c:pt idx="153">
                  <c:v>129.30997561700028</c:v>
                </c:pt>
                <c:pt idx="154">
                  <c:v>129.30997561700028</c:v>
                </c:pt>
                <c:pt idx="155">
                  <c:v>129.30997561700028</c:v>
                </c:pt>
                <c:pt idx="156">
                  <c:v>129.30997561700028</c:v>
                </c:pt>
                <c:pt idx="157">
                  <c:v>129.30997561700028</c:v>
                </c:pt>
                <c:pt idx="158">
                  <c:v>129.30997561700028</c:v>
                </c:pt>
                <c:pt idx="159">
                  <c:v>129.30997561700028</c:v>
                </c:pt>
                <c:pt idx="160">
                  <c:v>129.30997561700028</c:v>
                </c:pt>
                <c:pt idx="161">
                  <c:v>129.30997561700028</c:v>
                </c:pt>
                <c:pt idx="162">
                  <c:v>129.30997561700028</c:v>
                </c:pt>
                <c:pt idx="163">
                  <c:v>129.30997561700028</c:v>
                </c:pt>
                <c:pt idx="164">
                  <c:v>129.30997561700028</c:v>
                </c:pt>
                <c:pt idx="165">
                  <c:v>129.30997561700028</c:v>
                </c:pt>
                <c:pt idx="166">
                  <c:v>129.30997561700028</c:v>
                </c:pt>
                <c:pt idx="167">
                  <c:v>129.30997561700028</c:v>
                </c:pt>
                <c:pt idx="168">
                  <c:v>129.30997561700028</c:v>
                </c:pt>
                <c:pt idx="169">
                  <c:v>129.30997561700028</c:v>
                </c:pt>
                <c:pt idx="170">
                  <c:v>129.30997561700028</c:v>
                </c:pt>
                <c:pt idx="171">
                  <c:v>129.30997561700028</c:v>
                </c:pt>
                <c:pt idx="172">
                  <c:v>129.30997561700028</c:v>
                </c:pt>
                <c:pt idx="173">
                  <c:v>129.30997561700028</c:v>
                </c:pt>
                <c:pt idx="174">
                  <c:v>129.30997561700028</c:v>
                </c:pt>
                <c:pt idx="175">
                  <c:v>129.30997561700028</c:v>
                </c:pt>
                <c:pt idx="176">
                  <c:v>129.30997561700028</c:v>
                </c:pt>
                <c:pt idx="177">
                  <c:v>129.30997561700028</c:v>
                </c:pt>
                <c:pt idx="178">
                  <c:v>129.30997561700028</c:v>
                </c:pt>
                <c:pt idx="179">
                  <c:v>129.30997561700028</c:v>
                </c:pt>
                <c:pt idx="180">
                  <c:v>129.30997561700028</c:v>
                </c:pt>
                <c:pt idx="181">
                  <c:v>129.30997561700028</c:v>
                </c:pt>
                <c:pt idx="182">
                  <c:v>104.0249711788601</c:v>
                </c:pt>
                <c:pt idx="183">
                  <c:v>104.0249711788601</c:v>
                </c:pt>
                <c:pt idx="184">
                  <c:v>104.0249711788601</c:v>
                </c:pt>
                <c:pt idx="185">
                  <c:v>104.0249711788601</c:v>
                </c:pt>
                <c:pt idx="186">
                  <c:v>104.0249711788601</c:v>
                </c:pt>
                <c:pt idx="187">
                  <c:v>104.0249711788601</c:v>
                </c:pt>
                <c:pt idx="188">
                  <c:v>104.0249711788601</c:v>
                </c:pt>
                <c:pt idx="189">
                  <c:v>104.0249711788601</c:v>
                </c:pt>
                <c:pt idx="190">
                  <c:v>104.0249711788601</c:v>
                </c:pt>
                <c:pt idx="191">
                  <c:v>104.0249711788601</c:v>
                </c:pt>
                <c:pt idx="192">
                  <c:v>104.0249711788601</c:v>
                </c:pt>
                <c:pt idx="193">
                  <c:v>104.0249711788601</c:v>
                </c:pt>
                <c:pt idx="194">
                  <c:v>104.0249711788601</c:v>
                </c:pt>
                <c:pt idx="195">
                  <c:v>104.0249711788601</c:v>
                </c:pt>
                <c:pt idx="196">
                  <c:v>104.0249711788601</c:v>
                </c:pt>
                <c:pt idx="197">
                  <c:v>104.0249711788601</c:v>
                </c:pt>
                <c:pt idx="198">
                  <c:v>104.0249711788601</c:v>
                </c:pt>
                <c:pt idx="199">
                  <c:v>104.0249711788601</c:v>
                </c:pt>
                <c:pt idx="200">
                  <c:v>104.0249711788601</c:v>
                </c:pt>
                <c:pt idx="201">
                  <c:v>104.0249711788601</c:v>
                </c:pt>
                <c:pt idx="202">
                  <c:v>104.0249711788601</c:v>
                </c:pt>
                <c:pt idx="203">
                  <c:v>104.0249711788601</c:v>
                </c:pt>
                <c:pt idx="204">
                  <c:v>104.0249711788601</c:v>
                </c:pt>
                <c:pt idx="205">
                  <c:v>104.0249711788601</c:v>
                </c:pt>
                <c:pt idx="206">
                  <c:v>104.0249711788601</c:v>
                </c:pt>
                <c:pt idx="207">
                  <c:v>104.0249711788601</c:v>
                </c:pt>
                <c:pt idx="208">
                  <c:v>104.0249711788601</c:v>
                </c:pt>
                <c:pt idx="209">
                  <c:v>104.0249711788601</c:v>
                </c:pt>
                <c:pt idx="210">
                  <c:v>104.0249711788601</c:v>
                </c:pt>
                <c:pt idx="211">
                  <c:v>104.0249711788601</c:v>
                </c:pt>
                <c:pt idx="212">
                  <c:v>104.0249711788601</c:v>
                </c:pt>
                <c:pt idx="213">
                  <c:v>64.512028542813908</c:v>
                </c:pt>
                <c:pt idx="214">
                  <c:v>64.512028542813908</c:v>
                </c:pt>
                <c:pt idx="215">
                  <c:v>64.512028542813908</c:v>
                </c:pt>
                <c:pt idx="216">
                  <c:v>64.512028542813908</c:v>
                </c:pt>
                <c:pt idx="217">
                  <c:v>64.512028542813908</c:v>
                </c:pt>
                <c:pt idx="218">
                  <c:v>64.512028542813908</c:v>
                </c:pt>
                <c:pt idx="219">
                  <c:v>64.512028542813908</c:v>
                </c:pt>
                <c:pt idx="220">
                  <c:v>64.512028542813908</c:v>
                </c:pt>
                <c:pt idx="221">
                  <c:v>64.512028542813908</c:v>
                </c:pt>
                <c:pt idx="222">
                  <c:v>64.512028542813908</c:v>
                </c:pt>
                <c:pt idx="223">
                  <c:v>64.512028542813908</c:v>
                </c:pt>
                <c:pt idx="224">
                  <c:v>64.512028542813908</c:v>
                </c:pt>
                <c:pt idx="225">
                  <c:v>64.512028542813908</c:v>
                </c:pt>
                <c:pt idx="226">
                  <c:v>64.512028542813908</c:v>
                </c:pt>
                <c:pt idx="227">
                  <c:v>64.512028542813908</c:v>
                </c:pt>
                <c:pt idx="228">
                  <c:v>64.512028542813908</c:v>
                </c:pt>
                <c:pt idx="229">
                  <c:v>64.512028542813908</c:v>
                </c:pt>
                <c:pt idx="230">
                  <c:v>64.512028542813908</c:v>
                </c:pt>
                <c:pt idx="231">
                  <c:v>64.512028542813908</c:v>
                </c:pt>
                <c:pt idx="232">
                  <c:v>64.512028542813908</c:v>
                </c:pt>
                <c:pt idx="233">
                  <c:v>64.512028542813908</c:v>
                </c:pt>
                <c:pt idx="234">
                  <c:v>64.512028542813908</c:v>
                </c:pt>
                <c:pt idx="235">
                  <c:v>64.512028542813908</c:v>
                </c:pt>
                <c:pt idx="236">
                  <c:v>64.512028542813908</c:v>
                </c:pt>
                <c:pt idx="237">
                  <c:v>64.512028542813908</c:v>
                </c:pt>
                <c:pt idx="238">
                  <c:v>64.512028542813908</c:v>
                </c:pt>
                <c:pt idx="239">
                  <c:v>64.512028542813908</c:v>
                </c:pt>
                <c:pt idx="240">
                  <c:v>64.512028542813908</c:v>
                </c:pt>
                <c:pt idx="241">
                  <c:v>64.512028542813908</c:v>
                </c:pt>
                <c:pt idx="242">
                  <c:v>64.512028542813908</c:v>
                </c:pt>
                <c:pt idx="243">
                  <c:v>28.410222830287367</c:v>
                </c:pt>
                <c:pt idx="244">
                  <c:v>28.410222830287367</c:v>
                </c:pt>
                <c:pt idx="245">
                  <c:v>28.410222830287367</c:v>
                </c:pt>
                <c:pt idx="246">
                  <c:v>28.410222830287367</c:v>
                </c:pt>
                <c:pt idx="247">
                  <c:v>28.410222830287367</c:v>
                </c:pt>
                <c:pt idx="248">
                  <c:v>28.410222830287367</c:v>
                </c:pt>
                <c:pt idx="249">
                  <c:v>28.410222830287367</c:v>
                </c:pt>
                <c:pt idx="250">
                  <c:v>28.410222830287367</c:v>
                </c:pt>
                <c:pt idx="251">
                  <c:v>28.410222830287367</c:v>
                </c:pt>
                <c:pt idx="252">
                  <c:v>28.410222830287367</c:v>
                </c:pt>
                <c:pt idx="253">
                  <c:v>28.410222830287367</c:v>
                </c:pt>
                <c:pt idx="254">
                  <c:v>28.410222830287367</c:v>
                </c:pt>
                <c:pt idx="255">
                  <c:v>28.410222830287367</c:v>
                </c:pt>
                <c:pt idx="256">
                  <c:v>28.410222830287367</c:v>
                </c:pt>
                <c:pt idx="257">
                  <c:v>28.410222830287367</c:v>
                </c:pt>
                <c:pt idx="258">
                  <c:v>28.410222830287367</c:v>
                </c:pt>
                <c:pt idx="259">
                  <c:v>28.410222830287367</c:v>
                </c:pt>
                <c:pt idx="260">
                  <c:v>28.410222830287367</c:v>
                </c:pt>
                <c:pt idx="261">
                  <c:v>28.410222830287367</c:v>
                </c:pt>
                <c:pt idx="262">
                  <c:v>28.410222830287367</c:v>
                </c:pt>
                <c:pt idx="263">
                  <c:v>28.410222830287367</c:v>
                </c:pt>
                <c:pt idx="264">
                  <c:v>28.410222830287367</c:v>
                </c:pt>
                <c:pt idx="265">
                  <c:v>28.410222830287367</c:v>
                </c:pt>
                <c:pt idx="266">
                  <c:v>28.410222830287367</c:v>
                </c:pt>
                <c:pt idx="267">
                  <c:v>28.410222830287367</c:v>
                </c:pt>
                <c:pt idx="268">
                  <c:v>28.410222830287367</c:v>
                </c:pt>
                <c:pt idx="269">
                  <c:v>28.410222830287367</c:v>
                </c:pt>
                <c:pt idx="270">
                  <c:v>28.410222830287367</c:v>
                </c:pt>
                <c:pt idx="271">
                  <c:v>28.410222830287367</c:v>
                </c:pt>
                <c:pt idx="272">
                  <c:v>28.410222830287367</c:v>
                </c:pt>
                <c:pt idx="273">
                  <c:v>28.410222830287367</c:v>
                </c:pt>
                <c:pt idx="274">
                  <c:v>17.313341416272394</c:v>
                </c:pt>
                <c:pt idx="275">
                  <c:v>17.313341416272394</c:v>
                </c:pt>
                <c:pt idx="276">
                  <c:v>17.313341416272394</c:v>
                </c:pt>
                <c:pt idx="277">
                  <c:v>17.313341416272394</c:v>
                </c:pt>
                <c:pt idx="278">
                  <c:v>17.313341416272394</c:v>
                </c:pt>
                <c:pt idx="279">
                  <c:v>17.313341416272394</c:v>
                </c:pt>
                <c:pt idx="280">
                  <c:v>17.313341416272394</c:v>
                </c:pt>
                <c:pt idx="281">
                  <c:v>17.313341416272394</c:v>
                </c:pt>
                <c:pt idx="282">
                  <c:v>17.313341416272394</c:v>
                </c:pt>
                <c:pt idx="283">
                  <c:v>17.313341416272394</c:v>
                </c:pt>
                <c:pt idx="284">
                  <c:v>17.313341416272394</c:v>
                </c:pt>
                <c:pt idx="285">
                  <c:v>17.313341416272394</c:v>
                </c:pt>
                <c:pt idx="286">
                  <c:v>17.313341416272394</c:v>
                </c:pt>
                <c:pt idx="287">
                  <c:v>17.313341416272394</c:v>
                </c:pt>
                <c:pt idx="288">
                  <c:v>17.313341416272394</c:v>
                </c:pt>
                <c:pt idx="289">
                  <c:v>17.313341416272394</c:v>
                </c:pt>
                <c:pt idx="290">
                  <c:v>17.313341416272394</c:v>
                </c:pt>
                <c:pt idx="291">
                  <c:v>17.313341416272394</c:v>
                </c:pt>
                <c:pt idx="292">
                  <c:v>17.313341416272394</c:v>
                </c:pt>
                <c:pt idx="293">
                  <c:v>17.313341416272394</c:v>
                </c:pt>
                <c:pt idx="294">
                  <c:v>17.313341416272394</c:v>
                </c:pt>
                <c:pt idx="295">
                  <c:v>17.313341416272394</c:v>
                </c:pt>
                <c:pt idx="296">
                  <c:v>17.313341416272394</c:v>
                </c:pt>
                <c:pt idx="297">
                  <c:v>17.313341416272394</c:v>
                </c:pt>
                <c:pt idx="298">
                  <c:v>17.313341416272394</c:v>
                </c:pt>
                <c:pt idx="299">
                  <c:v>17.313341416272394</c:v>
                </c:pt>
                <c:pt idx="300">
                  <c:v>17.313341416272394</c:v>
                </c:pt>
                <c:pt idx="301">
                  <c:v>17.313341416272394</c:v>
                </c:pt>
                <c:pt idx="302">
                  <c:v>17.313341416272394</c:v>
                </c:pt>
                <c:pt idx="303">
                  <c:v>17.313341416272394</c:v>
                </c:pt>
                <c:pt idx="304">
                  <c:v>17.313341416272394</c:v>
                </c:pt>
                <c:pt idx="305">
                  <c:v>20.95959048014743</c:v>
                </c:pt>
                <c:pt idx="306">
                  <c:v>20.95959048014743</c:v>
                </c:pt>
                <c:pt idx="307">
                  <c:v>20.95959048014743</c:v>
                </c:pt>
                <c:pt idx="308">
                  <c:v>20.95959048014743</c:v>
                </c:pt>
                <c:pt idx="309">
                  <c:v>20.95959048014743</c:v>
                </c:pt>
                <c:pt idx="310">
                  <c:v>20.95959048014743</c:v>
                </c:pt>
                <c:pt idx="311">
                  <c:v>20.95959048014743</c:v>
                </c:pt>
                <c:pt idx="312">
                  <c:v>20.95959048014743</c:v>
                </c:pt>
                <c:pt idx="313">
                  <c:v>20.95959048014743</c:v>
                </c:pt>
                <c:pt idx="314">
                  <c:v>20.95959048014743</c:v>
                </c:pt>
                <c:pt idx="315">
                  <c:v>20.95959048014743</c:v>
                </c:pt>
                <c:pt idx="316">
                  <c:v>20.95959048014743</c:v>
                </c:pt>
                <c:pt idx="317">
                  <c:v>20.95959048014743</c:v>
                </c:pt>
                <c:pt idx="318">
                  <c:v>20.95959048014743</c:v>
                </c:pt>
                <c:pt idx="319">
                  <c:v>20.95959048014743</c:v>
                </c:pt>
                <c:pt idx="320">
                  <c:v>20.95959048014743</c:v>
                </c:pt>
                <c:pt idx="321">
                  <c:v>20.95959048014743</c:v>
                </c:pt>
                <c:pt idx="322">
                  <c:v>20.95959048014743</c:v>
                </c:pt>
                <c:pt idx="323">
                  <c:v>20.95959048014743</c:v>
                </c:pt>
                <c:pt idx="324">
                  <c:v>20.95959048014743</c:v>
                </c:pt>
                <c:pt idx="325">
                  <c:v>20.95959048014743</c:v>
                </c:pt>
                <c:pt idx="326">
                  <c:v>20.95959048014743</c:v>
                </c:pt>
                <c:pt idx="327">
                  <c:v>20.95959048014743</c:v>
                </c:pt>
                <c:pt idx="328">
                  <c:v>20.95959048014743</c:v>
                </c:pt>
                <c:pt idx="329">
                  <c:v>20.95959048014743</c:v>
                </c:pt>
                <c:pt idx="330">
                  <c:v>20.95959048014743</c:v>
                </c:pt>
                <c:pt idx="331">
                  <c:v>20.95959048014743</c:v>
                </c:pt>
                <c:pt idx="332">
                  <c:v>20.95959048014743</c:v>
                </c:pt>
                <c:pt idx="333">
                  <c:v>20.95959048014743</c:v>
                </c:pt>
                <c:pt idx="334">
                  <c:v>20.95959048014743</c:v>
                </c:pt>
                <c:pt idx="335">
                  <c:v>41.360965957335978</c:v>
                </c:pt>
                <c:pt idx="336">
                  <c:v>41.360965957335978</c:v>
                </c:pt>
                <c:pt idx="337">
                  <c:v>41.360965957335978</c:v>
                </c:pt>
                <c:pt idx="338">
                  <c:v>41.360965957335978</c:v>
                </c:pt>
                <c:pt idx="339">
                  <c:v>41.360965957335978</c:v>
                </c:pt>
                <c:pt idx="340">
                  <c:v>41.360965957335978</c:v>
                </c:pt>
                <c:pt idx="341">
                  <c:v>41.360965957335978</c:v>
                </c:pt>
                <c:pt idx="342">
                  <c:v>41.360965957335978</c:v>
                </c:pt>
                <c:pt idx="343">
                  <c:v>41.360965957335978</c:v>
                </c:pt>
                <c:pt idx="344">
                  <c:v>41.360965957335978</c:v>
                </c:pt>
                <c:pt idx="345">
                  <c:v>41.360965957335978</c:v>
                </c:pt>
                <c:pt idx="346">
                  <c:v>41.360965957335978</c:v>
                </c:pt>
                <c:pt idx="347">
                  <c:v>41.360965957335978</c:v>
                </c:pt>
                <c:pt idx="348">
                  <c:v>41.360965957335978</c:v>
                </c:pt>
                <c:pt idx="349">
                  <c:v>41.360965957335978</c:v>
                </c:pt>
                <c:pt idx="350">
                  <c:v>41.360965957335978</c:v>
                </c:pt>
                <c:pt idx="351">
                  <c:v>41.360965957335978</c:v>
                </c:pt>
                <c:pt idx="352">
                  <c:v>41.360965957335978</c:v>
                </c:pt>
                <c:pt idx="353">
                  <c:v>41.360965957335978</c:v>
                </c:pt>
                <c:pt idx="354">
                  <c:v>41.360965957335978</c:v>
                </c:pt>
                <c:pt idx="355">
                  <c:v>41.360965957335978</c:v>
                </c:pt>
                <c:pt idx="356">
                  <c:v>41.360965957335978</c:v>
                </c:pt>
                <c:pt idx="357">
                  <c:v>41.360965957335978</c:v>
                </c:pt>
                <c:pt idx="358">
                  <c:v>41.360965957335978</c:v>
                </c:pt>
                <c:pt idx="359">
                  <c:v>41.360965957335978</c:v>
                </c:pt>
                <c:pt idx="360">
                  <c:v>41.360965957335978</c:v>
                </c:pt>
                <c:pt idx="361">
                  <c:v>41.360965957335978</c:v>
                </c:pt>
                <c:pt idx="362">
                  <c:v>41.360965957335978</c:v>
                </c:pt>
                <c:pt idx="363">
                  <c:v>41.360965957335978</c:v>
                </c:pt>
                <c:pt idx="364">
                  <c:v>41.360965957335978</c:v>
                </c:pt>
                <c:pt idx="365">
                  <c:v>41.360965957335978</c:v>
                </c:pt>
                <c:pt idx="366">
                  <c:v>85.678144231829236</c:v>
                </c:pt>
                <c:pt idx="367">
                  <c:v>85.678144231829236</c:v>
                </c:pt>
                <c:pt idx="368">
                  <c:v>85.678144231829236</c:v>
                </c:pt>
                <c:pt idx="369">
                  <c:v>85.678144231829236</c:v>
                </c:pt>
                <c:pt idx="370">
                  <c:v>85.678144231829236</c:v>
                </c:pt>
                <c:pt idx="371">
                  <c:v>85.678144231829236</c:v>
                </c:pt>
                <c:pt idx="372">
                  <c:v>85.678144231829236</c:v>
                </c:pt>
                <c:pt idx="373">
                  <c:v>85.678144231829236</c:v>
                </c:pt>
                <c:pt idx="374">
                  <c:v>85.678144231829236</c:v>
                </c:pt>
                <c:pt idx="375">
                  <c:v>85.678144231829236</c:v>
                </c:pt>
                <c:pt idx="376">
                  <c:v>85.678144231829236</c:v>
                </c:pt>
                <c:pt idx="377">
                  <c:v>85.678144231829236</c:v>
                </c:pt>
                <c:pt idx="378">
                  <c:v>85.678144231829236</c:v>
                </c:pt>
                <c:pt idx="379">
                  <c:v>85.678144231829236</c:v>
                </c:pt>
                <c:pt idx="380">
                  <c:v>85.678144231829236</c:v>
                </c:pt>
                <c:pt idx="381">
                  <c:v>85.678144231829236</c:v>
                </c:pt>
                <c:pt idx="382">
                  <c:v>85.678144231829236</c:v>
                </c:pt>
                <c:pt idx="383">
                  <c:v>85.678144231829236</c:v>
                </c:pt>
                <c:pt idx="384">
                  <c:v>85.678144231829236</c:v>
                </c:pt>
                <c:pt idx="385">
                  <c:v>85.678144231829236</c:v>
                </c:pt>
                <c:pt idx="386">
                  <c:v>85.678144231829236</c:v>
                </c:pt>
                <c:pt idx="387">
                  <c:v>85.678144231829236</c:v>
                </c:pt>
                <c:pt idx="388">
                  <c:v>85.678144231829236</c:v>
                </c:pt>
                <c:pt idx="389">
                  <c:v>85.678144231829236</c:v>
                </c:pt>
                <c:pt idx="390">
                  <c:v>85.678144231829236</c:v>
                </c:pt>
                <c:pt idx="391">
                  <c:v>85.678144231829236</c:v>
                </c:pt>
                <c:pt idx="392">
                  <c:v>85.678144231829236</c:v>
                </c:pt>
                <c:pt idx="393">
                  <c:v>85.678144231829236</c:v>
                </c:pt>
                <c:pt idx="394">
                  <c:v>85.678144231829236</c:v>
                </c:pt>
                <c:pt idx="395">
                  <c:v>85.678144231829236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A-4CF7-8075-2D23B26E89FB}"/>
            </c:ext>
          </c:extLst>
        </c:ser>
        <c:ser>
          <c:idx val="1"/>
          <c:order val="2"/>
          <c:spPr>
            <a:solidFill>
              <a:srgbClr val="F5F5F5"/>
            </a:solidFill>
            <a:ln w="25400">
              <a:noFill/>
            </a:ln>
          </c:spPr>
          <c:dLbls>
            <c:delete val="1"/>
          </c:dLbls>
          <c:cat>
            <c:strRef>
              <c:f>Dat_02!$F$3:$F$399</c:f>
              <c:strCache>
                <c:ptCount val="381"/>
                <c:pt idx="14">
                  <c:v>N</c:v>
                </c:pt>
                <c:pt idx="44">
                  <c:v>D</c:v>
                </c:pt>
                <c:pt idx="75">
                  <c:v>E</c:v>
                </c:pt>
                <c:pt idx="106">
                  <c:v>F</c:v>
                </c:pt>
                <c:pt idx="135">
                  <c:v>M</c:v>
                </c:pt>
                <c:pt idx="166">
                  <c:v>A</c:v>
                </c:pt>
                <c:pt idx="196">
                  <c:v>M</c:v>
                </c:pt>
                <c:pt idx="227">
                  <c:v>J</c:v>
                </c:pt>
                <c:pt idx="257">
                  <c:v>J</c:v>
                </c:pt>
                <c:pt idx="288">
                  <c:v>A</c:v>
                </c:pt>
                <c:pt idx="319">
                  <c:v>S</c:v>
                </c:pt>
                <c:pt idx="349">
                  <c:v>O</c:v>
                </c:pt>
                <c:pt idx="380">
                  <c:v>N</c:v>
                </c:pt>
              </c:strCache>
            </c:strRef>
          </c:cat>
          <c:val>
            <c:numRef>
              <c:f>Dat_02!$E$3:$E$398</c:f>
              <c:numCache>
                <c:formatCode>#,##0.0</c:formatCode>
                <c:ptCount val="396"/>
                <c:pt idx="0">
                  <c:v>32.750995321750644</c:v>
                </c:pt>
                <c:pt idx="1">
                  <c:v>33.413095321749708</c:v>
                </c:pt>
                <c:pt idx="2">
                  <c:v>39.359695321751566</c:v>
                </c:pt>
                <c:pt idx="3">
                  <c:v>49.605095321750639</c:v>
                </c:pt>
                <c:pt idx="4">
                  <c:v>55.317295321749711</c:v>
                </c:pt>
                <c:pt idx="5">
                  <c:v>83.137557492553753</c:v>
                </c:pt>
                <c:pt idx="6">
                  <c:v>83.137557492553753</c:v>
                </c:pt>
                <c:pt idx="7">
                  <c:v>83.137557492553753</c:v>
                </c:pt>
                <c:pt idx="8">
                  <c:v>83.137557492553753</c:v>
                </c:pt>
                <c:pt idx="9">
                  <c:v>83.137557492553753</c:v>
                </c:pt>
                <c:pt idx="10">
                  <c:v>83.137557492553753</c:v>
                </c:pt>
                <c:pt idx="11">
                  <c:v>83.137557492553753</c:v>
                </c:pt>
                <c:pt idx="12">
                  <c:v>83.137557492553753</c:v>
                </c:pt>
                <c:pt idx="13">
                  <c:v>83.137557492553753</c:v>
                </c:pt>
                <c:pt idx="14">
                  <c:v>83.137557492553753</c:v>
                </c:pt>
                <c:pt idx="15">
                  <c:v>83.137557492553753</c:v>
                </c:pt>
                <c:pt idx="16">
                  <c:v>83.137557492553753</c:v>
                </c:pt>
                <c:pt idx="17">
                  <c:v>83.137557492553753</c:v>
                </c:pt>
                <c:pt idx="18">
                  <c:v>83.137557492553753</c:v>
                </c:pt>
                <c:pt idx="19">
                  <c:v>83.137557492553753</c:v>
                </c:pt>
                <c:pt idx="20">
                  <c:v>83.137557492553753</c:v>
                </c:pt>
                <c:pt idx="21">
                  <c:v>83.137557492553753</c:v>
                </c:pt>
                <c:pt idx="22">
                  <c:v>83.137557492553753</c:v>
                </c:pt>
                <c:pt idx="23">
                  <c:v>83.137557492553753</c:v>
                </c:pt>
                <c:pt idx="24">
                  <c:v>83.137557492553753</c:v>
                </c:pt>
                <c:pt idx="25">
                  <c:v>83.137557492553753</c:v>
                </c:pt>
                <c:pt idx="26">
                  <c:v>83.137557492553753</c:v>
                </c:pt>
                <c:pt idx="27">
                  <c:v>83.137557492553753</c:v>
                </c:pt>
                <c:pt idx="28">
                  <c:v>83.137557492553753</c:v>
                </c:pt>
                <c:pt idx="29">
                  <c:v>83.137557492553753</c:v>
                </c:pt>
                <c:pt idx="30">
                  <c:v>104.08859355090497</c:v>
                </c:pt>
                <c:pt idx="31">
                  <c:v>104.08859355090497</c:v>
                </c:pt>
                <c:pt idx="32">
                  <c:v>104.08859355090497</c:v>
                </c:pt>
                <c:pt idx="33">
                  <c:v>104.08859355090497</c:v>
                </c:pt>
                <c:pt idx="34">
                  <c:v>104.08859355090497</c:v>
                </c:pt>
                <c:pt idx="35">
                  <c:v>104.08859355090497</c:v>
                </c:pt>
                <c:pt idx="36">
                  <c:v>104.08859355090497</c:v>
                </c:pt>
                <c:pt idx="37">
                  <c:v>104.08859355090497</c:v>
                </c:pt>
                <c:pt idx="38">
                  <c:v>104.08859355090497</c:v>
                </c:pt>
                <c:pt idx="39">
                  <c:v>104.08859355090497</c:v>
                </c:pt>
                <c:pt idx="40">
                  <c:v>104.08859355090497</c:v>
                </c:pt>
                <c:pt idx="41">
                  <c:v>104.08859355090497</c:v>
                </c:pt>
                <c:pt idx="42">
                  <c:v>104.08859355090497</c:v>
                </c:pt>
                <c:pt idx="43">
                  <c:v>104.08859355090497</c:v>
                </c:pt>
                <c:pt idx="44">
                  <c:v>104.08859355090497</c:v>
                </c:pt>
                <c:pt idx="45">
                  <c:v>104.08859355090497</c:v>
                </c:pt>
                <c:pt idx="46">
                  <c:v>104.08859355090497</c:v>
                </c:pt>
                <c:pt idx="47">
                  <c:v>104.08859355090497</c:v>
                </c:pt>
                <c:pt idx="48">
                  <c:v>104.08859355090497</c:v>
                </c:pt>
                <c:pt idx="49">
                  <c:v>104.08859355090497</c:v>
                </c:pt>
                <c:pt idx="50">
                  <c:v>104.08859355090497</c:v>
                </c:pt>
                <c:pt idx="51">
                  <c:v>104.08859355090497</c:v>
                </c:pt>
                <c:pt idx="52">
                  <c:v>104.08859355090497</c:v>
                </c:pt>
                <c:pt idx="53">
                  <c:v>104.08859355090497</c:v>
                </c:pt>
                <c:pt idx="54">
                  <c:v>104.08859355090497</c:v>
                </c:pt>
                <c:pt idx="55">
                  <c:v>104.08859355090497</c:v>
                </c:pt>
                <c:pt idx="56">
                  <c:v>104.08859355090497</c:v>
                </c:pt>
                <c:pt idx="57">
                  <c:v>104.08859355090497</c:v>
                </c:pt>
                <c:pt idx="58">
                  <c:v>104.08859355090497</c:v>
                </c:pt>
                <c:pt idx="59">
                  <c:v>104.08859355090497</c:v>
                </c:pt>
                <c:pt idx="60">
                  <c:v>104.08859355090497</c:v>
                </c:pt>
                <c:pt idx="61">
                  <c:v>120.61015823780208</c:v>
                </c:pt>
                <c:pt idx="62">
                  <c:v>120.61015823780208</c:v>
                </c:pt>
                <c:pt idx="63">
                  <c:v>120.61015823780208</c:v>
                </c:pt>
                <c:pt idx="64">
                  <c:v>120.61015823780208</c:v>
                </c:pt>
                <c:pt idx="65">
                  <c:v>120.61015823780208</c:v>
                </c:pt>
                <c:pt idx="66">
                  <c:v>120.61015823780208</c:v>
                </c:pt>
                <c:pt idx="67">
                  <c:v>120.61015823780208</c:v>
                </c:pt>
                <c:pt idx="68">
                  <c:v>120.61015823780208</c:v>
                </c:pt>
                <c:pt idx="69">
                  <c:v>120.61015823780208</c:v>
                </c:pt>
                <c:pt idx="70">
                  <c:v>120.61015823780208</c:v>
                </c:pt>
                <c:pt idx="71">
                  <c:v>120.61015823780208</c:v>
                </c:pt>
                <c:pt idx="72">
                  <c:v>120.61015823780208</c:v>
                </c:pt>
                <c:pt idx="73">
                  <c:v>120.61015823780208</c:v>
                </c:pt>
                <c:pt idx="74">
                  <c:v>120.61015823780208</c:v>
                </c:pt>
                <c:pt idx="75">
                  <c:v>109.49860715492852</c:v>
                </c:pt>
                <c:pt idx="76">
                  <c:v>102.81940715493037</c:v>
                </c:pt>
                <c:pt idx="77">
                  <c:v>95.576007154928519</c:v>
                </c:pt>
                <c:pt idx="78">
                  <c:v>78.538607154930389</c:v>
                </c:pt>
                <c:pt idx="79">
                  <c:v>81.264607154928527</c:v>
                </c:pt>
                <c:pt idx="80">
                  <c:v>107.20760715493039</c:v>
                </c:pt>
                <c:pt idx="81">
                  <c:v>109.99690715492851</c:v>
                </c:pt>
                <c:pt idx="82">
                  <c:v>120.61015823780208</c:v>
                </c:pt>
                <c:pt idx="83">
                  <c:v>120.61015823780208</c:v>
                </c:pt>
                <c:pt idx="84">
                  <c:v>120.61015823780208</c:v>
                </c:pt>
                <c:pt idx="85">
                  <c:v>120.61015823780208</c:v>
                </c:pt>
                <c:pt idx="86">
                  <c:v>113.01793092885576</c:v>
                </c:pt>
                <c:pt idx="87">
                  <c:v>106.38223092885762</c:v>
                </c:pt>
                <c:pt idx="88">
                  <c:v>117.30713092885577</c:v>
                </c:pt>
                <c:pt idx="89">
                  <c:v>120.61015823780208</c:v>
                </c:pt>
                <c:pt idx="90">
                  <c:v>120.61015823780208</c:v>
                </c:pt>
                <c:pt idx="91">
                  <c:v>120.61015823780208</c:v>
                </c:pt>
                <c:pt idx="92">
                  <c:v>123.04180331015149</c:v>
                </c:pt>
                <c:pt idx="93">
                  <c:v>123.04180331015149</c:v>
                </c:pt>
                <c:pt idx="94">
                  <c:v>123.04180331015149</c:v>
                </c:pt>
                <c:pt idx="95">
                  <c:v>123.04180331015149</c:v>
                </c:pt>
                <c:pt idx="96">
                  <c:v>101.07637480868175</c:v>
                </c:pt>
                <c:pt idx="97">
                  <c:v>119.89337480868176</c:v>
                </c:pt>
                <c:pt idx="98">
                  <c:v>123.04180331015149</c:v>
                </c:pt>
                <c:pt idx="99">
                  <c:v>111.28487480868175</c:v>
                </c:pt>
                <c:pt idx="100">
                  <c:v>81.630574808679896</c:v>
                </c:pt>
                <c:pt idx="101">
                  <c:v>93.520274808683624</c:v>
                </c:pt>
                <c:pt idx="102">
                  <c:v>120.85797480868362</c:v>
                </c:pt>
                <c:pt idx="103">
                  <c:v>123.04180331015149</c:v>
                </c:pt>
                <c:pt idx="104">
                  <c:v>96.8228284695182</c:v>
                </c:pt>
                <c:pt idx="105">
                  <c:v>123.04180331015149</c:v>
                </c:pt>
                <c:pt idx="106">
                  <c:v>77.748528469514483</c:v>
                </c:pt>
                <c:pt idx="107">
                  <c:v>60.013928469521922</c:v>
                </c:pt>
                <c:pt idx="108">
                  <c:v>83.613828469518197</c:v>
                </c:pt>
                <c:pt idx="109">
                  <c:v>108.04012846952006</c:v>
                </c:pt>
                <c:pt idx="110">
                  <c:v>106.5020102428887</c:v>
                </c:pt>
                <c:pt idx="111">
                  <c:v>108.2354102428887</c:v>
                </c:pt>
                <c:pt idx="112">
                  <c:v>96.361410242890557</c:v>
                </c:pt>
                <c:pt idx="113">
                  <c:v>87.22831024288871</c:v>
                </c:pt>
                <c:pt idx="114">
                  <c:v>70.260710242890568</c:v>
                </c:pt>
                <c:pt idx="115">
                  <c:v>100.42171024288871</c:v>
                </c:pt>
                <c:pt idx="116">
                  <c:v>64.319710242890565</c:v>
                </c:pt>
                <c:pt idx="117">
                  <c:v>73.959059217030187</c:v>
                </c:pt>
                <c:pt idx="118">
                  <c:v>62.859059217033909</c:v>
                </c:pt>
                <c:pt idx="119">
                  <c:v>77.919359217033914</c:v>
                </c:pt>
                <c:pt idx="120">
                  <c:v>37.53485921703205</c:v>
                </c:pt>
                <c:pt idx="121">
                  <c:v>43.078659217033909</c:v>
                </c:pt>
                <c:pt idx="122">
                  <c:v>76.267359217032052</c:v>
                </c:pt>
                <c:pt idx="123">
                  <c:v>77.871559217033905</c:v>
                </c:pt>
                <c:pt idx="124">
                  <c:v>132.5377482022528</c:v>
                </c:pt>
                <c:pt idx="125">
                  <c:v>132.5377482022528</c:v>
                </c:pt>
                <c:pt idx="126">
                  <c:v>132.5377482022528</c:v>
                </c:pt>
                <c:pt idx="127">
                  <c:v>132.5377482022528</c:v>
                </c:pt>
                <c:pt idx="128">
                  <c:v>132.5377482022528</c:v>
                </c:pt>
                <c:pt idx="129">
                  <c:v>132.5377482022528</c:v>
                </c:pt>
                <c:pt idx="130">
                  <c:v>132.5377482022528</c:v>
                </c:pt>
                <c:pt idx="131">
                  <c:v>132.5377482022528</c:v>
                </c:pt>
                <c:pt idx="132">
                  <c:v>132.5377482022528</c:v>
                </c:pt>
                <c:pt idx="133">
                  <c:v>118.60192045660988</c:v>
                </c:pt>
                <c:pt idx="134">
                  <c:v>117.30392045660801</c:v>
                </c:pt>
                <c:pt idx="135">
                  <c:v>86.369520456609862</c:v>
                </c:pt>
                <c:pt idx="136">
                  <c:v>108.84542045660987</c:v>
                </c:pt>
                <c:pt idx="137">
                  <c:v>108.86742045660802</c:v>
                </c:pt>
                <c:pt idx="138">
                  <c:v>132.5377482022528</c:v>
                </c:pt>
                <c:pt idx="139">
                  <c:v>132.5377482022528</c:v>
                </c:pt>
                <c:pt idx="140">
                  <c:v>132.5377482022528</c:v>
                </c:pt>
                <c:pt idx="141">
                  <c:v>132.5377482022528</c:v>
                </c:pt>
                <c:pt idx="142">
                  <c:v>132.5377482022528</c:v>
                </c:pt>
                <c:pt idx="143">
                  <c:v>132.5377482022528</c:v>
                </c:pt>
                <c:pt idx="144">
                  <c:v>132.5377482022528</c:v>
                </c:pt>
                <c:pt idx="145">
                  <c:v>113.15580534969642</c:v>
                </c:pt>
                <c:pt idx="146">
                  <c:v>71.520605349694563</c:v>
                </c:pt>
                <c:pt idx="147">
                  <c:v>92.584205349694557</c:v>
                </c:pt>
                <c:pt idx="148">
                  <c:v>92.001505349692692</c:v>
                </c:pt>
                <c:pt idx="149">
                  <c:v>39.350705349696426</c:v>
                </c:pt>
                <c:pt idx="150">
                  <c:v>46.330505349694562</c:v>
                </c:pt>
                <c:pt idx="151">
                  <c:v>51.606705349692703</c:v>
                </c:pt>
                <c:pt idx="152">
                  <c:v>129.30997561700028</c:v>
                </c:pt>
                <c:pt idx="153">
                  <c:v>122.02307783593349</c:v>
                </c:pt>
                <c:pt idx="154">
                  <c:v>126.27587783593164</c:v>
                </c:pt>
                <c:pt idx="155">
                  <c:v>94.506777835935353</c:v>
                </c:pt>
                <c:pt idx="156">
                  <c:v>96.542077835933497</c:v>
                </c:pt>
                <c:pt idx="157">
                  <c:v>126.34327783593535</c:v>
                </c:pt>
                <c:pt idx="158">
                  <c:v>128.90007783592978</c:v>
                </c:pt>
                <c:pt idx="159">
                  <c:v>113.33062023510224</c:v>
                </c:pt>
                <c:pt idx="160">
                  <c:v>102.35942023509853</c:v>
                </c:pt>
                <c:pt idx="161">
                  <c:v>100.01672023510039</c:v>
                </c:pt>
                <c:pt idx="162">
                  <c:v>104.57982023510039</c:v>
                </c:pt>
                <c:pt idx="163">
                  <c:v>94.163720235100399</c:v>
                </c:pt>
                <c:pt idx="164">
                  <c:v>102.59432023509852</c:v>
                </c:pt>
                <c:pt idx="165">
                  <c:v>114.42222023509854</c:v>
                </c:pt>
                <c:pt idx="166">
                  <c:v>129.30997561700028</c:v>
                </c:pt>
                <c:pt idx="167">
                  <c:v>129.30997561700028</c:v>
                </c:pt>
                <c:pt idx="168">
                  <c:v>129.30997561700028</c:v>
                </c:pt>
                <c:pt idx="169">
                  <c:v>129.30997561700028</c:v>
                </c:pt>
                <c:pt idx="170">
                  <c:v>129.30997561700028</c:v>
                </c:pt>
                <c:pt idx="171">
                  <c:v>129.30997561700028</c:v>
                </c:pt>
                <c:pt idx="172">
                  <c:v>129.30997561700028</c:v>
                </c:pt>
                <c:pt idx="173">
                  <c:v>129.30997561700028</c:v>
                </c:pt>
                <c:pt idx="174">
                  <c:v>129.30997561700028</c:v>
                </c:pt>
                <c:pt idx="175">
                  <c:v>129.30997561700028</c:v>
                </c:pt>
                <c:pt idx="176">
                  <c:v>129.30997561700028</c:v>
                </c:pt>
                <c:pt idx="177">
                  <c:v>129.30997561700028</c:v>
                </c:pt>
                <c:pt idx="178">
                  <c:v>129.30997561700028</c:v>
                </c:pt>
                <c:pt idx="179">
                  <c:v>129.30997561700028</c:v>
                </c:pt>
                <c:pt idx="180">
                  <c:v>129.30997561700028</c:v>
                </c:pt>
                <c:pt idx="181">
                  <c:v>129.30997561700028</c:v>
                </c:pt>
                <c:pt idx="182">
                  <c:v>104.0249711788601</c:v>
                </c:pt>
                <c:pt idx="183">
                  <c:v>104.0249711788601</c:v>
                </c:pt>
                <c:pt idx="184">
                  <c:v>104.0249711788601</c:v>
                </c:pt>
                <c:pt idx="185">
                  <c:v>104.0249711788601</c:v>
                </c:pt>
                <c:pt idx="186">
                  <c:v>104.0249711788601</c:v>
                </c:pt>
                <c:pt idx="187">
                  <c:v>104.0249711788601</c:v>
                </c:pt>
                <c:pt idx="188">
                  <c:v>104.0249711788601</c:v>
                </c:pt>
                <c:pt idx="189">
                  <c:v>104.0249711788601</c:v>
                </c:pt>
                <c:pt idx="190">
                  <c:v>99.332860142533121</c:v>
                </c:pt>
                <c:pt idx="191">
                  <c:v>88.647960142533108</c:v>
                </c:pt>
                <c:pt idx="192">
                  <c:v>98.173560142531244</c:v>
                </c:pt>
                <c:pt idx="193">
                  <c:v>104.0249711788601</c:v>
                </c:pt>
                <c:pt idx="194">
                  <c:v>104.0249711788601</c:v>
                </c:pt>
                <c:pt idx="195">
                  <c:v>104.0249711788601</c:v>
                </c:pt>
                <c:pt idx="196">
                  <c:v>104.0249711788601</c:v>
                </c:pt>
                <c:pt idx="197">
                  <c:v>104.0249711788601</c:v>
                </c:pt>
                <c:pt idx="198">
                  <c:v>98.103592155951262</c:v>
                </c:pt>
                <c:pt idx="199">
                  <c:v>104.0249711788601</c:v>
                </c:pt>
                <c:pt idx="200">
                  <c:v>96.202492155954985</c:v>
                </c:pt>
                <c:pt idx="201">
                  <c:v>88.739219824280596</c:v>
                </c:pt>
                <c:pt idx="202">
                  <c:v>99.634619824282453</c:v>
                </c:pt>
                <c:pt idx="203">
                  <c:v>104.0249711788601</c:v>
                </c:pt>
                <c:pt idx="204">
                  <c:v>75.814719824276864</c:v>
                </c:pt>
                <c:pt idx="205">
                  <c:v>73.434619824284312</c:v>
                </c:pt>
                <c:pt idx="206">
                  <c:v>79.599919824282452</c:v>
                </c:pt>
                <c:pt idx="207">
                  <c:v>71.389319824278729</c:v>
                </c:pt>
                <c:pt idx="208">
                  <c:v>56.780297967005524</c:v>
                </c:pt>
                <c:pt idx="209">
                  <c:v>68.078397967005529</c:v>
                </c:pt>
                <c:pt idx="210">
                  <c:v>87.433897967001798</c:v>
                </c:pt>
                <c:pt idx="211">
                  <c:v>65.949397967003662</c:v>
                </c:pt>
                <c:pt idx="212">
                  <c:v>59.973997967001793</c:v>
                </c:pt>
                <c:pt idx="213">
                  <c:v>64.512028542813908</c:v>
                </c:pt>
                <c:pt idx="214">
                  <c:v>64.512028542813908</c:v>
                </c:pt>
                <c:pt idx="215">
                  <c:v>61.905344371254742</c:v>
                </c:pt>
                <c:pt idx="216">
                  <c:v>55.473644371258473</c:v>
                </c:pt>
                <c:pt idx="217">
                  <c:v>55.85604437125847</c:v>
                </c:pt>
                <c:pt idx="218">
                  <c:v>38.13264437125661</c:v>
                </c:pt>
                <c:pt idx="219">
                  <c:v>32.878044371254745</c:v>
                </c:pt>
                <c:pt idx="220">
                  <c:v>34.727844371256609</c:v>
                </c:pt>
                <c:pt idx="221">
                  <c:v>44.663944371258459</c:v>
                </c:pt>
                <c:pt idx="222">
                  <c:v>64.512028542813908</c:v>
                </c:pt>
                <c:pt idx="223">
                  <c:v>55.397262023908645</c:v>
                </c:pt>
                <c:pt idx="224">
                  <c:v>61.927462023908653</c:v>
                </c:pt>
                <c:pt idx="225">
                  <c:v>56.816062023908643</c:v>
                </c:pt>
                <c:pt idx="226">
                  <c:v>53.090462023908643</c:v>
                </c:pt>
                <c:pt idx="227">
                  <c:v>64.512028542813908</c:v>
                </c:pt>
                <c:pt idx="228">
                  <c:v>64.512028542813908</c:v>
                </c:pt>
                <c:pt idx="229">
                  <c:v>57.908673730405049</c:v>
                </c:pt>
                <c:pt idx="230">
                  <c:v>51.14037373041063</c:v>
                </c:pt>
                <c:pt idx="231">
                  <c:v>48.942373730403183</c:v>
                </c:pt>
                <c:pt idx="232">
                  <c:v>32.105273730408769</c:v>
                </c:pt>
                <c:pt idx="233">
                  <c:v>26.652473730408776</c:v>
                </c:pt>
                <c:pt idx="234">
                  <c:v>45.374773730406915</c:v>
                </c:pt>
                <c:pt idx="235">
                  <c:v>63.074573730406904</c:v>
                </c:pt>
                <c:pt idx="236">
                  <c:v>38.710998386582361</c:v>
                </c:pt>
                <c:pt idx="237">
                  <c:v>49.306998386587949</c:v>
                </c:pt>
                <c:pt idx="238">
                  <c:v>49.329998386584222</c:v>
                </c:pt>
                <c:pt idx="239">
                  <c:v>34.305298386582365</c:v>
                </c:pt>
                <c:pt idx="240">
                  <c:v>30.354798386584225</c:v>
                </c:pt>
                <c:pt idx="241">
                  <c:v>45.563998386586086</c:v>
                </c:pt>
                <c:pt idx="242">
                  <c:v>58.461398386580491</c:v>
                </c:pt>
                <c:pt idx="243">
                  <c:v>28.410222830287367</c:v>
                </c:pt>
                <c:pt idx="244">
                  <c:v>28.410222830287367</c:v>
                </c:pt>
                <c:pt idx="245">
                  <c:v>14.066841889485346</c:v>
                </c:pt>
                <c:pt idx="246">
                  <c:v>8.3983418894853461</c:v>
                </c:pt>
                <c:pt idx="247">
                  <c:v>8.0012418894834845</c:v>
                </c:pt>
                <c:pt idx="248">
                  <c:v>17.791341889485345</c:v>
                </c:pt>
                <c:pt idx="249">
                  <c:v>25.094941889481618</c:v>
                </c:pt>
                <c:pt idx="250">
                  <c:v>28.410222830287367</c:v>
                </c:pt>
                <c:pt idx="251">
                  <c:v>27.082214404023063</c:v>
                </c:pt>
                <c:pt idx="252">
                  <c:v>21.241714404026787</c:v>
                </c:pt>
                <c:pt idx="253">
                  <c:v>17.792714404021201</c:v>
                </c:pt>
                <c:pt idx="254">
                  <c:v>8.9562144040249265</c:v>
                </c:pt>
                <c:pt idx="255">
                  <c:v>23.02581440402307</c:v>
                </c:pt>
                <c:pt idx="256">
                  <c:v>22.195214404024927</c:v>
                </c:pt>
                <c:pt idx="257">
                  <c:v>21.587164615732057</c:v>
                </c:pt>
                <c:pt idx="258">
                  <c:v>22.25656461573206</c:v>
                </c:pt>
                <c:pt idx="259">
                  <c:v>24.386564615732059</c:v>
                </c:pt>
                <c:pt idx="260">
                  <c:v>19.524964615733921</c:v>
                </c:pt>
                <c:pt idx="261">
                  <c:v>12.476364615733925</c:v>
                </c:pt>
                <c:pt idx="262">
                  <c:v>27.044864615730198</c:v>
                </c:pt>
                <c:pt idx="263">
                  <c:v>19.316464615733924</c:v>
                </c:pt>
                <c:pt idx="264">
                  <c:v>13.504691299972313</c:v>
                </c:pt>
                <c:pt idx="265">
                  <c:v>17.08589129997231</c:v>
                </c:pt>
                <c:pt idx="266">
                  <c:v>13.806591299974171</c:v>
                </c:pt>
                <c:pt idx="267">
                  <c:v>5.5891912999723132</c:v>
                </c:pt>
                <c:pt idx="268">
                  <c:v>4.0950912999760334</c:v>
                </c:pt>
                <c:pt idx="269">
                  <c:v>27.26549129997418</c:v>
                </c:pt>
                <c:pt idx="270">
                  <c:v>28.410222830287367</c:v>
                </c:pt>
                <c:pt idx="271">
                  <c:v>14.449744701170552</c:v>
                </c:pt>
                <c:pt idx="272">
                  <c:v>11.960344701170543</c:v>
                </c:pt>
                <c:pt idx="273">
                  <c:v>28.410222830287367</c:v>
                </c:pt>
                <c:pt idx="274">
                  <c:v>1.1538447011686876</c:v>
                </c:pt>
                <c:pt idx="275">
                  <c:v>2.1983447011705501</c:v>
                </c:pt>
                <c:pt idx="276">
                  <c:v>1.2358447011686804</c:v>
                </c:pt>
                <c:pt idx="277">
                  <c:v>0.99304470116868471</c:v>
                </c:pt>
                <c:pt idx="278">
                  <c:v>1.2502095372110635</c:v>
                </c:pt>
                <c:pt idx="279">
                  <c:v>5.0392095372054753</c:v>
                </c:pt>
                <c:pt idx="280">
                  <c:v>6.6257095372054753</c:v>
                </c:pt>
                <c:pt idx="281">
                  <c:v>4.2226095372110573</c:v>
                </c:pt>
                <c:pt idx="282">
                  <c:v>1.3989095372073352</c:v>
                </c:pt>
                <c:pt idx="283">
                  <c:v>1.9705095372091965</c:v>
                </c:pt>
                <c:pt idx="284">
                  <c:v>9.8279095372073346</c:v>
                </c:pt>
                <c:pt idx="285">
                  <c:v>16.179420477262887</c:v>
                </c:pt>
                <c:pt idx="286">
                  <c:v>17.313341416272394</c:v>
                </c:pt>
                <c:pt idx="287">
                  <c:v>17.313341416272394</c:v>
                </c:pt>
                <c:pt idx="288">
                  <c:v>7.3201204772628845</c:v>
                </c:pt>
                <c:pt idx="289">
                  <c:v>4.2417204772591575</c:v>
                </c:pt>
                <c:pt idx="290">
                  <c:v>15.838020477262885</c:v>
                </c:pt>
                <c:pt idx="291">
                  <c:v>17.313341416272394</c:v>
                </c:pt>
                <c:pt idx="292">
                  <c:v>6.3324321625173106</c:v>
                </c:pt>
                <c:pt idx="293">
                  <c:v>5.5617321625191689</c:v>
                </c:pt>
                <c:pt idx="294">
                  <c:v>10.257532162519173</c:v>
                </c:pt>
                <c:pt idx="295">
                  <c:v>4.6552321625173061</c:v>
                </c:pt>
                <c:pt idx="296">
                  <c:v>5.450232162517306</c:v>
                </c:pt>
                <c:pt idx="297">
                  <c:v>7.4565321625191716</c:v>
                </c:pt>
                <c:pt idx="298">
                  <c:v>17.313341416272394</c:v>
                </c:pt>
                <c:pt idx="299">
                  <c:v>17.313341416272394</c:v>
                </c:pt>
                <c:pt idx="300">
                  <c:v>11.699929551380134</c:v>
                </c:pt>
                <c:pt idx="301">
                  <c:v>7.1733295513819906</c:v>
                </c:pt>
                <c:pt idx="302">
                  <c:v>1.4501295513764052</c:v>
                </c:pt>
                <c:pt idx="303">
                  <c:v>1.4524295513838514</c:v>
                </c:pt>
                <c:pt idx="304">
                  <c:v>1.3377295513782665</c:v>
                </c:pt>
                <c:pt idx="305">
                  <c:v>9.8079295513782636</c:v>
                </c:pt>
                <c:pt idx="306">
                  <c:v>19.966084909409286</c:v>
                </c:pt>
                <c:pt idx="307">
                  <c:v>20.95959048014743</c:v>
                </c:pt>
                <c:pt idx="308">
                  <c:v>14.10968490940742</c:v>
                </c:pt>
                <c:pt idx="309">
                  <c:v>6.4796849094055577</c:v>
                </c:pt>
                <c:pt idx="310">
                  <c:v>2.191584909407422</c:v>
                </c:pt>
                <c:pt idx="311">
                  <c:v>1.8539849094055607</c:v>
                </c:pt>
                <c:pt idx="312">
                  <c:v>10.339484909407423</c:v>
                </c:pt>
                <c:pt idx="313">
                  <c:v>20.95959048014743</c:v>
                </c:pt>
                <c:pt idx="314">
                  <c:v>17.659020741325993</c:v>
                </c:pt>
                <c:pt idx="315">
                  <c:v>14.349120741322265</c:v>
                </c:pt>
                <c:pt idx="316">
                  <c:v>2.5634207413259866</c:v>
                </c:pt>
                <c:pt idx="317">
                  <c:v>1.4610207413222669</c:v>
                </c:pt>
                <c:pt idx="318">
                  <c:v>20.95959048014743</c:v>
                </c:pt>
                <c:pt idx="319">
                  <c:v>20.95959048014743</c:v>
                </c:pt>
                <c:pt idx="320">
                  <c:v>20.95959048014743</c:v>
                </c:pt>
                <c:pt idx="321">
                  <c:v>20.95959048014743</c:v>
                </c:pt>
                <c:pt idx="322">
                  <c:v>17.120136673036964</c:v>
                </c:pt>
                <c:pt idx="323">
                  <c:v>7.4920366730351011</c:v>
                </c:pt>
                <c:pt idx="324">
                  <c:v>6.3300366730351012</c:v>
                </c:pt>
                <c:pt idx="325">
                  <c:v>20.95959048014743</c:v>
                </c:pt>
                <c:pt idx="326">
                  <c:v>20.95959048014743</c:v>
                </c:pt>
                <c:pt idx="327">
                  <c:v>20.95959048014743</c:v>
                </c:pt>
                <c:pt idx="328">
                  <c:v>20.95959048014743</c:v>
                </c:pt>
                <c:pt idx="329">
                  <c:v>14.233182213735207</c:v>
                </c:pt>
                <c:pt idx="330">
                  <c:v>9.809582213731483</c:v>
                </c:pt>
                <c:pt idx="331">
                  <c:v>13.20448221373521</c:v>
                </c:pt>
                <c:pt idx="332">
                  <c:v>20.889882213735209</c:v>
                </c:pt>
                <c:pt idx="333">
                  <c:v>20.95959048014743</c:v>
                </c:pt>
                <c:pt idx="334">
                  <c:v>20.95959048014743</c:v>
                </c:pt>
                <c:pt idx="335">
                  <c:v>34.484280416399983</c:v>
                </c:pt>
                <c:pt idx="336">
                  <c:v>33.251180416401844</c:v>
                </c:pt>
                <c:pt idx="337">
                  <c:v>31.903780416398121</c:v>
                </c:pt>
                <c:pt idx="338">
                  <c:v>32.307580416400917</c:v>
                </c:pt>
                <c:pt idx="339">
                  <c:v>36.510980416400919</c:v>
                </c:pt>
                <c:pt idx="340">
                  <c:v>41.360965957335978</c:v>
                </c:pt>
                <c:pt idx="341">
                  <c:v>41.360965957335978</c:v>
                </c:pt>
                <c:pt idx="342">
                  <c:v>41.360965957335978</c:v>
                </c:pt>
                <c:pt idx="343">
                  <c:v>41.360965957335978</c:v>
                </c:pt>
                <c:pt idx="344">
                  <c:v>31.932175035482274</c:v>
                </c:pt>
                <c:pt idx="345">
                  <c:v>27.284175035484136</c:v>
                </c:pt>
                <c:pt idx="346">
                  <c:v>33.381475035482275</c:v>
                </c:pt>
                <c:pt idx="347">
                  <c:v>41.360965957335978</c:v>
                </c:pt>
                <c:pt idx="348">
                  <c:v>40.406737656433137</c:v>
                </c:pt>
                <c:pt idx="349">
                  <c:v>41.360965957335978</c:v>
                </c:pt>
                <c:pt idx="350">
                  <c:v>41.360965957335978</c:v>
                </c:pt>
                <c:pt idx="351">
                  <c:v>41.360965957335978</c:v>
                </c:pt>
                <c:pt idx="352">
                  <c:v>41.360965957335978</c:v>
                </c:pt>
                <c:pt idx="353">
                  <c:v>17.771037656431275</c:v>
                </c:pt>
                <c:pt idx="354">
                  <c:v>33.208137656433138</c:v>
                </c:pt>
                <c:pt idx="355">
                  <c:v>41.360965957335978</c:v>
                </c:pt>
                <c:pt idx="356">
                  <c:v>41.360965957335978</c:v>
                </c:pt>
                <c:pt idx="357">
                  <c:v>41.360965957335978</c:v>
                </c:pt>
                <c:pt idx="358">
                  <c:v>41.360965957335978</c:v>
                </c:pt>
                <c:pt idx="359">
                  <c:v>41.360965957335978</c:v>
                </c:pt>
                <c:pt idx="360">
                  <c:v>41.360965957335978</c:v>
                </c:pt>
                <c:pt idx="361">
                  <c:v>41.360965957335978</c:v>
                </c:pt>
                <c:pt idx="362">
                  <c:v>41.360965957335978</c:v>
                </c:pt>
                <c:pt idx="363">
                  <c:v>41.360965957335978</c:v>
                </c:pt>
                <c:pt idx="364">
                  <c:v>41.360965957335978</c:v>
                </c:pt>
                <c:pt idx="365">
                  <c:v>41.360965957335978</c:v>
                </c:pt>
                <c:pt idx="366">
                  <c:v>64.711733258562887</c:v>
                </c:pt>
                <c:pt idx="367">
                  <c:v>85.678144231829236</c:v>
                </c:pt>
                <c:pt idx="368">
                  <c:v>85.329933258562889</c:v>
                </c:pt>
                <c:pt idx="369">
                  <c:v>85.678144231829236</c:v>
                </c:pt>
                <c:pt idx="370">
                  <c:v>84.913114019519156</c:v>
                </c:pt>
                <c:pt idx="371">
                  <c:v>83.47701401951916</c:v>
                </c:pt>
                <c:pt idx="372">
                  <c:v>85.678144231829236</c:v>
                </c:pt>
                <c:pt idx="373">
                  <c:v>85.678144231829236</c:v>
                </c:pt>
                <c:pt idx="374">
                  <c:v>85.678144231829236</c:v>
                </c:pt>
                <c:pt idx="375">
                  <c:v>85.678144231829236</c:v>
                </c:pt>
                <c:pt idx="376">
                  <c:v>85.678144231829236</c:v>
                </c:pt>
                <c:pt idx="377">
                  <c:v>85.678144231829236</c:v>
                </c:pt>
                <c:pt idx="378">
                  <c:v>85.678144231829236</c:v>
                </c:pt>
                <c:pt idx="379">
                  <c:v>68.95269465272213</c:v>
                </c:pt>
                <c:pt idx="380">
                  <c:v>52.064494652722139</c:v>
                </c:pt>
                <c:pt idx="381">
                  <c:v>85.678144231829236</c:v>
                </c:pt>
                <c:pt idx="382">
                  <c:v>85.678144231829236</c:v>
                </c:pt>
                <c:pt idx="383">
                  <c:v>72.630552717442654</c:v>
                </c:pt>
                <c:pt idx="384">
                  <c:v>63.004652717442646</c:v>
                </c:pt>
                <c:pt idx="385">
                  <c:v>56.796152717442659</c:v>
                </c:pt>
                <c:pt idx="386">
                  <c:v>53.172052717442654</c:v>
                </c:pt>
                <c:pt idx="387">
                  <c:v>48.916152717442657</c:v>
                </c:pt>
                <c:pt idx="388">
                  <c:v>85.678144231829236</c:v>
                </c:pt>
                <c:pt idx="389">
                  <c:v>85.365152717442641</c:v>
                </c:pt>
                <c:pt idx="390">
                  <c:v>69.01658826066425</c:v>
                </c:pt>
                <c:pt idx="391">
                  <c:v>71.082788260664259</c:v>
                </c:pt>
                <c:pt idx="392">
                  <c:v>81.511788260664247</c:v>
                </c:pt>
                <c:pt idx="393">
                  <c:v>61.805388260664259</c:v>
                </c:pt>
                <c:pt idx="394">
                  <c:v>58.887488260664263</c:v>
                </c:pt>
                <c:pt idx="395">
                  <c:v>78.146388260664253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A-4CF7-8075-2D23B26E89FB}"/>
            </c:ext>
          </c:extLst>
        </c:ser>
        <c:ser>
          <c:idx val="2"/>
          <c:order val="3"/>
          <c:spPr>
            <a:noFill/>
            <a:ln w="25400">
              <a:noFill/>
            </a:ln>
          </c:spPr>
          <c:dLbls>
            <c:dLbl>
              <c:idx val="14"/>
              <c:layout>
                <c:manualLayout>
                  <c:x val="5.4274084124830224E-3"/>
                  <c:y val="-1.5748031496062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00-4EBE-8E7C-911494DEC250}"/>
                </c:ext>
              </c:extLst>
            </c:dLbl>
            <c:dLbl>
              <c:idx val="42"/>
              <c:layout>
                <c:manualLayout>
                  <c:x val="0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C0-46EF-9B1B-459C2A16BB2A}"/>
                </c:ext>
              </c:extLst>
            </c:dLbl>
            <c:dLbl>
              <c:idx val="44"/>
              <c:layout>
                <c:manualLayout>
                  <c:x val="-5.4274084124830389E-3"/>
                  <c:y val="-2.09973753280840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54-40F8-8094-8BBB96175E04}"/>
                </c:ext>
              </c:extLst>
            </c:dLbl>
            <c:dLbl>
              <c:idx val="45"/>
              <c:layout>
                <c:manualLayout>
                  <c:x val="1.8091361374943465E-3"/>
                  <c:y val="-1.5748031496062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F7-4152-9D24-00490E000A9C}"/>
                </c:ext>
              </c:extLst>
            </c:dLbl>
            <c:dLbl>
              <c:idx val="73"/>
              <c:layout>
                <c:manualLayout>
                  <c:x val="0"/>
                  <c:y val="-0.12073490813648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1F-4F51-B390-EBF8494B3D7D}"/>
                </c:ext>
              </c:extLst>
            </c:dLbl>
            <c:dLbl>
              <c:idx val="76"/>
              <c:layout>
                <c:manualLayout>
                  <c:x val="-3.316711270474679E-17"/>
                  <c:y val="-6.8241469816272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00-4EBE-8E7C-911494DEC250}"/>
                </c:ext>
              </c:extLst>
            </c:dLbl>
            <c:dLbl>
              <c:idx val="103"/>
              <c:layout>
                <c:manualLayout>
                  <c:x val="-3.316711270474679E-17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C0-46EF-9B1B-459C2A16BB2A}"/>
                </c:ext>
              </c:extLst>
            </c:dLbl>
            <c:dLbl>
              <c:idx val="104"/>
              <c:layout>
                <c:manualLayout>
                  <c:x val="3.6182722749886929E-3"/>
                  <c:y val="-0.12073490813648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1E-405D-B62E-CA2581501637}"/>
                </c:ext>
              </c:extLst>
            </c:dLbl>
            <c:dLbl>
              <c:idx val="106"/>
              <c:layout>
                <c:manualLayout>
                  <c:x val="0"/>
                  <c:y val="5.24934383202099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C2-4771-B3FC-C686AFDEE137}"/>
                </c:ext>
              </c:extLst>
            </c:dLbl>
            <c:dLbl>
              <c:idx val="134"/>
              <c:layout>
                <c:manualLayout>
                  <c:x val="0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4E-4B4C-ADE6-8C48B57A01A8}"/>
                </c:ext>
              </c:extLst>
            </c:dLbl>
            <c:dLbl>
              <c:idx val="135"/>
              <c:layout>
                <c:manualLayout>
                  <c:x val="-1.8091361374943465E-3"/>
                  <c:y val="2.0997375328083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1E-405D-B62E-CA2581501637}"/>
                </c:ext>
              </c:extLst>
            </c:dLbl>
            <c:dLbl>
              <c:idx val="164"/>
              <c:layout>
                <c:manualLayout>
                  <c:x val="0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C0-46EF-9B1B-459C2A16BB2A}"/>
                </c:ext>
              </c:extLst>
            </c:dLbl>
            <c:dLbl>
              <c:idx val="165"/>
              <c:layout>
                <c:manualLayout>
                  <c:x val="0"/>
                  <c:y val="-0.12073490813648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1B-48AC-A494-9B2C660A6D60}"/>
                </c:ext>
              </c:extLst>
            </c:dLbl>
            <c:dLbl>
              <c:idx val="195"/>
              <c:layout>
                <c:manualLayout>
                  <c:x val="-6.633422540949358E-17"/>
                  <c:y val="-6.82414698162730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54-40F8-8094-8BBB96175E04}"/>
                </c:ext>
              </c:extLst>
            </c:dLbl>
            <c:dLbl>
              <c:idx val="196"/>
              <c:layout>
                <c:manualLayout>
                  <c:x val="0"/>
                  <c:y val="1.0498687664041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1B-48AC-A494-9B2C660A6D60}"/>
                </c:ext>
              </c:extLst>
            </c:dLbl>
            <c:dLbl>
              <c:idx val="226"/>
              <c:layout>
                <c:manualLayout>
                  <c:x val="3.6182722749886266E-3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F7-454C-80DD-2E53E93A464E}"/>
                </c:ext>
              </c:extLst>
            </c:dLbl>
            <c:dLbl>
              <c:idx val="229"/>
              <c:layout>
                <c:manualLayout>
                  <c:x val="1.8091361374942801E-3"/>
                  <c:y val="-0.105975030780739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00-4EBE-8E7C-911494DEC250}"/>
                </c:ext>
              </c:extLst>
            </c:dLbl>
            <c:dLbl>
              <c:idx val="256"/>
              <c:layout>
                <c:manualLayout>
                  <c:x val="-3.6182722749888256E-3"/>
                  <c:y val="-6.2992125984251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C0-46EF-9B1B-459C2A16BB2A}"/>
                </c:ext>
              </c:extLst>
            </c:dLbl>
            <c:dLbl>
              <c:idx val="257"/>
              <c:layout>
                <c:manualLayout>
                  <c:x val="0"/>
                  <c:y val="5.2493438320209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00-4EBE-8E7C-911494DEC250}"/>
                </c:ext>
              </c:extLst>
            </c:dLbl>
            <c:dLbl>
              <c:idx val="287"/>
              <c:layout>
                <c:manualLayout>
                  <c:x val="5.4274084124830389E-3"/>
                  <c:y val="-5.24934383202099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F7-4152-9D24-00490E000A9C}"/>
                </c:ext>
              </c:extLst>
            </c:dLbl>
            <c:dLbl>
              <c:idx val="288"/>
              <c:layout>
                <c:manualLayout>
                  <c:x val="-3.6182722749886929E-3"/>
                  <c:y val="-5.8731064128795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00-4EBE-8E7C-911494DEC250}"/>
                </c:ext>
              </c:extLst>
            </c:dLbl>
            <c:dLbl>
              <c:idx val="318"/>
              <c:layout>
                <c:manualLayout>
                  <c:x val="-1.3266845081898716E-16"/>
                  <c:y val="-5.2493438320210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FF7-4152-9D24-00490E000A9C}"/>
                </c:ext>
              </c:extLst>
            </c:dLbl>
            <c:dLbl>
              <c:idx val="319"/>
              <c:layout>
                <c:manualLayout>
                  <c:x val="1.8091361374943465E-3"/>
                  <c:y val="-7.3490813648293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26-4E7F-836E-087F4C74187B}"/>
                </c:ext>
              </c:extLst>
            </c:dLbl>
            <c:dLbl>
              <c:idx val="349"/>
              <c:layout>
                <c:manualLayout>
                  <c:x val="1.8091361374943465E-3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F7-4152-9D24-00490E000A9C}"/>
                </c:ext>
              </c:extLst>
            </c:dLbl>
            <c:dLbl>
              <c:idx val="379"/>
              <c:layout>
                <c:manualLayout>
                  <c:x val="9.0456806874715991E-3"/>
                  <c:y val="-0.104986876640420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F7-4152-9D24-00490E000A9C}"/>
                </c:ext>
              </c:extLst>
            </c:dLbl>
            <c:dLbl>
              <c:idx val="380"/>
              <c:layout>
                <c:manualLayout>
                  <c:x val="0"/>
                  <c:y val="-0.115485564304461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C2-4771-B3FC-C686AFDEE1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700" b="0" i="0" u="none" strike="noStrike" kern="1200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Dat_02!$F$3:$F$399</c:f>
              <c:strCache>
                <c:ptCount val="381"/>
                <c:pt idx="14">
                  <c:v>N</c:v>
                </c:pt>
                <c:pt idx="44">
                  <c:v>D</c:v>
                </c:pt>
                <c:pt idx="75">
                  <c:v>E</c:v>
                </c:pt>
                <c:pt idx="106">
                  <c:v>F</c:v>
                </c:pt>
                <c:pt idx="135">
                  <c:v>M</c:v>
                </c:pt>
                <c:pt idx="166">
                  <c:v>A</c:v>
                </c:pt>
                <c:pt idx="196">
                  <c:v>M</c:v>
                </c:pt>
                <c:pt idx="227">
                  <c:v>J</c:v>
                </c:pt>
                <c:pt idx="257">
                  <c:v>J</c:v>
                </c:pt>
                <c:pt idx="288">
                  <c:v>A</c:v>
                </c:pt>
                <c:pt idx="319">
                  <c:v>S</c:v>
                </c:pt>
                <c:pt idx="349">
                  <c:v>O</c:v>
                </c:pt>
                <c:pt idx="380">
                  <c:v>N</c:v>
                </c:pt>
              </c:strCache>
            </c:strRef>
          </c:cat>
          <c:val>
            <c:numRef>
              <c:f>Dat_02!$G$3:$G$398</c:f>
              <c:numCache>
                <c:formatCode>0</c:formatCode>
                <c:ptCount val="396"/>
                <c:pt idx="14">
                  <c:v>83.137557492553753</c:v>
                </c:pt>
                <c:pt idx="44">
                  <c:v>104.08859355090497</c:v>
                </c:pt>
                <c:pt idx="75">
                  <c:v>120.61015823780208</c:v>
                </c:pt>
                <c:pt idx="106">
                  <c:v>123.04180331015149</c:v>
                </c:pt>
                <c:pt idx="135">
                  <c:v>132.5377482022528</c:v>
                </c:pt>
                <c:pt idx="166">
                  <c:v>129.30997561700028</c:v>
                </c:pt>
                <c:pt idx="196">
                  <c:v>104.0249711788601</c:v>
                </c:pt>
                <c:pt idx="227">
                  <c:v>64.512028542813908</c:v>
                </c:pt>
                <c:pt idx="257">
                  <c:v>28.410222830287367</c:v>
                </c:pt>
                <c:pt idx="288">
                  <c:v>17.313341416272394</c:v>
                </c:pt>
                <c:pt idx="319">
                  <c:v>20.95959048014743</c:v>
                </c:pt>
                <c:pt idx="349">
                  <c:v>41.360965957335978</c:v>
                </c:pt>
                <c:pt idx="380">
                  <c:v>85.678144231829236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F6FA-4CF7-8075-2D23B26E89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07454592"/>
        <c:axId val="707454200"/>
      </c:areaChart>
      <c:catAx>
        <c:axId val="70745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07454200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592"/>
        <c:crosses val="autoZero"/>
        <c:crossBetween val="midCat"/>
        <c:majorUnit val="100"/>
      </c:valAx>
      <c:spPr>
        <a:solidFill>
          <a:srgbClr val="F5F5F5"/>
        </a:solidFill>
        <a:ln>
          <a:noFill/>
        </a:ln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1693273076279305"/>
          <c:y val="1.5748031496062992E-2"/>
          <c:w val="0.34514841682781511"/>
          <c:h val="8.5205117076900816E-2"/>
        </c:manualLayout>
      </c:layout>
      <c:overlay val="0"/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3'!$C$51:$C$63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'Data 3'!$F$51:$F$63</c:f>
              <c:numCache>
                <c:formatCode>#,##0\ _)</c:formatCode>
                <c:ptCount val="13"/>
                <c:pt idx="0">
                  <c:v>11172.260412899997</c:v>
                </c:pt>
                <c:pt idx="1">
                  <c:v>13395.083468899993</c:v>
                </c:pt>
                <c:pt idx="2">
                  <c:v>13025.278086900002</c:v>
                </c:pt>
                <c:pt idx="3">
                  <c:v>13282.205454749997</c:v>
                </c:pt>
                <c:pt idx="4">
                  <c:v>13779.121679499998</c:v>
                </c:pt>
                <c:pt idx="5">
                  <c:v>13901.975652950001</c:v>
                </c:pt>
                <c:pt idx="6">
                  <c:v>14115.337503700002</c:v>
                </c:pt>
                <c:pt idx="7">
                  <c:v>13804.115890500001</c:v>
                </c:pt>
                <c:pt idx="8">
                  <c:v>12335.885264499995</c:v>
                </c:pt>
                <c:pt idx="9">
                  <c:v>11008.379514400005</c:v>
                </c:pt>
                <c:pt idx="10">
                  <c:v>10216.987657999998</c:v>
                </c:pt>
                <c:pt idx="11">
                  <c:v>9860.0850484999992</c:v>
                </c:pt>
                <c:pt idx="12">
                  <c:v>11197.565775799998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2-4E51-A4A1-E66A27061152}"/>
            </c:ext>
          </c:extLst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3'!$C$51:$C$63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'Data 3'!$G$51:$G$63</c:f>
              <c:numCache>
                <c:formatCode>#,##0\ _)</c:formatCode>
                <c:ptCount val="13"/>
                <c:pt idx="0">
                  <c:v>4800.2412517000002</c:v>
                </c:pt>
                <c:pt idx="1">
                  <c:v>5326.3089624999975</c:v>
                </c:pt>
                <c:pt idx="2">
                  <c:v>5458.8831046999985</c:v>
                </c:pt>
                <c:pt idx="3">
                  <c:v>5560.4723572999983</c:v>
                </c:pt>
                <c:pt idx="4">
                  <c:v>5822.9730064499981</c:v>
                </c:pt>
                <c:pt idx="5">
                  <c:v>7108.0951499999992</c:v>
                </c:pt>
                <c:pt idx="6">
                  <c:v>7120.6441199999972</c:v>
                </c:pt>
                <c:pt idx="7">
                  <c:v>6599.0676786489421</c:v>
                </c:pt>
                <c:pt idx="8">
                  <c:v>5738.8141714184449</c:v>
                </c:pt>
                <c:pt idx="9">
                  <c:v>5016.2080297901548</c:v>
                </c:pt>
                <c:pt idx="10">
                  <c:v>4709.6077613773832</c:v>
                </c:pt>
                <c:pt idx="11">
                  <c:v>4443.1848832624037</c:v>
                </c:pt>
                <c:pt idx="12">
                  <c:v>4806.2059127499997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8512"/>
        <c:axId val="707458904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'Data 3'!$C$51:$C$63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'Data 3'!$H$51:$H$63</c:f>
              <c:numCache>
                <c:formatCode>#,##0\ _)</c:formatCode>
                <c:ptCount val="13"/>
                <c:pt idx="0">
                  <c:v>8146.8772984649422</c:v>
                </c:pt>
                <c:pt idx="1">
                  <c:v>8613.6806204130498</c:v>
                </c:pt>
                <c:pt idx="2">
                  <c:v>9322.7080025003343</c:v>
                </c:pt>
                <c:pt idx="3">
                  <c:v>9851.4627672801198</c:v>
                </c:pt>
                <c:pt idx="4">
                  <c:v>10516.451776491249</c:v>
                </c:pt>
                <c:pt idx="5">
                  <c:v>11159.497806794267</c:v>
                </c:pt>
                <c:pt idx="6">
                  <c:v>11373.399940146151</c:v>
                </c:pt>
                <c:pt idx="7">
                  <c:v>10842.247789768779</c:v>
                </c:pt>
                <c:pt idx="8">
                  <c:v>9747.2628189624047</c:v>
                </c:pt>
                <c:pt idx="9">
                  <c:v>8682.152701913692</c:v>
                </c:pt>
                <c:pt idx="10">
                  <c:v>7899.635656205076</c:v>
                </c:pt>
                <c:pt idx="11">
                  <c:v>7706.6327509883004</c:v>
                </c:pt>
                <c:pt idx="12">
                  <c:v>8149.1649360341953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32-4E51-A4A1-E66A27061152}"/>
            </c:ext>
          </c:extLst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'Data 3'!$C$51:$C$63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'Data 3'!$E$51:$E$63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32-4E51-A4A1-E66A27061152}"/>
            </c:ext>
          </c:extLst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3'!$C$51:$C$63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'Data 3'!$D$51:$D$63</c:f>
              <c:numCache>
                <c:formatCode>#,##0</c:formatCode>
                <c:ptCount val="13"/>
                <c:pt idx="0">
                  <c:v>7808.1870513850999</c:v>
                </c:pt>
                <c:pt idx="1">
                  <c:v>9451.9329261671392</c:v>
                </c:pt>
                <c:pt idx="2">
                  <c:v>10203.8438416341</c:v>
                </c:pt>
                <c:pt idx="3">
                  <c:v>10293.721620606701</c:v>
                </c:pt>
                <c:pt idx="4">
                  <c:v>10922.4629058602</c:v>
                </c:pt>
                <c:pt idx="5">
                  <c:v>12482.965359777099</c:v>
                </c:pt>
                <c:pt idx="6">
                  <c:v>12968.344471210001</c:v>
                </c:pt>
                <c:pt idx="7">
                  <c:v>12284.2351167291</c:v>
                </c:pt>
                <c:pt idx="8">
                  <c:v>11078.2673362971</c:v>
                </c:pt>
                <c:pt idx="9">
                  <c:v>9493.5710276489899</c:v>
                </c:pt>
                <c:pt idx="10">
                  <c:v>8414.2036093792703</c:v>
                </c:pt>
                <c:pt idx="11">
                  <c:v>8468.7189392685304</c:v>
                </c:pt>
                <c:pt idx="12">
                  <c:v>8407.9337983359892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58512"/>
        <c:axId val="707458904"/>
      </c:lineChart>
      <c:catAx>
        <c:axId val="70745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9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074589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2499199795147"/>
          <c:y val="0.11633742473367299"/>
          <c:w val="0.49665424748735676"/>
          <c:h val="0.748633240697853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0A0C-4662-A9BD-07E9D4C56B89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0A0C-4662-A9BD-07E9D4C56B89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0A0C-4662-A9BD-07E9D4C56B8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0A0C-4662-A9BD-07E9D4C56B89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0A0C-4662-A9BD-07E9D4C56B89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0A0C-4662-A9BD-07E9D4C56B89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0A0C-4662-A9BD-07E9D4C56B89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0A0C-4662-A9BD-07E9D4C56B89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0A0C-4662-A9BD-07E9D4C56B89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0A0C-4662-A9BD-07E9D4C56B89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0A0C-4662-A9BD-07E9D4C56B89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0A0C-4662-A9BD-07E9D4C56B89}"/>
              </c:ext>
            </c:extLst>
          </c:dPt>
          <c:dLbls>
            <c:dLbl>
              <c:idx val="0"/>
              <c:layout>
                <c:manualLayout>
                  <c:x val="0.26016260162601612"/>
                  <c:y val="-4.90196078431374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0C-4662-A9BD-07E9D4C56B89}"/>
                </c:ext>
              </c:extLst>
            </c:dLbl>
            <c:dLbl>
              <c:idx val="1"/>
              <c:layout>
                <c:manualLayout>
                  <c:x val="0.20487804878048779"/>
                  <c:y val="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0C-4662-A9BD-07E9D4C56B89}"/>
                </c:ext>
              </c:extLst>
            </c:dLbl>
            <c:dLbl>
              <c:idx val="2"/>
              <c:layout>
                <c:manualLayout>
                  <c:x val="0.14634146341463403"/>
                  <c:y val="5.39215686274509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0C-4662-A9BD-07E9D4C56B89}"/>
                </c:ext>
              </c:extLst>
            </c:dLbl>
            <c:dLbl>
              <c:idx val="3"/>
              <c:layout>
                <c:manualLayout>
                  <c:x val="0.13983739837398362"/>
                  <c:y val="0.13124054346147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0C-4662-A9BD-07E9D4C56B89}"/>
                </c:ext>
              </c:extLst>
            </c:dLbl>
            <c:dLbl>
              <c:idx val="4"/>
              <c:layout>
                <c:manualLayout>
                  <c:x val="0.1040650406504065"/>
                  <c:y val="0.157178091709124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0C-4662-A9BD-07E9D4C56B89}"/>
                </c:ext>
              </c:extLst>
            </c:dLbl>
            <c:dLbl>
              <c:idx val="5"/>
              <c:layout>
                <c:manualLayout>
                  <c:x val="-0.14959349593495935"/>
                  <c:y val="0.1685000771962328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0C-4662-A9BD-07E9D4C56B89}"/>
                </c:ext>
              </c:extLst>
            </c:dLbl>
            <c:dLbl>
              <c:idx val="6"/>
              <c:layout>
                <c:manualLayout>
                  <c:x val="-0.26991869918699185"/>
                  <c:y val="1.96078431372548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0C-4662-A9BD-07E9D4C56B89}"/>
                </c:ext>
              </c:extLst>
            </c:dLbl>
            <c:dLbl>
              <c:idx val="7"/>
              <c:layout>
                <c:manualLayout>
                  <c:x val="-0.17886178861788618"/>
                  <c:y val="-5.39215686274509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0C-4662-A9BD-07E9D4C56B89}"/>
                </c:ext>
              </c:extLst>
            </c:dLbl>
            <c:dLbl>
              <c:idx val="8"/>
              <c:layout>
                <c:manualLayout>
                  <c:x val="-0.2016260162601626"/>
                  <c:y val="-1.96078431372549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0C-4662-A9BD-07E9D4C56B89}"/>
                </c:ext>
              </c:extLst>
            </c:dLbl>
            <c:dLbl>
              <c:idx val="9"/>
              <c:layout>
                <c:manualLayout>
                  <c:x val="-0.17235772357723581"/>
                  <c:y val="-9.31372549019607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A0C-4662-A9BD-07E9D4C56B89}"/>
                </c:ext>
              </c:extLst>
            </c:dLbl>
            <c:dLbl>
              <c:idx val="10"/>
              <c:layout>
                <c:manualLayout>
                  <c:x val="-9.4308943089430899E-2"/>
                  <c:y val="-0.142156862745098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A0C-4662-A9BD-07E9D4C56B89}"/>
                </c:ext>
              </c:extLst>
            </c:dLbl>
            <c:dLbl>
              <c:idx val="11"/>
              <c:layout>
                <c:manualLayout>
                  <c:x val="0.15934959349593483"/>
                  <c:y val="-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A0C-4662-A9BD-07E9D4C56B8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Dat_01!$A$50:$A$61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Dat_01!$C$50:$C$61</c:f>
              <c:numCache>
                <c:formatCode>#,##0.0</c:formatCode>
                <c:ptCount val="12"/>
                <c:pt idx="0">
                  <c:v>1.041151189288519</c:v>
                </c:pt>
                <c:pt idx="1">
                  <c:v>24.467719807299456</c:v>
                </c:pt>
                <c:pt idx="2">
                  <c:v>1.7883014013092078</c:v>
                </c:pt>
                <c:pt idx="3">
                  <c:v>16.993221684293371</c:v>
                </c:pt>
                <c:pt idx="4">
                  <c:v>12.620213626617705</c:v>
                </c:pt>
                <c:pt idx="5">
                  <c:v>0.93625218901664431</c:v>
                </c:pt>
                <c:pt idx="6">
                  <c:v>0.35323761446975466</c:v>
                </c:pt>
                <c:pt idx="7">
                  <c:v>21.814624484825782</c:v>
                </c:pt>
                <c:pt idx="8">
                  <c:v>13.045242807022579</c:v>
                </c:pt>
                <c:pt idx="9">
                  <c:v>4.1500451173681343</c:v>
                </c:pt>
                <c:pt idx="10">
                  <c:v>0.65162580580594331</c:v>
                </c:pt>
                <c:pt idx="11">
                  <c:v>2.1383642726829168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A0C-4662-A9BD-07E9D4C56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387-4D9F-8E7A-0EF64246FEC3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387-4D9F-8E7A-0EF64246FEC3}"/>
              </c:ext>
            </c:extLst>
          </c:dPt>
          <c:dLbls>
            <c:dLbl>
              <c:idx val="0"/>
              <c:layout>
                <c:manualLayout>
                  <c:x val="-0.25731017848706411"/>
                  <c:y val="9.31074056919355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387-4D9F-8E7A-0EF64246FEC3}"/>
                </c:ext>
              </c:extLst>
            </c:dLbl>
            <c:dLbl>
              <c:idx val="1"/>
              <c:layout>
                <c:manualLayout>
                  <c:x val="0.14879416935503922"/>
                  <c:y val="-0.146405743399722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387-4D9F-8E7A-0EF64246FEC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Dat_01!$E$33:$E$34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Dat_01!$F$33:$F$34</c:f>
              <c:numCache>
                <c:formatCode>#,##0.0</c:formatCode>
                <c:ptCount val="2"/>
                <c:pt idx="0">
                  <c:v>45.073172610209824</c:v>
                </c:pt>
                <c:pt idx="1">
                  <c:v>54.926827389790184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7-4D9F-8E7A-0EF64246FEC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C188-488E-9864-3653891E4BD7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C188-488E-9864-3653891E4BD7}"/>
              </c:ext>
            </c:extLst>
          </c:dPt>
          <c:dLbls>
            <c:dLbl>
              <c:idx val="0"/>
              <c:layout>
                <c:manualLayout>
                  <c:x val="-0.25731017848706406"/>
                  <c:y val="-0.248366013071895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69085481961813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188-488E-9864-3653891E4BD7}"/>
                </c:ext>
              </c:extLst>
            </c:dLbl>
            <c:dLbl>
              <c:idx val="1"/>
              <c:layout>
                <c:manualLayout>
                  <c:x val="0.14035146691667075"/>
                  <c:y val="0.1830065359477124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188-488E-9864-3653891E4BD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Dat_01!$E$50:$E$51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Dat_01!$F$50:$F$51</c:f>
              <c:numCache>
                <c:formatCode>#,##0.0</c:formatCode>
                <c:ptCount val="2"/>
                <c:pt idx="0">
                  <c:v>57.846859897824906</c:v>
                </c:pt>
                <c:pt idx="1">
                  <c:v>42.153140102175108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88-488E-9864-3653891E4B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Dat_01!$B$91</c:f>
          <c:strCache>
            <c:ptCount val="1"/>
            <c:pt idx="0">
              <c:v>Mes 06/11/2020</c:v>
            </c:pt>
          </c:strCache>
        </c:strRef>
      </c:tx>
      <c:layout>
        <c:manualLayout>
          <c:xMode val="edge"/>
          <c:yMode val="edge"/>
          <c:x val="1.1382113821138212E-2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9915344728250431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Dat_01!$A$109:$A$110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853B-4C00-AB97-18BDB11FFA56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853B-4C00-AB97-18BDB11FFA56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853B-4C00-AB97-18BDB11FFA56}"/>
              </c:ext>
            </c:extLst>
          </c:dPt>
          <c:dLbls>
            <c:dLbl>
              <c:idx val="0"/>
              <c:layout>
                <c:manualLayout>
                  <c:x val="-9.7560975609756101E-2"/>
                  <c:y val="0.1673202614379084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53B-4C00-AB97-18BDB11FFA56}"/>
                </c:ext>
              </c:extLst>
            </c:dLbl>
            <c:dLbl>
              <c:idx val="1"/>
              <c:layout>
                <c:manualLayout>
                  <c:x val="0.10731707317073171"/>
                  <c:y val="-0.19346405228758171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Dat_01!$B$109:$B$110</c:f>
              <c:numCache>
                <c:formatCode>#,##0.0</c:formatCode>
                <c:ptCount val="2"/>
                <c:pt idx="0">
                  <c:v>40.334007206305621</c:v>
                </c:pt>
                <c:pt idx="1">
                  <c:v>59.665992793694386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3B-4C00-AB97-18BDB11FFA56}"/>
            </c:ext>
          </c:extLst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853B-4C00-AB97-18BDB11FFA56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853B-4C00-AB97-18BDB11FFA56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853B-4C00-AB97-18BDB11FFA56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853B-4C00-AB97-18BDB11FFA56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853B-4C00-AB97-18BDB11FFA56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853B-4C00-AB97-18BDB11FFA56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4-853B-4C00-AB97-18BDB11FFA56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6-853B-4C00-AB97-18BDB11FFA56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8-853B-4C00-AB97-18BDB11FFA56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A-853B-4C00-AB97-18BDB11FFA56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C-853B-4C00-AB97-18BDB11FFA56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E-853B-4C00-AB97-18BDB11FFA56}"/>
              </c:ext>
            </c:extLst>
          </c:dPt>
          <c:dLbls>
            <c:dLbl>
              <c:idx val="0"/>
              <c:layout>
                <c:manualLayout>
                  <c:x val="0.21138211382113822"/>
                  <c:y val="-8.3660130718954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53B-4C00-AB97-18BDB11FFA56}"/>
                </c:ext>
              </c:extLst>
            </c:dLbl>
            <c:dLbl>
              <c:idx val="1"/>
              <c:layout>
                <c:manualLayout>
                  <c:x val="0.18211382113821126"/>
                  <c:y val="1.04575163398692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3B-4C00-AB97-18BDB11FFA56}"/>
                </c:ext>
              </c:extLst>
            </c:dLbl>
            <c:dLbl>
              <c:idx val="2"/>
              <c:layout>
                <c:manualLayout>
                  <c:x val="0.14308943089430895"/>
                  <c:y val="-2.61437908496732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3B-4C00-AB97-18BDB11FFA56}"/>
                </c:ext>
              </c:extLst>
            </c:dLbl>
            <c:dLbl>
              <c:idx val="3"/>
              <c:layout>
                <c:manualLayout>
                  <c:x val="0.14182677165354318"/>
                  <c:y val="2.35294117647058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853B-4C00-AB97-18BDB11FFA56}"/>
                </c:ext>
              </c:extLst>
            </c:dLbl>
            <c:dLbl>
              <c:idx val="4"/>
              <c:layout>
                <c:manualLayout>
                  <c:x val="0.14470955764675758"/>
                  <c:y val="2.44796459266121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151232315472762"/>
                      <c:h val="0.117071895424836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853B-4C00-AB97-18BDB11FFA56}"/>
                </c:ext>
              </c:extLst>
            </c:dLbl>
            <c:dLbl>
              <c:idx val="5"/>
              <c:layout>
                <c:manualLayout>
                  <c:x val="0.1706300492926188"/>
                  <c:y val="8.03606607997528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53B-4C00-AB97-18BDB11FFA56}"/>
                </c:ext>
              </c:extLst>
            </c:dLbl>
            <c:dLbl>
              <c:idx val="6"/>
              <c:layout>
                <c:manualLayout>
                  <c:x val="4.878048780487805E-2"/>
                  <c:y val="0.1741299984560754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53B-4C00-AB97-18BDB11FFA56}"/>
                </c:ext>
              </c:extLst>
            </c:dLbl>
            <c:dLbl>
              <c:idx val="7"/>
              <c:layout>
                <c:manualLayout>
                  <c:x val="-0.19186991869918699"/>
                  <c:y val="-0.109803921568627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53B-4C00-AB97-18BDB11FFA56}"/>
                </c:ext>
              </c:extLst>
            </c:dLbl>
            <c:dLbl>
              <c:idx val="8"/>
              <c:layout>
                <c:manualLayout>
                  <c:x val="-0.19050240061455734"/>
                  <c:y val="8.62745098039216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853B-4C00-AB97-18BDB11FFA56}"/>
                </c:ext>
              </c:extLst>
            </c:dLbl>
            <c:dLbl>
              <c:idx val="9"/>
              <c:layout>
                <c:manualLayout>
                  <c:x val="-0.23986530951923693"/>
                  <c:y val="6.01307189542483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988617886178863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853B-4C00-AB97-18BDB11FFA56}"/>
                </c:ext>
              </c:extLst>
            </c:dLbl>
            <c:dLbl>
              <c:idx val="10"/>
              <c:layout>
                <c:manualLayout>
                  <c:x val="-0.21463414634146341"/>
                  <c:y val="-1.56862745098039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53B-4C00-AB97-18BDB11FFA56}"/>
                </c:ext>
              </c:extLst>
            </c:dLbl>
            <c:dLbl>
              <c:idx val="11"/>
              <c:layout>
                <c:manualLayout>
                  <c:x val="-8.7804878048780483E-2"/>
                  <c:y val="-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Dat_01!$B$94:$B$105</c:f>
              <c:numCache>
                <c:formatCode>_-* #,##0.0\ _€_-;\-* #,##0.0\ _€_-;_-* "-"??\ _€_-;_-@_-</c:formatCode>
                <c:ptCount val="12"/>
                <c:pt idx="0">
                  <c:v>0.38039979125415918</c:v>
                </c:pt>
                <c:pt idx="1">
                  <c:v>20.206375619151114</c:v>
                </c:pt>
                <c:pt idx="2">
                  <c:v>1.5454677133528727</c:v>
                </c:pt>
                <c:pt idx="3">
                  <c:v>6.1338149549900436</c:v>
                </c:pt>
                <c:pt idx="4">
                  <c:v>11.382927334685698</c:v>
                </c:pt>
                <c:pt idx="5">
                  <c:v>0.68502179287173148</c:v>
                </c:pt>
                <c:pt idx="6">
                  <c:v>0.28015743262021076</c:v>
                </c:pt>
                <c:pt idx="7">
                  <c:v>45.724224012286349</c:v>
                </c:pt>
                <c:pt idx="8">
                  <c:v>9.569569125575315</c:v>
                </c:pt>
                <c:pt idx="9">
                  <c:v>2.2672393994606708</c:v>
                </c:pt>
                <c:pt idx="10">
                  <c:v>6.846854487099964E-2</c:v>
                </c:pt>
                <c:pt idx="11">
                  <c:v>1.7563342788808394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853B-4C00-AB97-18BDB11FFA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45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Dat_01!$H$91</c:f>
          <c:strCache>
            <c:ptCount val="1"/>
            <c:pt idx="0">
              <c:v>Histórico 20/03/2018</c:v>
            </c:pt>
          </c:strCache>
        </c:strRef>
      </c:tx>
      <c:layout>
        <c:manualLayout>
          <c:xMode val="edge"/>
          <c:yMode val="edge"/>
          <c:x val="1.4634146341463415E-2"/>
          <c:y val="2.6143790849673203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Dat_01!$G$109:$G$110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B07-4655-B23D-BA600798B352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B07-4655-B23D-BA600798B352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6B07-4655-B23D-BA600798B352}"/>
              </c:ext>
            </c:extLst>
          </c:dPt>
          <c:dLbls>
            <c:dLbl>
              <c:idx val="0"/>
              <c:layout>
                <c:manualLayout>
                  <c:x val="-0.12682926829268298"/>
                  <c:y val="3.660130718954248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B07-4655-B23D-BA600798B352}"/>
                </c:ext>
              </c:extLst>
            </c:dLbl>
            <c:dLbl>
              <c:idx val="1"/>
              <c:layout>
                <c:manualLayout>
                  <c:x val="0.11056910569105685"/>
                  <c:y val="-5.9360815192218619E-3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Dat_01!$H$109:$H$110</c:f>
              <c:numCache>
                <c:formatCode>#,##0.0</c:formatCode>
                <c:ptCount val="2"/>
                <c:pt idx="0">
                  <c:v>36.870183401680237</c:v>
                </c:pt>
                <c:pt idx="1">
                  <c:v>63.129816598319778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07-4655-B23D-BA600798B352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6B07-4655-B23D-BA600798B352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6B07-4655-B23D-BA600798B352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6B07-4655-B23D-BA600798B352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6B07-4655-B23D-BA600798B352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6B07-4655-B23D-BA600798B352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6B07-4655-B23D-BA600798B352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4-6B07-4655-B23D-BA600798B352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6-6B07-4655-B23D-BA600798B352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8-6B07-4655-B23D-BA600798B352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A-6B07-4655-B23D-BA600798B352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C-6B07-4655-B23D-BA600798B352}"/>
              </c:ext>
            </c:extLst>
          </c:dPt>
          <c:dLbls>
            <c:dLbl>
              <c:idx val="0"/>
              <c:layout>
                <c:manualLayout>
                  <c:x val="0.21463414634146341"/>
                  <c:y val="-7.58326385672379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B07-4655-B23D-BA600798B352}"/>
                </c:ext>
              </c:extLst>
            </c:dLbl>
            <c:dLbl>
              <c:idx val="1"/>
              <c:layout>
                <c:manualLayout>
                  <c:x val="0.17929889251648409"/>
                  <c:y val="-3.1372549019607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B07-4655-B23D-BA600798B352}"/>
                </c:ext>
              </c:extLst>
            </c:dLbl>
            <c:dLbl>
              <c:idx val="2"/>
              <c:layout>
                <c:manualLayout>
                  <c:x val="0.10081300813008118"/>
                  <c:y val="-7.32026143790849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B07-4655-B23D-BA600798B352}"/>
                </c:ext>
              </c:extLst>
            </c:dLbl>
            <c:dLbl>
              <c:idx val="3"/>
              <c:layout>
                <c:manualLayout>
                  <c:x val="0.1194973433198899"/>
                  <c:y val="-6.035921980340645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6B07-4655-B23D-BA600798B352}"/>
                </c:ext>
              </c:extLst>
            </c:dLbl>
            <c:dLbl>
              <c:idx val="4"/>
              <c:layout>
                <c:manualLayout>
                  <c:x val="0.1203252032520324"/>
                  <c:y val="5.228758169934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07-4655-B23D-BA600798B352}"/>
                </c:ext>
              </c:extLst>
            </c:dLbl>
            <c:dLbl>
              <c:idx val="5"/>
              <c:layout>
                <c:manualLayout>
                  <c:x val="0.14959349593495924"/>
                  <c:y val="0.100740466265246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07-4655-B23D-BA600798B352}"/>
                </c:ext>
              </c:extLst>
            </c:dLbl>
            <c:dLbl>
              <c:idx val="6"/>
              <c:layout>
                <c:manualLayout>
                  <c:x val="1.9512195121951102E-2"/>
                  <c:y val="0.21467263650867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B07-4655-B23D-BA600798B352}"/>
                </c:ext>
              </c:extLst>
            </c:dLbl>
            <c:dLbl>
              <c:idx val="7"/>
              <c:layout>
                <c:manualLayout>
                  <c:x val="-0.14959349593495941"/>
                  <c:y val="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07-4655-B23D-BA600798B352}"/>
                </c:ext>
              </c:extLst>
            </c:dLbl>
            <c:dLbl>
              <c:idx val="8"/>
              <c:layout>
                <c:manualLayout>
                  <c:x val="-0.14959349593495935"/>
                  <c:y val="-1.0457516339869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07-4655-B23D-BA600798B352}"/>
                </c:ext>
              </c:extLst>
            </c:dLbl>
            <c:dLbl>
              <c:idx val="9"/>
              <c:layout>
                <c:manualLayout>
                  <c:x val="-0.19186979066641063"/>
                  <c:y val="-7.843137254901960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6B07-4655-B23D-BA600798B352}"/>
                </c:ext>
              </c:extLst>
            </c:dLbl>
            <c:dLbl>
              <c:idx val="10"/>
              <c:layout>
                <c:manualLayout>
                  <c:x val="-0.13983739837398379"/>
                  <c:y val="-9.934640522875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B07-4655-B23D-BA600798B352}"/>
                </c:ext>
              </c:extLst>
            </c:dLbl>
            <c:dLbl>
              <c:idx val="11"/>
              <c:layout>
                <c:manualLayout>
                  <c:x val="5.6910569105690999E-2"/>
                  <c:y val="-9.1503267973856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Dat_01!$H$94:$H$105</c:f>
              <c:numCache>
                <c:formatCode>_-* #,##0.0\ _€_-;\-* #,##0.0\ _€_-;_-* "-"??\ _€_-;_-@_-</c:formatCode>
                <c:ptCount val="12"/>
                <c:pt idx="0">
                  <c:v>1.3030501793381193</c:v>
                </c:pt>
                <c:pt idx="1">
                  <c:v>17.050485669038466</c:v>
                </c:pt>
                <c:pt idx="2">
                  <c:v>4.2223545526749469</c:v>
                </c:pt>
                <c:pt idx="3">
                  <c:v>4.1807787657263216</c:v>
                </c:pt>
                <c:pt idx="4">
                  <c:v>9.2823558122383183</c:v>
                </c:pt>
                <c:pt idx="5">
                  <c:v>0.83115842266405715</c:v>
                </c:pt>
                <c:pt idx="6">
                  <c:v>0.24888647651532891</c:v>
                </c:pt>
                <c:pt idx="7">
                  <c:v>38.2252426809995</c:v>
                </c:pt>
                <c:pt idx="8">
                  <c:v>20.082839847922671</c:v>
                </c:pt>
                <c:pt idx="9">
                  <c:v>2.3157603305958769</c:v>
                </c:pt>
                <c:pt idx="10">
                  <c:v>1.3161197854237463</c:v>
                </c:pt>
                <c:pt idx="11">
                  <c:v>0.94096747686264959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B07-4655-B23D-BA600798B35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Dat_01!$A$161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Dat_01!$B$158:$N$158</c:f>
              <c:numCache>
                <c:formatCode>0.0</c:formatCode>
                <c:ptCount val="13"/>
                <c:pt idx="0">
                  <c:v>50.729750654640888</c:v>
                </c:pt>
                <c:pt idx="1">
                  <c:v>51.577597300883276</c:v>
                </c:pt>
                <c:pt idx="2">
                  <c:v>43.322173110126599</c:v>
                </c:pt>
                <c:pt idx="3">
                  <c:v>44.474561066566174</c:v>
                </c:pt>
                <c:pt idx="4">
                  <c:v>51.363551889225725</c:v>
                </c:pt>
                <c:pt idx="5">
                  <c:v>49.072485937103508</c:v>
                </c:pt>
                <c:pt idx="6">
                  <c:v>54.393193125531511</c:v>
                </c:pt>
                <c:pt idx="7">
                  <c:v>45.554714310121604</c:v>
                </c:pt>
                <c:pt idx="8">
                  <c:v>39.25321054805886</c:v>
                </c:pt>
                <c:pt idx="9">
                  <c:v>38.942145289959846</c:v>
                </c:pt>
                <c:pt idx="10">
                  <c:v>38.68938831953399</c:v>
                </c:pt>
                <c:pt idx="11">
                  <c:v>48.392105514275521</c:v>
                </c:pt>
                <c:pt idx="12">
                  <c:v>42.153140102175094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1A-4337-AD86-D2D3C7BBF9BF}"/>
            </c:ext>
          </c:extLst>
        </c:ser>
        <c:ser>
          <c:idx val="0"/>
          <c:order val="1"/>
          <c:tx>
            <c:strRef>
              <c:f>Dat_01!$A$162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Dat_01!$B$159:$N$159</c:f>
              <c:numCache>
                <c:formatCode>0.0</c:formatCode>
                <c:ptCount val="13"/>
                <c:pt idx="0">
                  <c:v>49.270249345359105</c:v>
                </c:pt>
                <c:pt idx="1">
                  <c:v>48.422402699116702</c:v>
                </c:pt>
                <c:pt idx="2">
                  <c:v>56.677826889873415</c:v>
                </c:pt>
                <c:pt idx="3">
                  <c:v>55.525438933433847</c:v>
                </c:pt>
                <c:pt idx="4">
                  <c:v>48.636448110774275</c:v>
                </c:pt>
                <c:pt idx="5">
                  <c:v>50.927514062896492</c:v>
                </c:pt>
                <c:pt idx="6">
                  <c:v>45.606806874468489</c:v>
                </c:pt>
                <c:pt idx="7">
                  <c:v>54.445285689878396</c:v>
                </c:pt>
                <c:pt idx="8">
                  <c:v>60.74678945194114</c:v>
                </c:pt>
                <c:pt idx="9">
                  <c:v>61.057854710040154</c:v>
                </c:pt>
                <c:pt idx="10">
                  <c:v>61.31061168046601</c:v>
                </c:pt>
                <c:pt idx="11">
                  <c:v>51.607894485724479</c:v>
                </c:pt>
                <c:pt idx="12">
                  <c:v>57.846859897824906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81A-4337-AD86-D2D3C7BBF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0936232"/>
        <c:axId val="690935840"/>
      </c:lineChart>
      <c:catAx>
        <c:axId val="690936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5840"/>
        <c:crosses val="autoZero"/>
        <c:auto val="1"/>
        <c:lblAlgn val="ctr"/>
        <c:lblOffset val="100"/>
        <c:noMultiLvlLbl val="1"/>
      </c:catAx>
      <c:valAx>
        <c:axId val="690935840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6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6.7305012799325995E-3"/>
          <c:w val="0.988175961557333"/>
          <c:h val="0.1517517254787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23155001909591022"/>
          <c:w val="0.89139096346862223"/>
          <c:h val="0.6213406141569765"/>
        </c:manualLayout>
      </c:layout>
      <c:areaChart>
        <c:grouping val="standard"/>
        <c:varyColors val="0"/>
        <c:ser>
          <c:idx val="1"/>
          <c:order val="2"/>
          <c:tx>
            <c:v>Emisiones (ktCO2 eq.)</c:v>
          </c:tx>
          <c:spPr>
            <a:solidFill>
              <a:srgbClr val="DFA7A3"/>
            </a:solidFill>
            <a:ln w="25400">
              <a:noFill/>
            </a:ln>
            <a:effectLst/>
          </c:spPr>
          <c:val>
            <c:numRef>
              <c:f>Dat_01!$C$262:$O$262</c:f>
              <c:numCache>
                <c:formatCode>#,##0.000;\(#,##0.000\)</c:formatCode>
                <c:ptCount val="13"/>
                <c:pt idx="0">
                  <c:v>2927826.3938500001</c:v>
                </c:pt>
                <c:pt idx="1">
                  <c:v>2317141.7811699999</c:v>
                </c:pt>
                <c:pt idx="2">
                  <c:v>2992816.7306599999</c:v>
                </c:pt>
                <c:pt idx="3">
                  <c:v>2552610.18731</c:v>
                </c:pt>
                <c:pt idx="4">
                  <c:v>1858806.98095</c:v>
                </c:pt>
                <c:pt idx="5">
                  <c:v>1712600.3109200001</c:v>
                </c:pt>
                <c:pt idx="6">
                  <c:v>1828034.54575</c:v>
                </c:pt>
                <c:pt idx="7">
                  <c:v>2535138.6102900002</c:v>
                </c:pt>
                <c:pt idx="8">
                  <c:v>3357214.5471100002</c:v>
                </c:pt>
                <c:pt idx="9">
                  <c:v>3075847.9321300001</c:v>
                </c:pt>
                <c:pt idx="10">
                  <c:v>2910674.7055299999</c:v>
                </c:pt>
                <c:pt idx="11">
                  <c:v>2190876.8239799999</c:v>
                </c:pt>
                <c:pt idx="12">
                  <c:v>2486151.44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1-4685-AE04-F93B5205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6839376"/>
        <c:axId val="993225888"/>
      </c:areaChart>
      <c:lineChart>
        <c:grouping val="standard"/>
        <c:varyColors val="0"/>
        <c:ser>
          <c:idx val="2"/>
          <c:order val="0"/>
          <c:tx>
            <c:strRef>
              <c:f>Dat_01!$A$169</c:f>
              <c:strCache>
                <c:ptCount val="1"/>
                <c:pt idx="0">
                  <c:v>Sin emisiones CO2: hidráulica, turbinación bombeo, nuclear,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836960278205306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0-4F10-A4EA-C6D89D74D7EB}"/>
                </c:ext>
              </c:extLst>
            </c:dLbl>
            <c:dLbl>
              <c:idx val="2"/>
              <c:layout>
                <c:manualLayout>
                  <c:x val="-3.8449351291372898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0-4F10-A4EA-C6D89D74D7EB}"/>
                </c:ext>
              </c:extLst>
            </c:dLbl>
            <c:dLbl>
              <c:idx val="3"/>
              <c:layout>
                <c:manualLayout>
                  <c:x val="-3.8449351291372898E-2"/>
                  <c:y val="-3.961808179550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0-4F10-A4EA-C6D89D74D7EB}"/>
                </c:ext>
              </c:extLst>
            </c:dLbl>
            <c:dLbl>
              <c:idx val="6"/>
              <c:layout>
                <c:manualLayout>
                  <c:x val="-3.3030764771621576E-2"/>
                  <c:y val="-3.9618081795503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0-4F10-A4EA-C6D89D74D7EB}"/>
                </c:ext>
              </c:extLst>
            </c:dLbl>
            <c:dLbl>
              <c:idx val="7"/>
              <c:layout>
                <c:manualLayout>
                  <c:x val="-3.3030764771621576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0-4F10-A4EA-C6D89D74D7EB}"/>
                </c:ext>
              </c:extLst>
            </c:dLbl>
            <c:dLbl>
              <c:idx val="10"/>
              <c:layout>
                <c:manualLayout>
                  <c:x val="-2.9418373758454051E-2"/>
                  <c:y val="-6.0257916676824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0-4F10-A4EA-C6D89D74D7EB}"/>
                </c:ext>
              </c:extLst>
            </c:dLbl>
            <c:dLbl>
              <c:idx val="12"/>
              <c:layout>
                <c:manualLayout>
                  <c:x val="-2.9418373758454051E-2"/>
                  <c:y val="-6.02579166768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Dat_01!$B$166:$N$166</c:f>
              <c:numCache>
                <c:formatCode>0.0</c:formatCode>
                <c:ptCount val="13"/>
                <c:pt idx="0">
                  <c:v>67.428586410474409</c:v>
                </c:pt>
                <c:pt idx="1">
                  <c:v>73.530586605982336</c:v>
                </c:pt>
                <c:pt idx="2">
                  <c:v>68.858056737002698</c:v>
                </c:pt>
                <c:pt idx="3">
                  <c:v>70.966931893503329</c:v>
                </c:pt>
                <c:pt idx="4">
                  <c:v>78.723842110412363</c:v>
                </c:pt>
                <c:pt idx="5">
                  <c:v>75.443029276449508</c:v>
                </c:pt>
                <c:pt idx="6">
                  <c:v>73.797731280440502</c:v>
                </c:pt>
                <c:pt idx="7">
                  <c:v>66.073810879479339</c:v>
                </c:pt>
                <c:pt idx="8">
                  <c:v>62.548816903821354</c:v>
                </c:pt>
                <c:pt idx="9">
                  <c:v>63.755219698054461</c:v>
                </c:pt>
                <c:pt idx="10">
                  <c:v>63.580612737912311</c:v>
                </c:pt>
                <c:pt idx="11">
                  <c:v>72.24998831419056</c:v>
                </c:pt>
                <c:pt idx="12">
                  <c:v>67.66201109876306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2E0-4F10-A4EA-C6D89D74D7EB}"/>
            </c:ext>
          </c:extLst>
        </c:ser>
        <c:ser>
          <c:idx val="0"/>
          <c:order val="1"/>
          <c:tx>
            <c:strRef>
              <c:f>Dat_01!$A$170</c:f>
              <c:strCache>
                <c:ptCount val="1"/>
                <c:pt idx="0">
                  <c:v>Con emisiones CO2: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612178251870123E-2"/>
                  <c:y val="6.7709059587365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5.5325158658573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E0-4F10-A4EA-C6D89D74D7EB}"/>
                </c:ext>
              </c:extLst>
            </c:dLbl>
            <c:dLbl>
              <c:idx val="2"/>
              <c:layout>
                <c:manualLayout>
                  <c:x val="-2.7612178251870123E-2"/>
                  <c:y val="4.7069224706044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E0-4F10-A4EA-C6D89D74D7EB}"/>
                </c:ext>
              </c:extLst>
            </c:dLbl>
            <c:dLbl>
              <c:idx val="3"/>
              <c:layout>
                <c:manualLayout>
                  <c:x val="-2.9418373758453985E-2"/>
                  <c:y val="3.4685323777252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2E0-4F10-A4EA-C6D89D74D7EB}"/>
                </c:ext>
              </c:extLst>
            </c:dLbl>
            <c:dLbl>
              <c:idx val="4"/>
              <c:layout>
                <c:manualLayout>
                  <c:x val="-3.1224569265037715E-2"/>
                  <c:y val="4.2941257729780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E0-4F10-A4EA-C6D89D74D7EB}"/>
                </c:ext>
              </c:extLst>
            </c:dLbl>
            <c:dLbl>
              <c:idx val="5"/>
              <c:layout>
                <c:manualLayout>
                  <c:x val="-2.7612178251870123E-2"/>
                  <c:y val="3.0557356800988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2E0-4F10-A4EA-C6D89D74D7EB}"/>
                </c:ext>
              </c:extLst>
            </c:dLbl>
            <c:dLbl>
              <c:idx val="6"/>
              <c:layout>
                <c:manualLayout>
                  <c:x val="-2.9418373758453919E-2"/>
                  <c:y val="5.1197191682309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E0-4F10-A4EA-C6D89D74D7EB}"/>
                </c:ext>
              </c:extLst>
            </c:dLbl>
            <c:dLbl>
              <c:idx val="7"/>
              <c:layout>
                <c:manualLayout>
                  <c:x val="-2.9418373758453919E-2"/>
                  <c:y val="3.0557356800988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2E0-4F10-A4EA-C6D89D74D7EB}"/>
                </c:ext>
              </c:extLst>
            </c:dLbl>
            <c:dLbl>
              <c:idx val="8"/>
              <c:layout>
                <c:manualLayout>
                  <c:x val="-3.1224569265037715E-2"/>
                  <c:y val="5.1197191682308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E0-4F10-A4EA-C6D89D74D7EB}"/>
                </c:ext>
              </c:extLst>
            </c:dLbl>
            <c:dLbl>
              <c:idx val="9"/>
              <c:layout>
                <c:manualLayout>
                  <c:x val="-2.9418373758453919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2E0-4F10-A4EA-C6D89D74D7EB}"/>
                </c:ext>
              </c:extLst>
            </c:dLbl>
            <c:dLbl>
              <c:idx val="10"/>
              <c:layout>
                <c:manualLayout>
                  <c:x val="-2.3999787238702532E-2"/>
                  <c:y val="5.5325158658573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2E0-4F10-A4EA-C6D89D74D7EB}"/>
                </c:ext>
              </c:extLst>
            </c:dLbl>
            <c:dLbl>
              <c:idx val="11"/>
              <c:layout>
                <c:manualLayout>
                  <c:x val="-2.3999787238702532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2E0-4F10-A4EA-C6D89D74D7EB}"/>
                </c:ext>
              </c:extLst>
            </c:dLbl>
            <c:dLbl>
              <c:idx val="12"/>
              <c:layout>
                <c:manualLayout>
                  <c:x val="-2.7612178251870255E-2"/>
                  <c:y val="4.7069224706044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Dat_01!$B$167:$N$167</c:f>
              <c:numCache>
                <c:formatCode>0.0</c:formatCode>
                <c:ptCount val="13"/>
                <c:pt idx="0">
                  <c:v>32.571413589525569</c:v>
                </c:pt>
                <c:pt idx="1">
                  <c:v>26.46941339401765</c:v>
                </c:pt>
                <c:pt idx="2">
                  <c:v>31.141943262997316</c:v>
                </c:pt>
                <c:pt idx="3">
                  <c:v>29.0330681064967</c:v>
                </c:pt>
                <c:pt idx="4">
                  <c:v>21.276157889587672</c:v>
                </c:pt>
                <c:pt idx="5">
                  <c:v>24.556970723550513</c:v>
                </c:pt>
                <c:pt idx="6">
                  <c:v>26.202268719559498</c:v>
                </c:pt>
                <c:pt idx="7">
                  <c:v>33.926189120520633</c:v>
                </c:pt>
                <c:pt idx="8">
                  <c:v>37.451183096178653</c:v>
                </c:pt>
                <c:pt idx="9">
                  <c:v>36.244780301945539</c:v>
                </c:pt>
                <c:pt idx="10">
                  <c:v>36.419387262087653</c:v>
                </c:pt>
                <c:pt idx="11">
                  <c:v>27.75001168580944</c:v>
                </c:pt>
                <c:pt idx="12">
                  <c:v>32.337988901236919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2E0-4F10-A4EA-C6D89D74D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38976"/>
        <c:axId val="690939368"/>
      </c:lineChart>
      <c:catAx>
        <c:axId val="69093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9368"/>
        <c:crosses val="autoZero"/>
        <c:auto val="1"/>
        <c:lblAlgn val="ctr"/>
        <c:lblOffset val="100"/>
        <c:noMultiLvlLbl val="1"/>
      </c:catAx>
      <c:valAx>
        <c:axId val="690939368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1.9868150572421757E-2"/>
              <c:y val="0.16412374149825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8976"/>
        <c:crosses val="autoZero"/>
        <c:crossBetween val="between"/>
        <c:majorUnit val="20"/>
      </c:valAx>
      <c:valAx>
        <c:axId val="993225888"/>
        <c:scaling>
          <c:orientation val="minMax"/>
          <c:max val="750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986839376"/>
        <c:crosses val="max"/>
        <c:crossBetween val="between"/>
        <c:majorUnit val="1500000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</c:dispUnitsLbl>
        </c:dispUnits>
      </c:valAx>
      <c:catAx>
        <c:axId val="986839376"/>
        <c:scaling>
          <c:orientation val="minMax"/>
        </c:scaling>
        <c:delete val="1"/>
        <c:axPos val="b"/>
        <c:majorTickMark val="out"/>
        <c:minorTickMark val="none"/>
        <c:tickLblPos val="nextTo"/>
        <c:crossAx val="993225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1.3801061245053349E-2"/>
          <c:w val="1"/>
          <c:h val="0.155739743058433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Dat_01!$A$142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Dat_01!$B$142:$N$142</c:f>
              <c:numCache>
                <c:formatCode>#,##0.0</c:formatCode>
                <c:ptCount val="13"/>
                <c:pt idx="0">
                  <c:v>2663.0366552999999</c:v>
                </c:pt>
                <c:pt idx="1">
                  <c:v>4638.9097267759998</c:v>
                </c:pt>
                <c:pt idx="2">
                  <c:v>3728.0292889299999</c:v>
                </c:pt>
                <c:pt idx="3">
                  <c:v>2837.657916438</c:v>
                </c:pt>
                <c:pt idx="4">
                  <c:v>3112.6634564460001</c:v>
                </c:pt>
                <c:pt idx="5">
                  <c:v>2861.140589526</c:v>
                </c:pt>
                <c:pt idx="6">
                  <c:v>2858.8119126259999</c:v>
                </c:pt>
                <c:pt idx="7">
                  <c:v>2261.9890331500001</c:v>
                </c:pt>
                <c:pt idx="8">
                  <c:v>1836.794019208</c:v>
                </c:pt>
                <c:pt idx="9">
                  <c:v>1880.071061444</c:v>
                </c:pt>
                <c:pt idx="10">
                  <c:v>1674.6629713719999</c:v>
                </c:pt>
                <c:pt idx="11">
                  <c:v>1889.582088462</c:v>
                </c:pt>
                <c:pt idx="12">
                  <c:v>2481.4675999999999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E-49E7-B2B3-B66EBA2475E3}"/>
            </c:ext>
          </c:extLst>
        </c:ser>
        <c:ser>
          <c:idx val="0"/>
          <c:order val="1"/>
          <c:tx>
            <c:strRef>
              <c:f>Dat_01!$A$147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Dat_01!$B$147:$N$147</c:f>
              <c:numCache>
                <c:formatCode>#,##0.0</c:formatCode>
                <c:ptCount val="13"/>
                <c:pt idx="0">
                  <c:v>7333.0039489999999</c:v>
                </c:pt>
                <c:pt idx="1">
                  <c:v>5408.226525</c:v>
                </c:pt>
                <c:pt idx="2">
                  <c:v>4566.2618409999995</c:v>
                </c:pt>
                <c:pt idx="3">
                  <c:v>4177.8229469999997</c:v>
                </c:pt>
                <c:pt idx="4">
                  <c:v>5503.3027240000001</c:v>
                </c:pt>
                <c:pt idx="5">
                  <c:v>3639.4121740000001</c:v>
                </c:pt>
                <c:pt idx="6">
                  <c:v>3893.3025899999998</c:v>
                </c:pt>
                <c:pt idx="7">
                  <c:v>3239.7574049999998</c:v>
                </c:pt>
                <c:pt idx="8">
                  <c:v>4098.9654170000003</c:v>
                </c:pt>
                <c:pt idx="9">
                  <c:v>3508.2136180000002</c:v>
                </c:pt>
                <c:pt idx="10">
                  <c:v>3861.739051</c:v>
                </c:pt>
                <c:pt idx="11">
                  <c:v>5668.7251050000004</c:v>
                </c:pt>
                <c:pt idx="12">
                  <c:v>4149.5803999999998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2E-49E7-B2B3-B66EBA2475E3}"/>
            </c:ext>
          </c:extLst>
        </c:ser>
        <c:ser>
          <c:idx val="1"/>
          <c:order val="2"/>
          <c:tx>
            <c:strRef>
              <c:f>Dat_01!$A$148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Dat_01!$B$148:$N$148</c:f>
              <c:numCache>
                <c:formatCode>#,##0.0</c:formatCode>
                <c:ptCount val="13"/>
                <c:pt idx="0">
                  <c:v>501.06963000000002</c:v>
                </c:pt>
                <c:pt idx="1">
                  <c:v>494.84732300000002</c:v>
                </c:pt>
                <c:pt idx="2">
                  <c:v>600.39744800000005</c:v>
                </c:pt>
                <c:pt idx="3">
                  <c:v>944.08554600000002</c:v>
                </c:pt>
                <c:pt idx="4">
                  <c:v>1036.1513669999999</c:v>
                </c:pt>
                <c:pt idx="5">
                  <c:v>1114.1793740000001</c:v>
                </c:pt>
                <c:pt idx="6">
                  <c:v>1592.9087930000001</c:v>
                </c:pt>
                <c:pt idx="7">
                  <c:v>1758.5537770000001</c:v>
                </c:pt>
                <c:pt idx="8">
                  <c:v>1862.4341910000001</c:v>
                </c:pt>
                <c:pt idx="9">
                  <c:v>1768.5077249999999</c:v>
                </c:pt>
                <c:pt idx="10">
                  <c:v>1421.280176</c:v>
                </c:pt>
                <c:pt idx="11">
                  <c:v>1273.972949</c:v>
                </c:pt>
                <c:pt idx="12">
                  <c:v>789.42206363100001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2E-49E7-B2B3-B66EBA2475E3}"/>
            </c:ext>
          </c:extLst>
        </c:ser>
        <c:ser>
          <c:idx val="3"/>
          <c:order val="3"/>
          <c:tx>
            <c:strRef>
              <c:f>Dat_01!$A$149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Dat_01!$B$149:$N$149</c:f>
              <c:numCache>
                <c:formatCode>#,##0.0</c:formatCode>
                <c:ptCount val="13"/>
                <c:pt idx="0">
                  <c:v>69.970612000000003</c:v>
                </c:pt>
                <c:pt idx="1">
                  <c:v>68.978174999999993</c:v>
                </c:pt>
                <c:pt idx="2">
                  <c:v>85.969313</c:v>
                </c:pt>
                <c:pt idx="3">
                  <c:v>227.955996</c:v>
                </c:pt>
                <c:pt idx="4">
                  <c:v>235.96742</c:v>
                </c:pt>
                <c:pt idx="5">
                  <c:v>206.86543699999999</c:v>
                </c:pt>
                <c:pt idx="6">
                  <c:v>552.48475099999996</c:v>
                </c:pt>
                <c:pt idx="7">
                  <c:v>711.64684799999998</c:v>
                </c:pt>
                <c:pt idx="8">
                  <c:v>796.17204200000003</c:v>
                </c:pt>
                <c:pt idx="9">
                  <c:v>744.54166099999998</c:v>
                </c:pt>
                <c:pt idx="10">
                  <c:v>452.15903400000002</c:v>
                </c:pt>
                <c:pt idx="11">
                  <c:v>340.27470899999997</c:v>
                </c:pt>
                <c:pt idx="12">
                  <c:v>123.95233636899999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2E-49E7-B2B3-B66EBA2475E3}"/>
            </c:ext>
          </c:extLst>
        </c:ser>
        <c:ser>
          <c:idx val="5"/>
          <c:order val="4"/>
          <c:tx>
            <c:strRef>
              <c:f>Dat_01!$A$150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Dat_01!$B$150:$N$150</c:f>
              <c:numCache>
                <c:formatCode>#,##0.0</c:formatCode>
                <c:ptCount val="13"/>
                <c:pt idx="0">
                  <c:v>308.17036200000001</c:v>
                </c:pt>
                <c:pt idx="1">
                  <c:v>299.96974799999998</c:v>
                </c:pt>
                <c:pt idx="2">
                  <c:v>334.00257699999997</c:v>
                </c:pt>
                <c:pt idx="3">
                  <c:v>344.27402000000001</c:v>
                </c:pt>
                <c:pt idx="4">
                  <c:v>345.27097199999997</c:v>
                </c:pt>
                <c:pt idx="5">
                  <c:v>336.454024</c:v>
                </c:pt>
                <c:pt idx="6">
                  <c:v>385.38923699999998</c:v>
                </c:pt>
                <c:pt idx="7">
                  <c:v>378.80650600000001</c:v>
                </c:pt>
                <c:pt idx="8">
                  <c:v>348.45388100000002</c:v>
                </c:pt>
                <c:pt idx="9">
                  <c:v>367.45549899999997</c:v>
                </c:pt>
                <c:pt idx="10">
                  <c:v>394.85902099999998</c:v>
                </c:pt>
                <c:pt idx="11">
                  <c:v>413.99197600000002</c:v>
                </c:pt>
                <c:pt idx="12">
                  <c:v>406.75990000000002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2E-49E7-B2B3-B66EBA2475E3}"/>
            </c:ext>
          </c:extLst>
        </c:ser>
        <c:ser>
          <c:idx val="4"/>
          <c:order val="5"/>
          <c:tx>
            <c:strRef>
              <c:f>Dat_01!$A$153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Dat_01!$B$153:$N$153</c:f>
              <c:numCache>
                <c:formatCode>#,##0.0</c:formatCode>
                <c:ptCount val="13"/>
                <c:pt idx="0">
                  <c:v>60.149876499999998</c:v>
                </c:pt>
                <c:pt idx="1">
                  <c:v>65.337529000000004</c:v>
                </c:pt>
                <c:pt idx="2">
                  <c:v>55.184336000000002</c:v>
                </c:pt>
                <c:pt idx="3">
                  <c:v>55.978365500000002</c:v>
                </c:pt>
                <c:pt idx="4">
                  <c:v>51.389567499999998</c:v>
                </c:pt>
                <c:pt idx="5">
                  <c:v>29.749654499999998</c:v>
                </c:pt>
                <c:pt idx="6">
                  <c:v>30.791229000000001</c:v>
                </c:pt>
                <c:pt idx="7">
                  <c:v>27.458276000000001</c:v>
                </c:pt>
                <c:pt idx="8">
                  <c:v>31.820180000000001</c:v>
                </c:pt>
                <c:pt idx="9">
                  <c:v>66.037119500000003</c:v>
                </c:pt>
                <c:pt idx="10">
                  <c:v>58.507686499999998</c:v>
                </c:pt>
                <c:pt idx="11">
                  <c:v>64.967821499999999</c:v>
                </c:pt>
                <c:pt idx="12">
                  <c:v>67.192899999999995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2E-49E7-B2B3-B66EBA24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2112"/>
        <c:axId val="690942504"/>
      </c:barChart>
      <c:catAx>
        <c:axId val="690942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504"/>
        <c:crosses val="autoZero"/>
        <c:auto val="1"/>
        <c:lblAlgn val="ctr"/>
        <c:lblOffset val="100"/>
        <c:noMultiLvlLbl val="1"/>
      </c:catAx>
      <c:valAx>
        <c:axId val="690942504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999999146679288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232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19050</xdr:rowOff>
    </xdr:from>
    <xdr:to>
      <xdr:col>8</xdr:col>
      <xdr:colOff>1647824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 flipH="1">
          <a:off x="198119" y="476250"/>
          <a:ext cx="7431405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35B0B7A-09EA-46B0-B36F-EDF6A8CC0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4429B967-08ED-476F-BA7D-3E642330DA53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absoluteAnchor>
    <xdr:pos x="2171701" y="742950"/>
    <xdr:ext cx="6734174" cy="3638550"/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0FB4E93-4BC4-466A-9BFC-33B4E17E1A2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96283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0.43669</cdr:x>
      <cdr:y>0.94526</cdr:y>
    </cdr:from>
    <cdr:to>
      <cdr:x>0.52244</cdr:x>
      <cdr:y>0.9899</cdr:y>
    </cdr:to>
    <cdr:sp macro="" textlink="">
      <cdr:nvSpPr>
        <cdr:cNvPr id="2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1812" y="4276725"/>
          <a:ext cx="644431" cy="201944"/>
        </a:xfrm>
        <a:prstGeom xmlns:a="http://schemas.openxmlformats.org/drawingml/2006/main" prst="rect">
          <a:avLst/>
        </a:prstGeom>
        <a:pattFill xmlns:a="http://schemas.openxmlformats.org/drawingml/2006/main" prst="pct25">
          <a:fgClr>
            <a:srgbClr val="FFFF00"/>
          </a:fgClr>
          <a:bgClr>
            <a:srgbClr val="FFFF00"/>
          </a:bgClr>
        </a:patt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BAJO</a:t>
          </a:r>
        </a:p>
      </cdr:txBody>
    </cdr:sp>
  </cdr:relSizeAnchor>
  <cdr:relSizeAnchor xmlns:cdr="http://schemas.openxmlformats.org/drawingml/2006/chartDrawing">
    <cdr:from>
      <cdr:x>0.52541</cdr:x>
      <cdr:y>0.94733</cdr:y>
    </cdr:from>
    <cdr:to>
      <cdr:x>0.61116</cdr:x>
      <cdr:y>0.99033</cdr:y>
    </cdr:to>
    <cdr:sp macro="" textlink="">
      <cdr:nvSpPr>
        <cdr:cNvPr id="3" name="Texto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562" y="4286086"/>
          <a:ext cx="644431" cy="194548"/>
        </a:xfrm>
        <a:prstGeom xmlns:a="http://schemas.openxmlformats.org/drawingml/2006/main" prst="rect">
          <a:avLst/>
        </a:prstGeom>
        <a:solidFill xmlns:a="http://schemas.openxmlformats.org/drawingml/2006/main">
          <a:srgbClr val="00800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chemeClr val="bg1"/>
              </a:solidFill>
              <a:latin typeface="Arial"/>
              <a:cs typeface="Arial"/>
            </a:rPr>
            <a:t>ALTO</a:t>
          </a:r>
        </a:p>
      </cdr:txBody>
    </cdr:sp>
  </cdr:relSizeAnchor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5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0.01521</cdr:x>
      <cdr:y>0.00632</cdr:y>
    </cdr:from>
    <cdr:to>
      <cdr:x>0.07731</cdr:x>
      <cdr:y>0.05684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:a16="http://schemas.microsoft.com/office/drawing/2014/main" id="{2A183E9B-886E-4402-9EB0-724CC2E3AF6E}"/>
            </a:ext>
          </a:extLst>
        </cdr:cNvPr>
        <cdr:cNvSpPr txBox="1"/>
      </cdr:nvSpPr>
      <cdr:spPr>
        <a:xfrm xmlns:a="http://schemas.openxmlformats.org/drawingml/2006/main">
          <a:off x="114300" y="28575"/>
          <a:ext cx="4667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cdr:txBody>
    </cdr:sp>
  </cdr:relSizeAnchor>
  <cdr:relSizeAnchor xmlns:cdr="http://schemas.openxmlformats.org/drawingml/2006/chartDrawing">
    <cdr:from>
      <cdr:x>0.27828</cdr:x>
      <cdr:y>0.06546</cdr:y>
    </cdr:from>
    <cdr:to>
      <cdr:x>0.28446</cdr:x>
      <cdr:y>0.89054</cdr:y>
    </cdr:to>
    <cdr:sp macro="" textlink="">
      <cdr:nvSpPr>
        <cdr:cNvPr id="10" name="Line 5">
          <a:extLst xmlns:a="http://schemas.openxmlformats.org/drawingml/2006/main">
            <a:ext uri="{FF2B5EF4-FFF2-40B4-BE49-F238E27FC236}">
              <a16:creationId xmlns:a16="http://schemas.microsoft.com/office/drawing/2014/main" id="{73A38E22-0EE1-421B-A54D-857D44F51AAB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873995" y="238167"/>
          <a:ext cx="41617" cy="300209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1</xdr:row>
      <xdr:rowOff>133350</xdr:rowOff>
    </xdr:from>
    <xdr:to>
      <xdr:col>1</xdr:col>
      <xdr:colOff>914400</xdr:colOff>
      <xdr:row>2</xdr:row>
      <xdr:rowOff>142875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C258B9CC-8D20-41F0-AA03-63D3645F4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9525</xdr:colOff>
      <xdr:row>3</xdr:row>
      <xdr:rowOff>28575</xdr:rowOff>
    </xdr:from>
    <xdr:to>
      <xdr:col>4</xdr:col>
      <xdr:colOff>4785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75DF015B-45BE-46E7-8E9D-CD0EB7CDE0DA}"/>
            </a:ext>
          </a:extLst>
        </xdr:cNvPr>
        <xdr:cNvSpPr>
          <a:spLocks noChangeShapeType="1"/>
        </xdr:cNvSpPr>
      </xdr:nvSpPr>
      <xdr:spPr bwMode="auto">
        <a:xfrm flipH="1">
          <a:off x="190500" y="485775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104775</xdr:rowOff>
    </xdr:from>
    <xdr:to>
      <xdr:col>4</xdr:col>
      <xdr:colOff>9525</xdr:colOff>
      <xdr:row>19</xdr:row>
      <xdr:rowOff>95250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19F2C6E-18EA-4250-8197-35D16D0CD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28575</xdr:rowOff>
    </xdr:from>
    <xdr:to>
      <xdr:col>3</xdr:col>
      <xdr:colOff>7043760</xdr:colOff>
      <xdr:row>3</xdr:row>
      <xdr:rowOff>28575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51435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0.20513</cdr:x>
      <cdr:y>0.09752</cdr:y>
    </cdr:from>
    <cdr:to>
      <cdr:x>0.20521</cdr:x>
      <cdr:y>0.76016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36109" y="299085"/>
          <a:ext cx="560" cy="20323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0.13071</cdr:x>
      <cdr:y>0.84994</cdr:y>
    </cdr:from>
    <cdr:to>
      <cdr:x>0.98586</cdr:x>
      <cdr:y>0.92462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915103" y="260681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0.21496</cdr:x>
      <cdr:y>0.65517</cdr:y>
    </cdr:from>
    <cdr:to>
      <cdr:x>0.34558</cdr:x>
      <cdr:y>0.74993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4925" y="2009439"/>
          <a:ext cx="914455" cy="2906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0.70477</cdr:x>
      <cdr:y>0.22486</cdr:y>
    </cdr:from>
    <cdr:to>
      <cdr:x>0.84336</cdr:x>
      <cdr:y>0.29842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3973" y="689643"/>
          <a:ext cx="970252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0.08145</cdr:x>
      <cdr:y>0.87483</cdr:y>
    </cdr:from>
    <cdr:to>
      <cdr:x>0.12436</cdr:x>
      <cdr:y>0.89481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70233" y="2683157"/>
          <a:ext cx="300407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>
          <a:extLst>
            <a:ext uri="{FF2B5EF4-FFF2-40B4-BE49-F238E27FC236}">
              <a16:creationId xmlns:a16="http://schemas.microsoft.com/office/drawing/2014/main" id="{00000000-0008-0000-1200-000032000000}"/>
            </a:ext>
          </a:extLst>
        </xdr:cNvPr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>
          <a:extLst>
            <a:ext uri="{FF2B5EF4-FFF2-40B4-BE49-F238E27FC236}">
              <a16:creationId xmlns:a16="http://schemas.microsoft.com/office/drawing/2014/main" id="{00000000-0008-0000-1200-000038000000}"/>
            </a:ext>
          </a:extLst>
        </xdr:cNvPr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1200-000048000000}"/>
            </a:ext>
          </a:extLst>
        </xdr:cNvPr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249555</xdr:colOff>
      <xdr:row>9</xdr:row>
      <xdr:rowOff>57150</xdr:rowOff>
    </xdr:from>
    <xdr:to>
      <xdr:col>4</xdr:col>
      <xdr:colOff>485775</xdr:colOff>
      <xdr:row>10</xdr:row>
      <xdr:rowOff>54075</xdr:rowOff>
    </xdr:to>
    <xdr:sp macro="" textlink="'Data 3'!F70">
      <xdr:nvSpPr>
        <xdr:cNvPr id="100" name="Text Box 45">
          <a:extLst>
            <a:ext uri="{FF2B5EF4-FFF2-40B4-BE49-F238E27FC236}">
              <a16:creationId xmlns:a16="http://schemas.microsoft.com/office/drawing/2014/main" id="{00000000-0008-0000-1200-00006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106930" y="1600200"/>
          <a:ext cx="236220" cy="158850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36,4%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9</xdr:row>
      <xdr:rowOff>38100</xdr:rowOff>
    </xdr:from>
    <xdr:to>
      <xdr:col>4</xdr:col>
      <xdr:colOff>828675</xdr:colOff>
      <xdr:row>10</xdr:row>
      <xdr:rowOff>35925</xdr:rowOff>
    </xdr:to>
    <xdr:sp macro="" textlink="'Data 3'!H70">
      <xdr:nvSpPr>
        <xdr:cNvPr id="103" name="Text Box 49">
          <a:extLst>
            <a:ext uri="{FF2B5EF4-FFF2-40B4-BE49-F238E27FC236}">
              <a16:creationId xmlns:a16="http://schemas.microsoft.com/office/drawing/2014/main" id="{00000000-0008-0000-1200-00006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30780" y="1581150"/>
          <a:ext cx="255270" cy="15975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43,0%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9</xdr:row>
      <xdr:rowOff>57150</xdr:rowOff>
    </xdr:from>
    <xdr:to>
      <xdr:col>4</xdr:col>
      <xdr:colOff>1152525</xdr:colOff>
      <xdr:row>10</xdr:row>
      <xdr:rowOff>38101</xdr:rowOff>
    </xdr:to>
    <xdr:sp macro="" textlink="'Data 3'!J70">
      <xdr:nvSpPr>
        <xdr:cNvPr id="104" name="Text Box 109">
          <a:extLst>
            <a:ext uri="{FF2B5EF4-FFF2-40B4-BE49-F238E27FC236}">
              <a16:creationId xmlns:a16="http://schemas.microsoft.com/office/drawing/2014/main" id="{00000000-0008-0000-1200-00006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48280" y="1600200"/>
          <a:ext cx="261620" cy="142876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38,1%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>
          <a:extLst>
            <a:ext uri="{FF2B5EF4-FFF2-40B4-BE49-F238E27FC236}">
              <a16:creationId xmlns:a16="http://schemas.microsoft.com/office/drawing/2014/main" id="{00000000-0008-0000-1200-00006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927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>
          <a:extLst>
            <a:ext uri="{FF2B5EF4-FFF2-40B4-BE49-F238E27FC236}">
              <a16:creationId xmlns:a16="http://schemas.microsoft.com/office/drawing/2014/main" id="{00000000-0008-0000-1200-00006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391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>
          <a:extLst>
            <a:ext uri="{FF2B5EF4-FFF2-40B4-BE49-F238E27FC236}">
              <a16:creationId xmlns:a16="http://schemas.microsoft.com/office/drawing/2014/main" id="{00000000-0008-0000-1200-00006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1.318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1497330</xdr:colOff>
      <xdr:row>7</xdr:row>
      <xdr:rowOff>104775</xdr:rowOff>
    </xdr:from>
    <xdr:to>
      <xdr:col>4</xdr:col>
      <xdr:colOff>1821180</xdr:colOff>
      <xdr:row>8</xdr:row>
      <xdr:rowOff>142875</xdr:rowOff>
    </xdr:to>
    <xdr:sp macro="" textlink="'Data 3'!E70">
      <xdr:nvSpPr>
        <xdr:cNvPr id="108" name="Texto 239">
          <a:extLst>
            <a:ext uri="{FF2B5EF4-FFF2-40B4-BE49-F238E27FC236}">
              <a16:creationId xmlns:a16="http://schemas.microsoft.com/office/drawing/2014/main" id="{00000000-0008-0000-1200-00006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4705" y="13239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5.204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1743075</xdr:colOff>
      <xdr:row>7</xdr:row>
      <xdr:rowOff>85725</xdr:rowOff>
    </xdr:from>
    <xdr:ext cx="390525" cy="180975"/>
    <xdr:sp macro="" textlink="">
      <xdr:nvSpPr>
        <xdr:cNvPr id="110" name="CuadroTexto 109">
          <a:extLst>
            <a:ext uri="{FF2B5EF4-FFF2-40B4-BE49-F238E27FC236}">
              <a16:creationId xmlns:a16="http://schemas.microsoft.com/office/drawing/2014/main" id="{00000000-0008-0000-1200-00006E000000}"/>
            </a:ext>
          </a:extLst>
        </xdr:cNvPr>
        <xdr:cNvSpPr txBox="1"/>
      </xdr:nvSpPr>
      <xdr:spPr>
        <a:xfrm>
          <a:off x="3600450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133350</xdr:rowOff>
    </xdr:from>
    <xdr:to>
      <xdr:col>4</xdr:col>
      <xdr:colOff>1166400</xdr:colOff>
      <xdr:row>13</xdr:row>
      <xdr:rowOff>112790</xdr:rowOff>
    </xdr:to>
    <xdr:sp macro="" textlink="'Data 3'!F71">
      <xdr:nvSpPr>
        <xdr:cNvPr id="111" name="Text Box 99">
          <a:extLst>
            <a:ext uri="{FF2B5EF4-FFF2-40B4-BE49-F238E27FC236}">
              <a16:creationId xmlns:a16="http://schemas.microsoft.com/office/drawing/2014/main" id="{00000000-0008-0000-1200-00006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71775" y="2162175"/>
          <a:ext cx="252000" cy="141365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45,5%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66676</xdr:rowOff>
    </xdr:from>
    <xdr:to>
      <xdr:col>4</xdr:col>
      <xdr:colOff>1466850</xdr:colOff>
      <xdr:row>13</xdr:row>
      <xdr:rowOff>115913</xdr:rowOff>
    </xdr:to>
    <xdr:sp macro="" textlink="'Data 3'!H71">
      <xdr:nvSpPr>
        <xdr:cNvPr id="112" name="Text Box 104">
          <a:extLst>
            <a:ext uri="{FF2B5EF4-FFF2-40B4-BE49-F238E27FC236}">
              <a16:creationId xmlns:a16="http://schemas.microsoft.com/office/drawing/2014/main" id="{00000000-0008-0000-1200-00007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86100" y="2095501"/>
          <a:ext cx="238125" cy="21116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68,8%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95251</xdr:rowOff>
    </xdr:from>
    <xdr:to>
      <xdr:col>4</xdr:col>
      <xdr:colOff>1795050</xdr:colOff>
      <xdr:row>13</xdr:row>
      <xdr:rowOff>102374</xdr:rowOff>
    </xdr:to>
    <xdr:sp macro="" textlink="'Data 3'!J71">
      <xdr:nvSpPr>
        <xdr:cNvPr id="113" name="Text Box 109">
          <a:extLst>
            <a:ext uri="{FF2B5EF4-FFF2-40B4-BE49-F238E27FC236}">
              <a16:creationId xmlns:a16="http://schemas.microsoft.com/office/drawing/2014/main" id="{00000000-0008-0000-12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00425" y="2124076"/>
          <a:ext cx="252000" cy="169048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60,6%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>
          <a:extLst>
            <a:ext uri="{FF2B5EF4-FFF2-40B4-BE49-F238E27FC236}">
              <a16:creationId xmlns:a16="http://schemas.microsoft.com/office/drawing/2014/main" id="{00000000-0008-0000-1200-000072000000}"/>
            </a:ext>
          </a:extLst>
        </xdr:cNvPr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>
          <a:extLst>
            <a:ext uri="{FF2B5EF4-FFF2-40B4-BE49-F238E27FC236}">
              <a16:creationId xmlns:a16="http://schemas.microsoft.com/office/drawing/2014/main" id="{00000000-0008-0000-1200-00007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3.968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>
          <a:extLst>
            <a:ext uri="{FF2B5EF4-FFF2-40B4-BE49-F238E27FC236}">
              <a16:creationId xmlns:a16="http://schemas.microsoft.com/office/drawing/2014/main" id="{00000000-0008-0000-1200-000074000000}"/>
            </a:ext>
          </a:extLst>
        </xdr:cNvPr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923925</xdr:colOff>
      <xdr:row>11</xdr:row>
      <xdr:rowOff>0</xdr:rowOff>
    </xdr:from>
    <xdr:to>
      <xdr:col>4</xdr:col>
      <xdr:colOff>1247775</xdr:colOff>
      <xdr:row>11</xdr:row>
      <xdr:rowOff>123825</xdr:rowOff>
    </xdr:to>
    <xdr:sp macro="" textlink="'Data 3'!G71">
      <xdr:nvSpPr>
        <xdr:cNvPr id="117" name="Texto 239">
          <a:extLst>
            <a:ext uri="{FF2B5EF4-FFF2-40B4-BE49-F238E27FC236}">
              <a16:creationId xmlns:a16="http://schemas.microsoft.com/office/drawing/2014/main" id="{00000000-0008-0000-1200-00007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81300" y="1866900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764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1181100</xdr:colOff>
      <xdr:row>11</xdr:row>
      <xdr:rowOff>9525</xdr:rowOff>
    </xdr:from>
    <xdr:to>
      <xdr:col>4</xdr:col>
      <xdr:colOff>1504950</xdr:colOff>
      <xdr:row>12</xdr:row>
      <xdr:rowOff>49530</xdr:rowOff>
    </xdr:to>
    <xdr:sp macro="" textlink="'Data 3'!I71">
      <xdr:nvSpPr>
        <xdr:cNvPr id="118" name="Texto 239">
          <a:extLst>
            <a:ext uri="{FF2B5EF4-FFF2-40B4-BE49-F238E27FC236}">
              <a16:creationId xmlns:a16="http://schemas.microsoft.com/office/drawing/2014/main" id="{00000000-0008-0000-1200-00007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38475" y="18764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2.146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1485900</xdr:colOff>
      <xdr:row>11</xdr:row>
      <xdr:rowOff>9525</xdr:rowOff>
    </xdr:from>
    <xdr:to>
      <xdr:col>4</xdr:col>
      <xdr:colOff>1809750</xdr:colOff>
      <xdr:row>11</xdr:row>
      <xdr:rowOff>142875</xdr:rowOff>
    </xdr:to>
    <xdr:sp macro="" textlink="'Data 3'!K71">
      <xdr:nvSpPr>
        <xdr:cNvPr id="119" name="Texto 239">
          <a:extLst>
            <a:ext uri="{FF2B5EF4-FFF2-40B4-BE49-F238E27FC236}">
              <a16:creationId xmlns:a16="http://schemas.microsoft.com/office/drawing/2014/main" id="{00000000-0008-0000-1200-00007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43275" y="1876425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2.910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>
          <a:extLst>
            <a:ext uri="{FF2B5EF4-FFF2-40B4-BE49-F238E27FC236}">
              <a16:creationId xmlns:a16="http://schemas.microsoft.com/office/drawing/2014/main" id="{00000000-0008-0000-1200-000078000000}"/>
            </a:ext>
          </a:extLst>
        </xdr:cNvPr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>
          <a:extLst>
            <a:ext uri="{FF2B5EF4-FFF2-40B4-BE49-F238E27FC236}">
              <a16:creationId xmlns:a16="http://schemas.microsoft.com/office/drawing/2014/main" id="{00000000-0008-0000-1200-00007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1.305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47625</xdr:rowOff>
    </xdr:from>
    <xdr:to>
      <xdr:col>4</xdr:col>
      <xdr:colOff>2539905</xdr:colOff>
      <xdr:row>12</xdr:row>
      <xdr:rowOff>94078</xdr:rowOff>
    </xdr:to>
    <xdr:sp macro="" textlink="'Data 3'!F75">
      <xdr:nvSpPr>
        <xdr:cNvPr id="122" name="Text Box 54">
          <a:extLst>
            <a:ext uri="{FF2B5EF4-FFF2-40B4-BE49-F238E27FC236}">
              <a16:creationId xmlns:a16="http://schemas.microsoft.com/office/drawing/2014/main" id="{00000000-0008-0000-1200-00007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45280" y="1914525"/>
          <a:ext cx="252000" cy="20837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61,2%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>
          <a:extLst>
            <a:ext uri="{FF2B5EF4-FFF2-40B4-BE49-F238E27FC236}">
              <a16:creationId xmlns:a16="http://schemas.microsoft.com/office/drawing/2014/main" id="{00000000-0008-0000-1200-00007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131855</xdr:rowOff>
    </xdr:from>
    <xdr:to>
      <xdr:col>4</xdr:col>
      <xdr:colOff>2854230</xdr:colOff>
      <xdr:row>12</xdr:row>
      <xdr:rowOff>99530</xdr:rowOff>
    </xdr:to>
    <xdr:sp macro="" textlink="'Data 3'!H75">
      <xdr:nvSpPr>
        <xdr:cNvPr id="124" name="Text Box 59">
          <a:extLst>
            <a:ext uri="{FF2B5EF4-FFF2-40B4-BE49-F238E27FC236}">
              <a16:creationId xmlns:a16="http://schemas.microsoft.com/office/drawing/2014/main" id="{00000000-0008-0000-1200-00007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59605" y="1998755"/>
          <a:ext cx="252000" cy="1296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24,4%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66675</xdr:rowOff>
    </xdr:from>
    <xdr:to>
      <xdr:col>4</xdr:col>
      <xdr:colOff>3159030</xdr:colOff>
      <xdr:row>12</xdr:row>
      <xdr:rowOff>94499</xdr:rowOff>
    </xdr:to>
    <xdr:sp macro="" textlink="'Data 3'!J75">
      <xdr:nvSpPr>
        <xdr:cNvPr id="125" name="Text Box 109">
          <a:extLst>
            <a:ext uri="{FF2B5EF4-FFF2-40B4-BE49-F238E27FC236}">
              <a16:creationId xmlns:a16="http://schemas.microsoft.com/office/drawing/2014/main" id="{00000000-0008-0000-1200-00007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933575"/>
          <a:ext cx="252000" cy="18974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57,4%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>
          <a:extLst>
            <a:ext uri="{FF2B5EF4-FFF2-40B4-BE49-F238E27FC236}">
              <a16:creationId xmlns:a16="http://schemas.microsoft.com/office/drawing/2014/main" id="{00000000-0008-0000-1200-00007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1.365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>
          <a:extLst>
            <a:ext uri="{FF2B5EF4-FFF2-40B4-BE49-F238E27FC236}">
              <a16:creationId xmlns:a16="http://schemas.microsoft.com/office/drawing/2014/main" id="{00000000-0008-0000-1200-00007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3.445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>
          <a:extLst>
            <a:ext uri="{FF2B5EF4-FFF2-40B4-BE49-F238E27FC236}">
              <a16:creationId xmlns:a16="http://schemas.microsoft.com/office/drawing/2014/main" id="{00000000-0008-0000-1200-000080000000}"/>
            </a:ext>
          </a:extLst>
        </xdr:cNvPr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>
          <a:extLst>
            <a:ext uri="{FF2B5EF4-FFF2-40B4-BE49-F238E27FC236}">
              <a16:creationId xmlns:a16="http://schemas.microsoft.com/office/drawing/2014/main" id="{00000000-0008-0000-1200-000081000000}"/>
            </a:ext>
          </a:extLst>
        </xdr:cNvPr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>
          <a:extLst>
            <a:ext uri="{FF2B5EF4-FFF2-40B4-BE49-F238E27FC236}">
              <a16:creationId xmlns:a16="http://schemas.microsoft.com/office/drawing/2014/main" id="{00000000-0008-0000-1200-00008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1.526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16</xdr:row>
      <xdr:rowOff>9525</xdr:rowOff>
    </xdr:from>
    <xdr:to>
      <xdr:col>4</xdr:col>
      <xdr:colOff>2390775</xdr:colOff>
      <xdr:row>17</xdr:row>
      <xdr:rowOff>54481</xdr:rowOff>
    </xdr:to>
    <xdr:sp macro="" textlink="'Data 3'!F72">
      <xdr:nvSpPr>
        <xdr:cNvPr id="131" name="Text Box 64">
          <a:extLst>
            <a:ext uri="{FF2B5EF4-FFF2-40B4-BE49-F238E27FC236}">
              <a16:creationId xmlns:a16="http://schemas.microsoft.com/office/drawing/2014/main" id="{00000000-0008-0000-1200-00008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87800" y="2686050"/>
          <a:ext cx="260350" cy="206881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62,9%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>
          <a:extLst>
            <a:ext uri="{FF2B5EF4-FFF2-40B4-BE49-F238E27FC236}">
              <a16:creationId xmlns:a16="http://schemas.microsoft.com/office/drawing/2014/main" id="{00000000-0008-0000-1200-00008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927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99582</xdr:rowOff>
    </xdr:from>
    <xdr:to>
      <xdr:col>4</xdr:col>
      <xdr:colOff>2680128</xdr:colOff>
      <xdr:row>17</xdr:row>
      <xdr:rowOff>60057</xdr:rowOff>
    </xdr:to>
    <xdr:sp macro="" textlink="'Data 3'!H72">
      <xdr:nvSpPr>
        <xdr:cNvPr id="133" name="Text Box 146">
          <a:extLst>
            <a:ext uri="{FF2B5EF4-FFF2-40B4-BE49-F238E27FC236}">
              <a16:creationId xmlns:a16="http://schemas.microsoft.com/office/drawing/2014/main" id="{00000000-0008-0000-1200-00008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85503" y="2776107"/>
          <a:ext cx="252000" cy="122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24,4%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2733676</xdr:colOff>
      <xdr:row>16</xdr:row>
      <xdr:rowOff>57150</xdr:rowOff>
    </xdr:from>
    <xdr:to>
      <xdr:col>4</xdr:col>
      <xdr:colOff>2943226</xdr:colOff>
      <xdr:row>17</xdr:row>
      <xdr:rowOff>58275</xdr:rowOff>
    </xdr:to>
    <xdr:sp macro="" textlink="'Data 3'!J72">
      <xdr:nvSpPr>
        <xdr:cNvPr id="134" name="Text Box 109">
          <a:extLst>
            <a:ext uri="{FF2B5EF4-FFF2-40B4-BE49-F238E27FC236}">
              <a16:creationId xmlns:a16="http://schemas.microsoft.com/office/drawing/2014/main" id="{00000000-0008-0000-1200-00008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91051" y="2733675"/>
          <a:ext cx="209550" cy="16305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39,5%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>
          <a:extLst>
            <a:ext uri="{FF2B5EF4-FFF2-40B4-BE49-F238E27FC236}">
              <a16:creationId xmlns:a16="http://schemas.microsoft.com/office/drawing/2014/main" id="{00000000-0008-0000-1200-00008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2.453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>
          <a:extLst>
            <a:ext uri="{FF2B5EF4-FFF2-40B4-BE49-F238E27FC236}">
              <a16:creationId xmlns:a16="http://schemas.microsoft.com/office/drawing/2014/main" id="{00000000-0008-0000-1200-00008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3.619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00000000-0008-0000-1200-000089000000}"/>
            </a:ext>
          </a:extLst>
        </xdr:cNvPr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>
          <a:extLst>
            <a:ext uri="{FF2B5EF4-FFF2-40B4-BE49-F238E27FC236}">
              <a16:creationId xmlns:a16="http://schemas.microsoft.com/office/drawing/2014/main" id="{00000000-0008-0000-1200-00008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111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857249</xdr:colOff>
      <xdr:row>19</xdr:row>
      <xdr:rowOff>133350</xdr:rowOff>
    </xdr:from>
    <xdr:to>
      <xdr:col>4</xdr:col>
      <xdr:colOff>1114424</xdr:colOff>
      <xdr:row>20</xdr:row>
      <xdr:rowOff>83055</xdr:rowOff>
    </xdr:to>
    <xdr:sp macro="" textlink="'Data 3'!H73">
      <xdr:nvSpPr>
        <xdr:cNvPr id="139" name="Text Box 148">
          <a:extLst>
            <a:ext uri="{FF2B5EF4-FFF2-40B4-BE49-F238E27FC236}">
              <a16:creationId xmlns:a16="http://schemas.microsoft.com/office/drawing/2014/main" id="{00000000-0008-0000-1200-00008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14624" y="3295650"/>
          <a:ext cx="257175" cy="11163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13,3%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>
          <a:extLst>
            <a:ext uri="{FF2B5EF4-FFF2-40B4-BE49-F238E27FC236}">
              <a16:creationId xmlns:a16="http://schemas.microsoft.com/office/drawing/2014/main" id="{00000000-0008-0000-1200-00008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241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>
          <a:extLst>
            <a:ext uri="{FF2B5EF4-FFF2-40B4-BE49-F238E27FC236}">
              <a16:creationId xmlns:a16="http://schemas.microsoft.com/office/drawing/2014/main" id="{00000000-0008-0000-1200-00008D000000}"/>
            </a:ext>
          </a:extLst>
        </xdr:cNvPr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>
          <a:extLst>
            <a:ext uri="{FF2B5EF4-FFF2-40B4-BE49-F238E27FC236}">
              <a16:creationId xmlns:a16="http://schemas.microsoft.com/office/drawing/2014/main" id="{00000000-0008-0000-1200-00008E000000}"/>
            </a:ext>
          </a:extLst>
        </xdr:cNvPr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>
          <a:extLst>
            <a:ext uri="{FF2B5EF4-FFF2-40B4-BE49-F238E27FC236}">
              <a16:creationId xmlns:a16="http://schemas.microsoft.com/office/drawing/2014/main" id="{00000000-0008-0000-1200-00008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116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19</xdr:row>
      <xdr:rowOff>85725</xdr:rowOff>
    </xdr:from>
    <xdr:to>
      <xdr:col>4</xdr:col>
      <xdr:colOff>1771650</xdr:colOff>
      <xdr:row>20</xdr:row>
      <xdr:rowOff>152294</xdr:rowOff>
    </xdr:to>
    <xdr:sp macro="" textlink="'Data 3'!F74">
      <xdr:nvSpPr>
        <xdr:cNvPr id="144" name="Text Box 74">
          <a:extLst>
            <a:ext uri="{FF2B5EF4-FFF2-40B4-BE49-F238E27FC236}">
              <a16:creationId xmlns:a16="http://schemas.microsoft.com/office/drawing/2014/main" id="{00000000-0008-0000-1200-00009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81375" y="3248025"/>
          <a:ext cx="247650" cy="228494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64,2%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>
          <a:extLst>
            <a:ext uri="{FF2B5EF4-FFF2-40B4-BE49-F238E27FC236}">
              <a16:creationId xmlns:a16="http://schemas.microsoft.com/office/drawing/2014/main" id="{00000000-0008-0000-1200-00009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135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1828799</xdr:colOff>
      <xdr:row>20</xdr:row>
      <xdr:rowOff>9525</xdr:rowOff>
    </xdr:from>
    <xdr:to>
      <xdr:col>4</xdr:col>
      <xdr:colOff>2085974</xdr:colOff>
      <xdr:row>20</xdr:row>
      <xdr:rowOff>148043</xdr:rowOff>
    </xdr:to>
    <xdr:sp macro="" textlink="'Data 3'!H74">
      <xdr:nvSpPr>
        <xdr:cNvPr id="146" name="Text Box 150">
          <a:extLst>
            <a:ext uri="{FF2B5EF4-FFF2-40B4-BE49-F238E27FC236}">
              <a16:creationId xmlns:a16="http://schemas.microsoft.com/office/drawing/2014/main" id="{00000000-0008-0000-1200-00009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86174" y="3333750"/>
          <a:ext cx="257175" cy="138518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20,2%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19</xdr:row>
      <xdr:rowOff>142875</xdr:rowOff>
    </xdr:from>
    <xdr:to>
      <xdr:col>4</xdr:col>
      <xdr:colOff>2343150</xdr:colOff>
      <xdr:row>20</xdr:row>
      <xdr:rowOff>152069</xdr:rowOff>
    </xdr:to>
    <xdr:sp macro="" textlink="'Data 3'!J74">
      <xdr:nvSpPr>
        <xdr:cNvPr id="147" name="Text Box 109">
          <a:extLst>
            <a:ext uri="{FF2B5EF4-FFF2-40B4-BE49-F238E27FC236}">
              <a16:creationId xmlns:a16="http://schemas.microsoft.com/office/drawing/2014/main" id="{00000000-0008-0000-1200-00009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305175"/>
          <a:ext cx="209550" cy="17111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29,5%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>
          <a:extLst>
            <a:ext uri="{FF2B5EF4-FFF2-40B4-BE49-F238E27FC236}">
              <a16:creationId xmlns:a16="http://schemas.microsoft.com/office/drawing/2014/main" id="{00000000-0008-0000-1200-00009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251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>
          <a:extLst>
            <a:ext uri="{FF2B5EF4-FFF2-40B4-BE49-F238E27FC236}">
              <a16:creationId xmlns:a16="http://schemas.microsoft.com/office/drawing/2014/main" id="{00000000-0008-0000-1200-00009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569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2160269</xdr:colOff>
      <xdr:row>20</xdr:row>
      <xdr:rowOff>121920</xdr:rowOff>
    </xdr:from>
    <xdr:ext cx="390525" cy="180975"/>
    <xdr:sp macro="" textlink="">
      <xdr:nvSpPr>
        <xdr:cNvPr id="150" name="CuadroTexto 149">
          <a:extLst>
            <a:ext uri="{FF2B5EF4-FFF2-40B4-BE49-F238E27FC236}">
              <a16:creationId xmlns:a16="http://schemas.microsoft.com/office/drawing/2014/main" id="{00000000-0008-0000-1200-000096000000}"/>
            </a:ext>
          </a:extLst>
        </xdr:cNvPr>
        <xdr:cNvSpPr txBox="1"/>
      </xdr:nvSpPr>
      <xdr:spPr>
        <a:xfrm>
          <a:off x="4017644" y="344614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>
          <a:extLst>
            <a:ext uri="{FF2B5EF4-FFF2-40B4-BE49-F238E27FC236}">
              <a16:creationId xmlns:a16="http://schemas.microsoft.com/office/drawing/2014/main" id="{00000000-0008-0000-1200-00009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3.770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57151</xdr:rowOff>
    </xdr:from>
    <xdr:to>
      <xdr:col>4</xdr:col>
      <xdr:colOff>3438525</xdr:colOff>
      <xdr:row>26</xdr:row>
      <xdr:rowOff>59878</xdr:rowOff>
    </xdr:to>
    <xdr:sp macro="" textlink="'Data 3'!H76">
      <xdr:nvSpPr>
        <xdr:cNvPr id="152" name="Text Box 89">
          <a:extLst>
            <a:ext uri="{FF2B5EF4-FFF2-40B4-BE49-F238E27FC236}">
              <a16:creationId xmlns:a16="http://schemas.microsoft.com/office/drawing/2014/main" id="{00000000-0008-0000-1200-00009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5225" y="4191001"/>
          <a:ext cx="320675" cy="16465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39,4%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>
          <a:extLst>
            <a:ext uri="{FF2B5EF4-FFF2-40B4-BE49-F238E27FC236}">
              <a16:creationId xmlns:a16="http://schemas.microsoft.com/office/drawing/2014/main" id="{00000000-0008-0000-1200-00009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4.638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25</xdr:row>
      <xdr:rowOff>9526</xdr:rowOff>
    </xdr:from>
    <xdr:to>
      <xdr:col>4</xdr:col>
      <xdr:colOff>2933700</xdr:colOff>
      <xdr:row>26</xdr:row>
      <xdr:rowOff>60013</xdr:rowOff>
    </xdr:to>
    <xdr:sp macro="" textlink="'Data 3'!F76">
      <xdr:nvSpPr>
        <xdr:cNvPr id="154" name="Text Box 94">
          <a:extLst>
            <a:ext uri="{FF2B5EF4-FFF2-40B4-BE49-F238E27FC236}">
              <a16:creationId xmlns:a16="http://schemas.microsoft.com/office/drawing/2014/main" id="{00000000-0008-0000-1200-00009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86275" y="4143376"/>
          <a:ext cx="304800" cy="212412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51,7%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>
          <a:extLst>
            <a:ext uri="{FF2B5EF4-FFF2-40B4-BE49-F238E27FC236}">
              <a16:creationId xmlns:a16="http://schemas.microsoft.com/office/drawing/2014/main" id="{00000000-0008-0000-1200-00009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8.408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3594101</xdr:colOff>
      <xdr:row>25</xdr:row>
      <xdr:rowOff>28575</xdr:rowOff>
    </xdr:from>
    <xdr:to>
      <xdr:col>4</xdr:col>
      <xdr:colOff>3886201</xdr:colOff>
      <xdr:row>26</xdr:row>
      <xdr:rowOff>55057</xdr:rowOff>
    </xdr:to>
    <xdr:sp macro="" textlink="'Data 3'!J76">
      <xdr:nvSpPr>
        <xdr:cNvPr id="156" name="Text Box 109">
          <a:extLst>
            <a:ext uri="{FF2B5EF4-FFF2-40B4-BE49-F238E27FC236}">
              <a16:creationId xmlns:a16="http://schemas.microsoft.com/office/drawing/2014/main" id="{00000000-0008-0000-1200-00009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51476" y="4162425"/>
          <a:ext cx="292100" cy="188407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45,4%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11</xdr:col>
      <xdr:colOff>525</xdr:colOff>
      <xdr:row>3</xdr:row>
      <xdr:rowOff>28575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4</xdr:col>
      <xdr:colOff>3922649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21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1504949</xdr:colOff>
      <xdr:row>10</xdr:row>
      <xdr:rowOff>114300</xdr:rowOff>
    </xdr:from>
    <xdr:to>
      <xdr:col>4</xdr:col>
      <xdr:colOff>2590798</xdr:colOff>
      <xdr:row>16</xdr:row>
      <xdr:rowOff>114300</xdr:rowOff>
    </xdr:to>
    <xdr:graphicFrame macro="">
      <xdr:nvGraphicFramePr>
        <xdr:cNvPr id="6" name="Graf3_and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1485900</xdr:colOff>
      <xdr:row>27</xdr:row>
      <xdr:rowOff>0</xdr:rowOff>
    </xdr:from>
    <xdr:to>
      <xdr:col>4</xdr:col>
      <xdr:colOff>2571749</xdr:colOff>
      <xdr:row>33</xdr:row>
      <xdr:rowOff>0</xdr:rowOff>
    </xdr:to>
    <xdr:graphicFrame macro="">
      <xdr:nvGraphicFramePr>
        <xdr:cNvPr id="9" name="Graf3_and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7</xdr:col>
      <xdr:colOff>668324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102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0.91574</cdr:x>
      <cdr:y>0.11765</cdr:y>
    </cdr:from>
    <cdr:to>
      <cdr:x>1</cdr:x>
      <cdr:y>0.20124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CBD09808-516D-4981-BE0D-9E14AA086741}"/>
            </a:ext>
          </a:extLst>
        </cdr:cNvPr>
        <cdr:cNvSpPr txBox="1"/>
      </cdr:nvSpPr>
      <cdr:spPr>
        <a:xfrm xmlns:a="http://schemas.openxmlformats.org/drawingml/2006/main">
          <a:off x="6438900" y="361959"/>
          <a:ext cx="592454" cy="2571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ktCO2 eq.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COMUN/OBJETIVO%20NUEVO%20BOLETIN%20ELECTRONICO/Sistemas%20no%20peninsula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amento/Gesti&#243;n%20de%20la%20Informaci&#243;n/Publicaciones%20e%20Informes/Mensual/Bolet&#237;n&amp;Consejo/BOLETIN%20ELECTRONICO/2020/ENE/INF_ELABORADA/02%20Produccion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7"/>
      <sheetName val="P18"/>
      <sheetName val="P18 A"/>
      <sheetName val="C19"/>
      <sheetName val="P20"/>
      <sheetName val="P20 A"/>
      <sheetName val="C21"/>
      <sheetName val="Sistemas no peninsulare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</definedNames>
    <sheetDataSet>
      <sheetData sheetId="0"/>
      <sheetData sheetId="1">
        <row r="9">
          <cell r="G9" t="str">
            <v>Carbón</v>
          </cell>
        </row>
      </sheetData>
      <sheetData sheetId="2">
        <row r="9">
          <cell r="I9" t="str">
            <v>Carbón</v>
          </cell>
        </row>
      </sheetData>
      <sheetData sheetId="3">
        <row r="7">
          <cell r="H7">
            <v>42186</v>
          </cell>
        </row>
      </sheetData>
      <sheetData sheetId="4">
        <row r="9">
          <cell r="G9" t="str">
            <v>Motores diésel</v>
          </cell>
        </row>
      </sheetData>
      <sheetData sheetId="5">
        <row r="9">
          <cell r="I9" t="str">
            <v>Motores diésel</v>
          </cell>
        </row>
      </sheetData>
      <sheetData sheetId="6">
        <row r="7">
          <cell r="H7">
            <v>42186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ozart Reports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Data 1"/>
      <sheetName val="Dat_01"/>
      <sheetName val="Dat_02"/>
      <sheetName val="Data 2"/>
      <sheetName val="Data 3"/>
      <sheetName val="Data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75">
          <cell r="A175" t="str">
            <v>Sistema Eléctrico</v>
          </cell>
          <cell r="B175" t="str">
            <v>Península</v>
          </cell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  <cell r="O175"/>
          <cell r="P175"/>
          <cell r="Q175"/>
          <cell r="R175"/>
          <cell r="S175"/>
        </row>
        <row r="176">
          <cell r="A176" t="str">
            <v>Indicadores</v>
          </cell>
          <cell r="B176" t="str">
            <v>Demanda B.C. (MWh)</v>
          </cell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  <cell r="O176"/>
          <cell r="P176"/>
          <cell r="Q176"/>
          <cell r="R176"/>
          <cell r="S176"/>
        </row>
        <row r="177">
          <cell r="A177" t="str">
            <v>Mes</v>
          </cell>
          <cell r="B177" t="str">
            <v>Enero 2020</v>
          </cell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  <cell r="O177"/>
          <cell r="P177"/>
          <cell r="Q177"/>
          <cell r="R177"/>
          <cell r="S177"/>
        </row>
        <row r="178">
          <cell r="A178" t="str">
            <v>Balance</v>
          </cell>
          <cell r="B178" t="str">
            <v>Hidráulica</v>
          </cell>
          <cell r="C178" t="str">
            <v>Turbinación bombeo</v>
          </cell>
          <cell r="D178" t="str">
            <v>Nuclear</v>
          </cell>
          <cell r="E178" t="str">
            <v>Carbón</v>
          </cell>
          <cell r="F178" t="str">
            <v>Fuel+Gas</v>
          </cell>
          <cell r="G178" t="str">
            <v>Ciclo combinado</v>
          </cell>
          <cell r="H178" t="str">
            <v>Eólica</v>
          </cell>
          <cell r="I178" t="str">
            <v>Solar fotovoltaica</v>
          </cell>
          <cell r="J178" t="str">
            <v>Solar térmica</v>
          </cell>
          <cell r="K178" t="str">
            <v>Otras renovables</v>
          </cell>
          <cell r="L178" t="str">
            <v>Cogeneración</v>
          </cell>
          <cell r="M178" t="str">
            <v>Residuos renovables</v>
          </cell>
          <cell r="N178" t="str">
            <v>Residuos no renovables</v>
          </cell>
          <cell r="O178" t="str">
            <v>Generación</v>
          </cell>
          <cell r="P178" t="str">
            <v>Consumo de bombeo</v>
          </cell>
          <cell r="Q178" t="str">
            <v>Enlace Península-Baleares</v>
          </cell>
          <cell r="R178" t="str">
            <v>Saldos intercambios internacionales</v>
          </cell>
          <cell r="S178" t="str">
            <v>Demanda transporte (b.c.)</v>
          </cell>
        </row>
        <row r="179">
          <cell r="A179" t="str">
            <v>Día</v>
          </cell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</row>
        <row r="180">
          <cell r="A180">
            <v>1</v>
          </cell>
          <cell r="B180">
            <v>151428.059224</v>
          </cell>
          <cell r="C180">
            <v>8651.6755659999999</v>
          </cell>
          <cell r="D180">
            <v>170552.65400000001</v>
          </cell>
          <cell r="E180">
            <v>8786.759</v>
          </cell>
          <cell r="F180">
            <v>0</v>
          </cell>
          <cell r="G180">
            <v>100827.398</v>
          </cell>
          <cell r="H180">
            <v>22729.690999999999</v>
          </cell>
          <cell r="I180">
            <v>21856.794999999998</v>
          </cell>
          <cell r="J180">
            <v>5311.2910000000002</v>
          </cell>
          <cell r="K180">
            <v>8329.6689999999999</v>
          </cell>
          <cell r="L180">
            <v>58660.523999999998</v>
          </cell>
          <cell r="M180">
            <v>2119.8825000000002</v>
          </cell>
          <cell r="N180">
            <v>3862.4814999999999</v>
          </cell>
          <cell r="O180">
            <v>563116.87979000004</v>
          </cell>
          <cell r="P180">
            <v>-21693.195</v>
          </cell>
          <cell r="Q180">
            <v>-3610.8710000000001</v>
          </cell>
          <cell r="R180">
            <v>984.27200000000005</v>
          </cell>
          <cell r="S180">
            <v>538797.08579000004</v>
          </cell>
          <cell r="V180">
            <v>4.0364073278138024</v>
          </cell>
          <cell r="W180">
            <v>22.729690999999999</v>
          </cell>
        </row>
        <row r="181">
          <cell r="A181">
            <v>2</v>
          </cell>
          <cell r="B181">
            <v>159102.48129</v>
          </cell>
          <cell r="C181">
            <v>15524.81626</v>
          </cell>
          <cell r="D181">
            <v>170547.96599999999</v>
          </cell>
          <cell r="E181">
            <v>13675.187</v>
          </cell>
          <cell r="F181">
            <v>0</v>
          </cell>
          <cell r="G181">
            <v>127180.061</v>
          </cell>
          <cell r="H181">
            <v>76358.892999999996</v>
          </cell>
          <cell r="I181">
            <v>18278.495999999999</v>
          </cell>
          <cell r="J181">
            <v>3922.4969999999998</v>
          </cell>
          <cell r="K181">
            <v>8367.2819999999992</v>
          </cell>
          <cell r="L181">
            <v>73471.736999999994</v>
          </cell>
          <cell r="M181">
            <v>1801.114</v>
          </cell>
          <cell r="N181">
            <v>3528.498</v>
          </cell>
          <cell r="O181">
            <v>671759.02855000005</v>
          </cell>
          <cell r="P181">
            <v>-11026.39</v>
          </cell>
          <cell r="Q181">
            <v>-4437.6329999999998</v>
          </cell>
          <cell r="R181">
            <v>26627.734</v>
          </cell>
          <cell r="S181">
            <v>682922.73955000006</v>
          </cell>
          <cell r="V181">
            <v>11.367006583420485</v>
          </cell>
          <cell r="W181">
            <v>76.358892999999995</v>
          </cell>
        </row>
        <row r="182">
          <cell r="A182">
            <v>3</v>
          </cell>
          <cell r="B182">
            <v>151939.406678</v>
          </cell>
          <cell r="C182">
            <v>13097.605952</v>
          </cell>
          <cell r="D182">
            <v>170574.17</v>
          </cell>
          <cell r="E182">
            <v>15142.447</v>
          </cell>
          <cell r="F182">
            <v>0</v>
          </cell>
          <cell r="G182">
            <v>103054.526</v>
          </cell>
          <cell r="H182">
            <v>82251.89</v>
          </cell>
          <cell r="I182">
            <v>16558.866000000002</v>
          </cell>
          <cell r="J182">
            <v>721.76700000000005</v>
          </cell>
          <cell r="K182">
            <v>9139.2720000000008</v>
          </cell>
          <cell r="L182">
            <v>81156.755000000005</v>
          </cell>
          <cell r="M182">
            <v>1803.6845000000001</v>
          </cell>
          <cell r="N182">
            <v>4190.0664999999999</v>
          </cell>
          <cell r="O182">
            <v>649630.45663000003</v>
          </cell>
          <cell r="P182">
            <v>-10811.335999999999</v>
          </cell>
          <cell r="Q182">
            <v>-4674.3270000000002</v>
          </cell>
          <cell r="R182">
            <v>79819.793000000005</v>
          </cell>
          <cell r="S182">
            <v>713964.58663000003</v>
          </cell>
          <cell r="V182">
            <v>12.661335249995359</v>
          </cell>
          <cell r="W182">
            <v>82.251890000000003</v>
          </cell>
        </row>
        <row r="183">
          <cell r="A183">
            <v>4</v>
          </cell>
          <cell r="B183">
            <v>139841.36508799999</v>
          </cell>
          <cell r="C183">
            <v>5359.3319119999996</v>
          </cell>
          <cell r="D183">
            <v>170642.76699999999</v>
          </cell>
          <cell r="E183">
            <v>15091.346</v>
          </cell>
          <cell r="F183">
            <v>0</v>
          </cell>
          <cell r="G183">
            <v>66644.548999999999</v>
          </cell>
          <cell r="H183">
            <v>122922.62300000001</v>
          </cell>
          <cell r="I183">
            <v>20847.919000000002</v>
          </cell>
          <cell r="J183">
            <v>3118.4389999999999</v>
          </cell>
          <cell r="K183">
            <v>9504.7909999999993</v>
          </cell>
          <cell r="L183">
            <v>77196.850000000006</v>
          </cell>
          <cell r="M183">
            <v>1897.4285</v>
          </cell>
          <cell r="N183">
            <v>4633.1345000000001</v>
          </cell>
          <cell r="O183">
            <v>637700.54399999999</v>
          </cell>
          <cell r="P183">
            <v>-21729.65</v>
          </cell>
          <cell r="Q183">
            <v>-4065.7689999999998</v>
          </cell>
          <cell r="R183">
            <v>51474.83</v>
          </cell>
          <cell r="S183">
            <v>663379.95499999996</v>
          </cell>
          <cell r="V183">
            <v>19.275916283364502</v>
          </cell>
          <cell r="W183">
            <v>122.922623</v>
          </cell>
        </row>
        <row r="184">
          <cell r="A184">
            <v>5</v>
          </cell>
          <cell r="B184">
            <v>126779.175288</v>
          </cell>
          <cell r="C184">
            <v>8651.0294620000004</v>
          </cell>
          <cell r="D184">
            <v>170645.45600000001</v>
          </cell>
          <cell r="E184">
            <v>19242.691999999999</v>
          </cell>
          <cell r="F184">
            <v>0</v>
          </cell>
          <cell r="G184">
            <v>70047.766000000003</v>
          </cell>
          <cell r="H184">
            <v>58951.445</v>
          </cell>
          <cell r="I184">
            <v>25669.252</v>
          </cell>
          <cell r="J184">
            <v>5549.6580000000004</v>
          </cell>
          <cell r="K184">
            <v>9974.3559999999998</v>
          </cell>
          <cell r="L184">
            <v>75550.092999999993</v>
          </cell>
          <cell r="M184">
            <v>2094.5889999999999</v>
          </cell>
          <cell r="N184">
            <v>4703.6790000000001</v>
          </cell>
          <cell r="O184">
            <v>577859.19074999995</v>
          </cell>
          <cell r="P184">
            <v>-22733.314999999999</v>
          </cell>
          <cell r="Q184">
            <v>-3824.538</v>
          </cell>
          <cell r="R184">
            <v>63066.798999999999</v>
          </cell>
          <cell r="S184">
            <v>614368.13674999995</v>
          </cell>
          <cell r="V184">
            <v>10.20169722030159</v>
          </cell>
          <cell r="W184">
            <v>58.951445</v>
          </cell>
        </row>
        <row r="185">
          <cell r="A185">
            <v>6</v>
          </cell>
          <cell r="B185">
            <v>130262.09858400001</v>
          </cell>
          <cell r="C185">
            <v>4635.5434160000004</v>
          </cell>
          <cell r="D185">
            <v>170651.34099999999</v>
          </cell>
          <cell r="E185">
            <v>15690.341</v>
          </cell>
          <cell r="F185">
            <v>0</v>
          </cell>
          <cell r="G185">
            <v>88130.656000000003</v>
          </cell>
          <cell r="H185">
            <v>46902.985999999997</v>
          </cell>
          <cell r="I185">
            <v>23925.664000000001</v>
          </cell>
          <cell r="J185">
            <v>6446.5959999999995</v>
          </cell>
          <cell r="K185">
            <v>10418.182000000001</v>
          </cell>
          <cell r="L185">
            <v>77811.941999999995</v>
          </cell>
          <cell r="M185">
            <v>2197.2555000000002</v>
          </cell>
          <cell r="N185">
            <v>4885.2614999999996</v>
          </cell>
          <cell r="O185">
            <v>581957.86699999997</v>
          </cell>
          <cell r="P185">
            <v>-14008.254999999999</v>
          </cell>
          <cell r="Q185">
            <v>-3751.3589999999999</v>
          </cell>
          <cell r="R185">
            <v>29358.886999999999</v>
          </cell>
          <cell r="S185">
            <v>593557.14</v>
          </cell>
          <cell r="V185">
            <v>8.0595157587241619</v>
          </cell>
          <cell r="W185">
            <v>46.902985999999999</v>
          </cell>
        </row>
        <row r="186">
          <cell r="A186">
            <v>7</v>
          </cell>
          <cell r="B186">
            <v>145511.586152</v>
          </cell>
          <cell r="C186">
            <v>19108.925707999999</v>
          </cell>
          <cell r="D186">
            <v>170602.231</v>
          </cell>
          <cell r="E186">
            <v>23100.928</v>
          </cell>
          <cell r="F186">
            <v>0</v>
          </cell>
          <cell r="G186">
            <v>155636.50399999999</v>
          </cell>
          <cell r="H186">
            <v>51834.186000000002</v>
          </cell>
          <cell r="I186">
            <v>25317.678</v>
          </cell>
          <cell r="J186">
            <v>6902.192</v>
          </cell>
          <cell r="K186">
            <v>10784.642</v>
          </cell>
          <cell r="L186">
            <v>84812.194000000003</v>
          </cell>
          <cell r="M186">
            <v>2185.1435000000001</v>
          </cell>
          <cell r="N186">
            <v>4938.2285000000002</v>
          </cell>
          <cell r="O186">
            <v>700734.43885999999</v>
          </cell>
          <cell r="P186">
            <v>-8555.2549999999992</v>
          </cell>
          <cell r="Q186">
            <v>-4393.1379999999999</v>
          </cell>
          <cell r="R186">
            <v>59965.652000000002</v>
          </cell>
          <cell r="S186">
            <v>747751.69785999996</v>
          </cell>
          <cell r="V186">
            <v>7.3971226652320965</v>
          </cell>
          <cell r="W186">
            <v>51.834186000000003</v>
          </cell>
        </row>
        <row r="187">
          <cell r="A187">
            <v>8</v>
          </cell>
          <cell r="B187">
            <v>148811.40620200001</v>
          </cell>
          <cell r="C187">
            <v>9671.0356879999999</v>
          </cell>
          <cell r="D187">
            <v>170583.45699999999</v>
          </cell>
          <cell r="E187">
            <v>28408.486000000001</v>
          </cell>
          <cell r="F187">
            <v>0</v>
          </cell>
          <cell r="G187">
            <v>149151.50700000001</v>
          </cell>
          <cell r="H187">
            <v>55617.998</v>
          </cell>
          <cell r="I187">
            <v>24899.348999999998</v>
          </cell>
          <cell r="J187">
            <v>6291.0590000000002</v>
          </cell>
          <cell r="K187">
            <v>11396.120999999999</v>
          </cell>
          <cell r="L187">
            <v>85853.641000000003</v>
          </cell>
          <cell r="M187">
            <v>1721.6334999999999</v>
          </cell>
          <cell r="N187">
            <v>4303.1184999999996</v>
          </cell>
          <cell r="O187">
            <v>696708.81189000001</v>
          </cell>
          <cell r="P187">
            <v>-1728.287</v>
          </cell>
          <cell r="Q187">
            <v>-4535.3090000000002</v>
          </cell>
          <cell r="R187">
            <v>87705.061000000002</v>
          </cell>
          <cell r="S187">
            <v>778150.27688999998</v>
          </cell>
          <cell r="V187">
            <v>7.9829617554458689</v>
          </cell>
          <cell r="W187">
            <v>55.617998</v>
          </cell>
        </row>
        <row r="188">
          <cell r="A188">
            <v>9</v>
          </cell>
          <cell r="B188">
            <v>132236.062932</v>
          </cell>
          <cell r="C188">
            <v>4059.633644</v>
          </cell>
          <cell r="D188">
            <v>170593.62599999999</v>
          </cell>
          <cell r="E188">
            <v>27441.442999999999</v>
          </cell>
          <cell r="F188">
            <v>0</v>
          </cell>
          <cell r="G188">
            <v>120729.194</v>
          </cell>
          <cell r="H188">
            <v>129958.069</v>
          </cell>
          <cell r="I188">
            <v>21183.227999999999</v>
          </cell>
          <cell r="J188">
            <v>4373.7470000000003</v>
          </cell>
          <cell r="K188">
            <v>10828.799000000001</v>
          </cell>
          <cell r="L188">
            <v>83488.625</v>
          </cell>
          <cell r="M188">
            <v>1331.529</v>
          </cell>
          <cell r="N188">
            <v>4007.616</v>
          </cell>
          <cell r="O188">
            <v>710231.57257600001</v>
          </cell>
          <cell r="P188">
            <v>-5960.0360000000001</v>
          </cell>
          <cell r="Q188">
            <v>-4598.942</v>
          </cell>
          <cell r="R188">
            <v>79113.399999999994</v>
          </cell>
          <cell r="S188">
            <v>778785.99457600003</v>
          </cell>
          <cell r="V188">
            <v>18.297985335774907</v>
          </cell>
          <cell r="W188">
            <v>129.95806899999999</v>
          </cell>
        </row>
        <row r="189">
          <cell r="A189">
            <v>10</v>
          </cell>
          <cell r="B189">
            <v>136978.93398199999</v>
          </cell>
          <cell r="C189">
            <v>6620.0535300000001</v>
          </cell>
          <cell r="D189">
            <v>170624.80100000001</v>
          </cell>
          <cell r="E189">
            <v>34666.042000000001</v>
          </cell>
          <cell r="F189">
            <v>0</v>
          </cell>
          <cell r="G189">
            <v>94703.86</v>
          </cell>
          <cell r="H189">
            <v>167651.02100000001</v>
          </cell>
          <cell r="I189">
            <v>22122.356</v>
          </cell>
          <cell r="J189">
            <v>3328.6950000000002</v>
          </cell>
          <cell r="K189">
            <v>10046.162</v>
          </cell>
          <cell r="L189">
            <v>83426.087</v>
          </cell>
          <cell r="M189">
            <v>1342.0264999999999</v>
          </cell>
          <cell r="N189">
            <v>4043.7905000000001</v>
          </cell>
          <cell r="O189">
            <v>735553.82851200004</v>
          </cell>
          <cell r="P189">
            <v>-15570.154</v>
          </cell>
          <cell r="Q189">
            <v>-4752.2160000000003</v>
          </cell>
          <cell r="R189">
            <v>56827.641000000003</v>
          </cell>
          <cell r="S189">
            <v>772059.09951199999</v>
          </cell>
          <cell r="V189">
            <v>22.792488394649816</v>
          </cell>
          <cell r="W189">
            <v>167.65102100000001</v>
          </cell>
        </row>
        <row r="190">
          <cell r="A190">
            <v>11</v>
          </cell>
          <cell r="B190">
            <v>110917.732504</v>
          </cell>
          <cell r="C190">
            <v>4418.7264960000002</v>
          </cell>
          <cell r="D190">
            <v>170608.72899999999</v>
          </cell>
          <cell r="E190">
            <v>34801.381999999998</v>
          </cell>
          <cell r="F190">
            <v>0</v>
          </cell>
          <cell r="G190">
            <v>102069.859</v>
          </cell>
          <cell r="H190">
            <v>74797.828999999998</v>
          </cell>
          <cell r="I190">
            <v>27864.804</v>
          </cell>
          <cell r="J190">
            <v>7635.451</v>
          </cell>
          <cell r="K190">
            <v>10625.075999999999</v>
          </cell>
          <cell r="L190">
            <v>78295.065000000002</v>
          </cell>
          <cell r="M190">
            <v>1358.1134999999999</v>
          </cell>
          <cell r="N190">
            <v>4420.9764999999998</v>
          </cell>
          <cell r="O190">
            <v>627813.74399999995</v>
          </cell>
          <cell r="P190">
            <v>-10253.18</v>
          </cell>
          <cell r="Q190">
            <v>-4330.4110000000001</v>
          </cell>
          <cell r="R190">
            <v>79375.982000000004</v>
          </cell>
          <cell r="S190">
            <v>692606.13500000001</v>
          </cell>
          <cell r="V190">
            <v>11.914015854995363</v>
          </cell>
          <cell r="W190">
            <v>74.797828999999993</v>
          </cell>
        </row>
        <row r="191">
          <cell r="A191">
            <v>12</v>
          </cell>
          <cell r="B191">
            <v>107658.61599999999</v>
          </cell>
          <cell r="C191">
            <v>6491.0150000000003</v>
          </cell>
          <cell r="D191">
            <v>170593.60699999999</v>
          </cell>
          <cell r="E191">
            <v>34987.182999999997</v>
          </cell>
          <cell r="F191">
            <v>0</v>
          </cell>
          <cell r="G191">
            <v>112053.298</v>
          </cell>
          <cell r="H191">
            <v>55127.343999999997</v>
          </cell>
          <cell r="I191">
            <v>28035.186000000002</v>
          </cell>
          <cell r="J191">
            <v>7676.8490000000002</v>
          </cell>
          <cell r="K191">
            <v>10374.050999999999</v>
          </cell>
          <cell r="L191">
            <v>76637.172999999995</v>
          </cell>
          <cell r="M191">
            <v>1340.778</v>
          </cell>
          <cell r="N191">
            <v>4638.857</v>
          </cell>
          <cell r="O191">
            <v>615613.95700000005</v>
          </cell>
          <cell r="P191">
            <v>-3772.335</v>
          </cell>
          <cell r="Q191">
            <v>-3961.5259999999998</v>
          </cell>
          <cell r="R191">
            <v>47478.438999999998</v>
          </cell>
          <cell r="S191">
            <v>655358.53500000003</v>
          </cell>
          <cell r="V191">
            <v>8.9548561031081366</v>
          </cell>
          <cell r="W191">
            <v>55.127344000000001</v>
          </cell>
        </row>
        <row r="192">
          <cell r="A192">
            <v>13</v>
          </cell>
          <cell r="B192">
            <v>132478.834756</v>
          </cell>
          <cell r="C192">
            <v>4847.3692440000004</v>
          </cell>
          <cell r="D192">
            <v>170688.587</v>
          </cell>
          <cell r="E192">
            <v>36607.057999999997</v>
          </cell>
          <cell r="F192">
            <v>0</v>
          </cell>
          <cell r="G192">
            <v>138013.16800000001</v>
          </cell>
          <cell r="H192">
            <v>124725.183</v>
          </cell>
          <cell r="I192">
            <v>22008.645</v>
          </cell>
          <cell r="J192">
            <v>2711.194</v>
          </cell>
          <cell r="K192">
            <v>10440.134</v>
          </cell>
          <cell r="L192">
            <v>80149.784</v>
          </cell>
          <cell r="M192">
            <v>1332.7090000000001</v>
          </cell>
          <cell r="N192">
            <v>5534.9120000000003</v>
          </cell>
          <cell r="O192">
            <v>729537.57799999998</v>
          </cell>
          <cell r="P192">
            <v>-1612.7070000000001</v>
          </cell>
          <cell r="Q192">
            <v>-4985.54</v>
          </cell>
          <cell r="R192">
            <v>63824.39</v>
          </cell>
          <cell r="S192">
            <v>786763.72100000002</v>
          </cell>
          <cell r="V192">
            <v>17.096471348594466</v>
          </cell>
          <cell r="W192">
            <v>124.725183</v>
          </cell>
        </row>
        <row r="193">
          <cell r="A193">
            <v>14</v>
          </cell>
          <cell r="B193">
            <v>126450.27766399999</v>
          </cell>
          <cell r="C193">
            <v>5427.9519600000003</v>
          </cell>
          <cell r="D193">
            <v>170809.13800000001</v>
          </cell>
          <cell r="E193">
            <v>23161.019</v>
          </cell>
          <cell r="F193">
            <v>0</v>
          </cell>
          <cell r="G193">
            <v>75884.385999999999</v>
          </cell>
          <cell r="H193">
            <v>189662.26800000001</v>
          </cell>
          <cell r="I193">
            <v>23933.592000000001</v>
          </cell>
          <cell r="J193">
            <v>1884.404</v>
          </cell>
          <cell r="K193">
            <v>11738.951999999999</v>
          </cell>
          <cell r="L193">
            <v>78721.748000000007</v>
          </cell>
          <cell r="M193">
            <v>1284.3454999999999</v>
          </cell>
          <cell r="N193">
            <v>5591.2465000000002</v>
          </cell>
          <cell r="O193">
            <v>714549.32862399996</v>
          </cell>
          <cell r="P193">
            <v>-17294.097000000002</v>
          </cell>
          <cell r="Q193">
            <v>-4792.6499999999996</v>
          </cell>
          <cell r="R193">
            <v>109572.398</v>
          </cell>
          <cell r="S193">
            <v>802034.97962400003</v>
          </cell>
          <cell r="V193">
            <v>26.542921587405395</v>
          </cell>
          <cell r="W193">
            <v>189.66226800000001</v>
          </cell>
        </row>
        <row r="194">
          <cell r="A194">
            <v>15</v>
          </cell>
          <cell r="B194">
            <v>110906.03505200001</v>
          </cell>
          <cell r="C194">
            <v>4501.947948</v>
          </cell>
          <cell r="D194">
            <v>170794.97099999999</v>
          </cell>
          <cell r="E194">
            <v>26166.768</v>
          </cell>
          <cell r="F194">
            <v>0</v>
          </cell>
          <cell r="G194">
            <v>100609.064</v>
          </cell>
          <cell r="H194">
            <v>191203.12</v>
          </cell>
          <cell r="I194">
            <v>19033.424999999999</v>
          </cell>
          <cell r="J194">
            <v>2209.2489999999998</v>
          </cell>
          <cell r="K194">
            <v>11386.743</v>
          </cell>
          <cell r="L194">
            <v>79574.717999999993</v>
          </cell>
          <cell r="M194">
            <v>1337.1085</v>
          </cell>
          <cell r="N194">
            <v>5399.9965000000002</v>
          </cell>
          <cell r="O194">
            <v>723123.14599999995</v>
          </cell>
          <cell r="P194">
            <v>-21038.386999999999</v>
          </cell>
          <cell r="Q194">
            <v>-4675.6660000000002</v>
          </cell>
          <cell r="R194">
            <v>93401.63</v>
          </cell>
          <cell r="S194">
            <v>790810.723</v>
          </cell>
          <cell r="V194">
            <v>26.441294412667027</v>
          </cell>
          <cell r="W194">
            <v>191.20311999999998</v>
          </cell>
        </row>
        <row r="195">
          <cell r="A195">
            <v>16</v>
          </cell>
          <cell r="B195">
            <v>104086.23063999999</v>
          </cell>
          <cell r="C195">
            <v>11440.718989999999</v>
          </cell>
          <cell r="D195">
            <v>170804.38399999999</v>
          </cell>
          <cell r="E195">
            <v>30605.623</v>
          </cell>
          <cell r="F195">
            <v>0</v>
          </cell>
          <cell r="G195">
            <v>88857.604000000007</v>
          </cell>
          <cell r="H195">
            <v>208304.00399999999</v>
          </cell>
          <cell r="I195">
            <v>27957.06</v>
          </cell>
          <cell r="J195">
            <v>5631.598</v>
          </cell>
          <cell r="K195">
            <v>11817.361999999999</v>
          </cell>
          <cell r="L195">
            <v>79403.773000000001</v>
          </cell>
          <cell r="M195">
            <v>1401.3454999999999</v>
          </cell>
          <cell r="N195">
            <v>5365.0704999999998</v>
          </cell>
          <cell r="O195">
            <v>745674.77362999995</v>
          </cell>
          <cell r="P195">
            <v>-12806.614</v>
          </cell>
          <cell r="Q195">
            <v>-4478.1989999999996</v>
          </cell>
          <cell r="R195">
            <v>52547.58</v>
          </cell>
          <cell r="S195">
            <v>780937.54062999994</v>
          </cell>
          <cell r="V195">
            <v>27.934967276143819</v>
          </cell>
          <cell r="W195">
            <v>208.30400399999999</v>
          </cell>
        </row>
        <row r="196">
          <cell r="A196">
            <v>17</v>
          </cell>
          <cell r="B196">
            <v>96795.330526000005</v>
          </cell>
          <cell r="C196">
            <v>15654.688083999999</v>
          </cell>
          <cell r="D196">
            <v>170846.66899999999</v>
          </cell>
          <cell r="E196">
            <v>33573.565999999999</v>
          </cell>
          <cell r="F196">
            <v>0</v>
          </cell>
          <cell r="G196">
            <v>93886.115000000005</v>
          </cell>
          <cell r="H196">
            <v>204448.64300000001</v>
          </cell>
          <cell r="I196">
            <v>21683.011999999999</v>
          </cell>
          <cell r="J196">
            <v>1155.425</v>
          </cell>
          <cell r="K196">
            <v>11963.111999999999</v>
          </cell>
          <cell r="L196">
            <v>80345.741999999998</v>
          </cell>
          <cell r="M196">
            <v>1446.7429999999999</v>
          </cell>
          <cell r="N196">
            <v>5499.2359999999999</v>
          </cell>
          <cell r="O196">
            <v>737298.28160999995</v>
          </cell>
          <cell r="P196">
            <v>-19931.241999999998</v>
          </cell>
          <cell r="Q196">
            <v>-4623.7389999999996</v>
          </cell>
          <cell r="R196">
            <v>53626.881000000001</v>
          </cell>
          <cell r="S196">
            <v>766370.18160999997</v>
          </cell>
          <cell r="V196">
            <v>27.729434355055886</v>
          </cell>
          <cell r="W196">
            <v>204.448643</v>
          </cell>
        </row>
        <row r="197">
          <cell r="A197">
            <v>18</v>
          </cell>
          <cell r="B197">
            <v>79810.003714000006</v>
          </cell>
          <cell r="C197">
            <v>4614.1989160000003</v>
          </cell>
          <cell r="D197">
            <v>170794.41399999999</v>
          </cell>
          <cell r="E197">
            <v>26828.210999999999</v>
          </cell>
          <cell r="F197">
            <v>0</v>
          </cell>
          <cell r="G197">
            <v>68954.513999999996</v>
          </cell>
          <cell r="H197">
            <v>192560.64499999999</v>
          </cell>
          <cell r="I197">
            <v>9196.0889999999999</v>
          </cell>
          <cell r="J197">
            <v>77.867999999999995</v>
          </cell>
          <cell r="K197">
            <v>11747.527</v>
          </cell>
          <cell r="L197">
            <v>75246.698999999993</v>
          </cell>
          <cell r="M197">
            <v>1401.307</v>
          </cell>
          <cell r="N197">
            <v>5658.8919999999998</v>
          </cell>
          <cell r="O197">
            <v>646890.36863000004</v>
          </cell>
          <cell r="P197">
            <v>-10274.959000000001</v>
          </cell>
          <cell r="Q197">
            <v>-4250.3620000000001</v>
          </cell>
          <cell r="R197">
            <v>57851.457000000002</v>
          </cell>
          <cell r="S197">
            <v>690216.50462999998</v>
          </cell>
          <cell r="V197">
            <v>29.76712196346493</v>
          </cell>
          <cell r="W197">
            <v>192.56064499999999</v>
          </cell>
        </row>
        <row r="198">
          <cell r="A198">
            <v>19</v>
          </cell>
          <cell r="B198">
            <v>82556.595759999997</v>
          </cell>
          <cell r="C198">
            <v>9280.4785300000003</v>
          </cell>
          <cell r="D198">
            <v>170789.878</v>
          </cell>
          <cell r="E198">
            <v>20911.971000000001</v>
          </cell>
          <cell r="F198">
            <v>0</v>
          </cell>
          <cell r="G198">
            <v>36668.497000000003</v>
          </cell>
          <cell r="H198">
            <v>325277.62699999998</v>
          </cell>
          <cell r="I198">
            <v>15535.638000000001</v>
          </cell>
          <cell r="J198">
            <v>1788.4449999999999</v>
          </cell>
          <cell r="K198">
            <v>11110.745000000001</v>
          </cell>
          <cell r="L198">
            <v>72951.758000000002</v>
          </cell>
          <cell r="M198">
            <v>1315.049</v>
          </cell>
          <cell r="N198">
            <v>5417.0010000000002</v>
          </cell>
          <cell r="O198">
            <v>753603.68328999996</v>
          </cell>
          <cell r="P198">
            <v>-31921.315999999999</v>
          </cell>
          <cell r="Q198">
            <v>-3917.5479999999998</v>
          </cell>
          <cell r="R198">
            <v>-66615.770999999993</v>
          </cell>
          <cell r="S198">
            <v>651149.04828999995</v>
          </cell>
          <cell r="V198">
            <v>43.162956101798592</v>
          </cell>
          <cell r="W198">
            <v>325.277627</v>
          </cell>
        </row>
        <row r="199">
          <cell r="A199">
            <v>20</v>
          </cell>
          <cell r="B199">
            <v>108457.190844</v>
          </cell>
          <cell r="C199">
            <v>18483.632156</v>
          </cell>
          <cell r="D199">
            <v>167845.6</v>
          </cell>
          <cell r="E199">
            <v>28905.434000000001</v>
          </cell>
          <cell r="F199">
            <v>0</v>
          </cell>
          <cell r="G199">
            <v>67972.262000000002</v>
          </cell>
          <cell r="H199">
            <v>342429.79700000002</v>
          </cell>
          <cell r="I199">
            <v>10752.181</v>
          </cell>
          <cell r="J199">
            <v>483.58</v>
          </cell>
          <cell r="K199">
            <v>10794.619000000001</v>
          </cell>
          <cell r="L199">
            <v>78868.453999999998</v>
          </cell>
          <cell r="M199">
            <v>1530.338</v>
          </cell>
          <cell r="N199">
            <v>5514.3429999999998</v>
          </cell>
          <cell r="O199">
            <v>842037.43099999998</v>
          </cell>
          <cell r="P199">
            <v>-16011.071</v>
          </cell>
          <cell r="Q199">
            <v>-4303.1530000000002</v>
          </cell>
          <cell r="R199">
            <v>-18034.851999999999</v>
          </cell>
          <cell r="S199">
            <v>803688.35499999998</v>
          </cell>
          <cell r="V199">
            <v>40.666814133586897</v>
          </cell>
          <cell r="W199">
            <v>342.42979700000001</v>
          </cell>
        </row>
        <row r="200">
          <cell r="A200">
            <v>21</v>
          </cell>
          <cell r="B200">
            <v>111367.906646</v>
          </cell>
          <cell r="C200">
            <v>12522.453364000001</v>
          </cell>
          <cell r="D200">
            <v>170734.91399999999</v>
          </cell>
          <cell r="E200">
            <v>27922.205999999998</v>
          </cell>
          <cell r="F200">
            <v>0</v>
          </cell>
          <cell r="G200">
            <v>113583.02</v>
          </cell>
          <cell r="H200">
            <v>274826.23700000002</v>
          </cell>
          <cell r="I200">
            <v>8905.0540000000001</v>
          </cell>
          <cell r="J200">
            <v>578.58900000000006</v>
          </cell>
          <cell r="K200">
            <v>10777.744000000001</v>
          </cell>
          <cell r="L200">
            <v>77755.392000000007</v>
          </cell>
          <cell r="M200">
            <v>2028.932</v>
          </cell>
          <cell r="N200">
            <v>5984.1819999999998</v>
          </cell>
          <cell r="O200">
            <v>816986.63000999996</v>
          </cell>
          <cell r="P200">
            <v>-18010.752</v>
          </cell>
          <cell r="Q200">
            <v>-4805.308</v>
          </cell>
          <cell r="R200">
            <v>25063.363000000001</v>
          </cell>
          <cell r="S200">
            <v>819233.93301000004</v>
          </cell>
          <cell r="V200">
            <v>33.639012794693606</v>
          </cell>
          <cell r="W200">
            <v>274.82623700000005</v>
          </cell>
        </row>
        <row r="201">
          <cell r="A201">
            <v>22</v>
          </cell>
          <cell r="B201">
            <v>142461.066296</v>
          </cell>
          <cell r="C201">
            <v>8682.6317039999994</v>
          </cell>
          <cell r="D201">
            <v>170864.18</v>
          </cell>
          <cell r="E201">
            <v>28035.412</v>
          </cell>
          <cell r="F201">
            <v>0</v>
          </cell>
          <cell r="G201">
            <v>154014.31400000001</v>
          </cell>
          <cell r="H201">
            <v>155211.34299999999</v>
          </cell>
          <cell r="I201">
            <v>12429.817999999999</v>
          </cell>
          <cell r="J201">
            <v>40.5</v>
          </cell>
          <cell r="K201">
            <v>11053.735000000001</v>
          </cell>
          <cell r="L201">
            <v>79487.464000000007</v>
          </cell>
          <cell r="M201">
            <v>1923.258</v>
          </cell>
          <cell r="N201">
            <v>5768.585</v>
          </cell>
          <cell r="O201">
            <v>769972.30700000003</v>
          </cell>
          <cell r="P201">
            <v>-6187.3670000000002</v>
          </cell>
          <cell r="Q201">
            <v>-4808.2030000000004</v>
          </cell>
          <cell r="R201">
            <v>39784.046000000002</v>
          </cell>
          <cell r="S201">
            <v>798760.78300000005</v>
          </cell>
          <cell r="V201">
            <v>20.158042255408024</v>
          </cell>
          <cell r="W201">
            <v>155.211343</v>
          </cell>
        </row>
        <row r="202">
          <cell r="A202">
            <v>23</v>
          </cell>
          <cell r="B202">
            <v>139464.48149199999</v>
          </cell>
          <cell r="C202">
            <v>607.52550799999995</v>
          </cell>
          <cell r="D202">
            <v>170777.42199999999</v>
          </cell>
          <cell r="E202">
            <v>46003.705999999998</v>
          </cell>
          <cell r="F202">
            <v>0</v>
          </cell>
          <cell r="G202">
            <v>185331.54300000001</v>
          </cell>
          <cell r="H202">
            <v>78188.232999999993</v>
          </cell>
          <cell r="I202">
            <v>13428.532999999999</v>
          </cell>
          <cell r="J202">
            <v>89.757000000000005</v>
          </cell>
          <cell r="K202">
            <v>10677.518</v>
          </cell>
          <cell r="L202">
            <v>83390.994000000006</v>
          </cell>
          <cell r="M202">
            <v>2121.5635000000002</v>
          </cell>
          <cell r="N202">
            <v>6085.0174999999999</v>
          </cell>
          <cell r="O202">
            <v>736166.29399999999</v>
          </cell>
          <cell r="P202">
            <v>-1893.1130000000001</v>
          </cell>
          <cell r="Q202">
            <v>-4717.3540000000003</v>
          </cell>
          <cell r="R202">
            <v>57582.014000000003</v>
          </cell>
          <cell r="S202">
            <v>787137.84100000001</v>
          </cell>
          <cell r="V202">
            <v>10.621001482580782</v>
          </cell>
          <cell r="W202">
            <v>78.188232999999997</v>
          </cell>
        </row>
        <row r="203">
          <cell r="A203">
            <v>24</v>
          </cell>
          <cell r="B203">
            <v>143998.32859600001</v>
          </cell>
          <cell r="C203">
            <v>1499.8454039999999</v>
          </cell>
          <cell r="D203">
            <v>170696.96799999999</v>
          </cell>
          <cell r="E203">
            <v>47568.161999999997</v>
          </cell>
          <cell r="F203">
            <v>0</v>
          </cell>
          <cell r="G203">
            <v>189692.46900000001</v>
          </cell>
          <cell r="H203">
            <v>59561.421000000002</v>
          </cell>
          <cell r="I203">
            <v>11310.084000000001</v>
          </cell>
          <cell r="J203">
            <v>260.09500000000003</v>
          </cell>
          <cell r="K203">
            <v>10827.788</v>
          </cell>
          <cell r="L203">
            <v>84356.241999999998</v>
          </cell>
          <cell r="M203">
            <v>2049.0295000000001</v>
          </cell>
          <cell r="N203">
            <v>6045.8615</v>
          </cell>
          <cell r="O203">
            <v>727866.29399999999</v>
          </cell>
          <cell r="P203">
            <v>-1986.7070000000001</v>
          </cell>
          <cell r="Q203">
            <v>-4712.4709999999995</v>
          </cell>
          <cell r="R203">
            <v>58044.014000000003</v>
          </cell>
          <cell r="S203">
            <v>779211.13</v>
          </cell>
          <cell r="V203">
            <v>8.1830167835742653</v>
          </cell>
          <cell r="W203">
            <v>59.561421000000003</v>
          </cell>
        </row>
        <row r="204">
          <cell r="A204">
            <v>25</v>
          </cell>
          <cell r="B204">
            <v>127896.82821199999</v>
          </cell>
          <cell r="C204">
            <v>870.34978799999999</v>
          </cell>
          <cell r="D204">
            <v>170801.81400000001</v>
          </cell>
          <cell r="E204">
            <v>41368.480000000003</v>
          </cell>
          <cell r="F204">
            <v>0</v>
          </cell>
          <cell r="G204">
            <v>125801.345</v>
          </cell>
          <cell r="H204">
            <v>45082.391000000003</v>
          </cell>
          <cell r="I204">
            <v>9420.768</v>
          </cell>
          <cell r="J204">
            <v>12.97</v>
          </cell>
          <cell r="K204">
            <v>11016.772999999999</v>
          </cell>
          <cell r="L204">
            <v>81470.551000000007</v>
          </cell>
          <cell r="M204">
            <v>2137.4854999999998</v>
          </cell>
          <cell r="N204">
            <v>6217.9184999999998</v>
          </cell>
          <cell r="O204">
            <v>622097.674</v>
          </cell>
          <cell r="P204">
            <v>-467.17500000000001</v>
          </cell>
          <cell r="Q204">
            <v>-4227.9840000000004</v>
          </cell>
          <cell r="R204">
            <v>77046.687999999995</v>
          </cell>
          <cell r="S204">
            <v>694449.20299999998</v>
          </cell>
          <cell r="V204">
            <v>7.2468348434943684</v>
          </cell>
          <cell r="W204">
            <v>45.082391000000001</v>
          </cell>
        </row>
        <row r="205">
          <cell r="A205">
            <v>26</v>
          </cell>
          <cell r="B205">
            <v>98788.946888000006</v>
          </cell>
          <cell r="C205">
            <v>177.37811199999999</v>
          </cell>
          <cell r="D205">
            <v>170895.80900000001</v>
          </cell>
          <cell r="E205">
            <v>23041.703000000001</v>
          </cell>
          <cell r="F205">
            <v>0</v>
          </cell>
          <cell r="G205">
            <v>80260.035999999993</v>
          </cell>
          <cell r="H205">
            <v>127780.219</v>
          </cell>
          <cell r="I205">
            <v>22264.822</v>
          </cell>
          <cell r="J205">
            <v>2323.0500000000002</v>
          </cell>
          <cell r="K205">
            <v>10668.47</v>
          </cell>
          <cell r="L205">
            <v>75778.736000000004</v>
          </cell>
          <cell r="M205">
            <v>2117.0814999999998</v>
          </cell>
          <cell r="N205">
            <v>6141.0415000000003</v>
          </cell>
          <cell r="O205">
            <v>620237.29299999995</v>
          </cell>
          <cell r="P205">
            <v>-12570.574000000001</v>
          </cell>
          <cell r="Q205">
            <v>-3825.145</v>
          </cell>
          <cell r="R205">
            <v>34492.01</v>
          </cell>
          <cell r="S205">
            <v>638333.58400000003</v>
          </cell>
          <cell r="V205">
            <v>20.601827791093498</v>
          </cell>
          <cell r="W205">
            <v>127.780219</v>
          </cell>
        </row>
        <row r="206">
          <cell r="A206">
            <v>27</v>
          </cell>
          <cell r="B206">
            <v>92122.878276000003</v>
          </cell>
          <cell r="C206">
            <v>2775.8678639999998</v>
          </cell>
          <cell r="D206">
            <v>170848.72399999999</v>
          </cell>
          <cell r="E206">
            <v>22793.207999999999</v>
          </cell>
          <cell r="F206">
            <v>0</v>
          </cell>
          <cell r="G206">
            <v>99658.842999999993</v>
          </cell>
          <cell r="H206">
            <v>258721.38800000001</v>
          </cell>
          <cell r="I206">
            <v>20703.032999999999</v>
          </cell>
          <cell r="J206">
            <v>1603.0319999999999</v>
          </cell>
          <cell r="K206">
            <v>10809.415000000001</v>
          </cell>
          <cell r="L206">
            <v>77827.623000000007</v>
          </cell>
          <cell r="M206">
            <v>2063.5419999999999</v>
          </cell>
          <cell r="N206">
            <v>5730.1989999999996</v>
          </cell>
          <cell r="O206">
            <v>765657.75314000004</v>
          </cell>
          <cell r="P206">
            <v>-19342.580999999998</v>
          </cell>
          <cell r="Q206">
            <v>-4705.473</v>
          </cell>
          <cell r="R206">
            <v>23607.843000000001</v>
          </cell>
          <cell r="S206">
            <v>765217.54214000003</v>
          </cell>
          <cell r="V206">
            <v>33.790735735251275</v>
          </cell>
          <cell r="W206">
            <v>258.72138799999999</v>
          </cell>
        </row>
        <row r="207">
          <cell r="A207">
            <v>28</v>
          </cell>
          <cell r="B207">
            <v>103058.62475</v>
          </cell>
          <cell r="C207">
            <v>7780.9742500000002</v>
          </cell>
          <cell r="D207">
            <v>170729.30900000001</v>
          </cell>
          <cell r="E207">
            <v>35414.285000000003</v>
          </cell>
          <cell r="F207">
            <v>0</v>
          </cell>
          <cell r="G207">
            <v>93888.486999999994</v>
          </cell>
          <cell r="H207">
            <v>219008.285</v>
          </cell>
          <cell r="I207">
            <v>13828.826999999999</v>
          </cell>
          <cell r="J207">
            <v>528.65700000000004</v>
          </cell>
          <cell r="K207">
            <v>11137.2</v>
          </cell>
          <cell r="L207">
            <v>76704.365999999995</v>
          </cell>
          <cell r="M207">
            <v>2082.7914999999998</v>
          </cell>
          <cell r="N207">
            <v>4782.7984999999999</v>
          </cell>
          <cell r="O207">
            <v>738944.60499999998</v>
          </cell>
          <cell r="P207">
            <v>-17381.202000000001</v>
          </cell>
          <cell r="Q207">
            <v>-4567.58</v>
          </cell>
          <cell r="R207">
            <v>47831.991999999998</v>
          </cell>
          <cell r="S207">
            <v>764827.81499999994</v>
          </cell>
          <cell r="V207">
            <v>29.637984162561143</v>
          </cell>
          <cell r="W207">
            <v>219.008285</v>
          </cell>
        </row>
        <row r="208">
          <cell r="A208">
            <v>29</v>
          </cell>
          <cell r="B208">
            <v>101103.769732</v>
          </cell>
          <cell r="C208">
            <v>8466.4872080000005</v>
          </cell>
          <cell r="D208">
            <v>170766.845</v>
          </cell>
          <cell r="E208">
            <v>36589.141000000003</v>
          </cell>
          <cell r="F208">
            <v>0</v>
          </cell>
          <cell r="G208">
            <v>100650.253</v>
          </cell>
          <cell r="H208">
            <v>204475.40100000001</v>
          </cell>
          <cell r="I208">
            <v>17533.351999999999</v>
          </cell>
          <cell r="J208">
            <v>783.45899999999995</v>
          </cell>
          <cell r="K208">
            <v>12043.897999999999</v>
          </cell>
          <cell r="L208">
            <v>78624.354000000007</v>
          </cell>
          <cell r="M208">
            <v>2118.5909999999999</v>
          </cell>
          <cell r="N208">
            <v>5094.549</v>
          </cell>
          <cell r="O208">
            <v>738250.09993999999</v>
          </cell>
          <cell r="P208">
            <v>-11154.987999999999</v>
          </cell>
          <cell r="Q208">
            <v>-4325.6149999999998</v>
          </cell>
          <cell r="R208">
            <v>27988.834999999999</v>
          </cell>
          <cell r="S208">
            <v>750758.33193999995</v>
          </cell>
          <cell r="V208">
            <v>27.697307594894795</v>
          </cell>
          <cell r="W208">
            <v>204.47540100000001</v>
          </cell>
        </row>
        <row r="209">
          <cell r="A209">
            <v>30</v>
          </cell>
          <cell r="B209">
            <v>87250.384481999994</v>
          </cell>
          <cell r="C209">
            <v>3198.8211780000001</v>
          </cell>
          <cell r="D209">
            <v>170761.27799999999</v>
          </cell>
          <cell r="E209">
            <v>31168.116000000002</v>
          </cell>
          <cell r="F209">
            <v>0</v>
          </cell>
          <cell r="G209">
            <v>87021.023000000001</v>
          </cell>
          <cell r="H209">
            <v>225380.06400000001</v>
          </cell>
          <cell r="I209">
            <v>19845.141</v>
          </cell>
          <cell r="J209">
            <v>1610.0889999999999</v>
          </cell>
          <cell r="K209">
            <v>12837.148999999999</v>
          </cell>
          <cell r="L209">
            <v>77789.476999999999</v>
          </cell>
          <cell r="M209">
            <v>2152.5655000000002</v>
          </cell>
          <cell r="N209">
            <v>4625.6014999999998</v>
          </cell>
          <cell r="O209">
            <v>723639.70966000005</v>
          </cell>
          <cell r="P209">
            <v>-18929.081999999999</v>
          </cell>
          <cell r="Q209">
            <v>-4313.0460000000003</v>
          </cell>
          <cell r="R209">
            <v>36075.822</v>
          </cell>
          <cell r="S209">
            <v>736473.40365999995</v>
          </cell>
          <cell r="V209">
            <v>31.145342218145295</v>
          </cell>
          <cell r="W209">
            <v>225.380064</v>
          </cell>
        </row>
        <row r="210">
          <cell r="A210">
            <v>31</v>
          </cell>
          <cell r="B210">
            <v>93948.000679999997</v>
          </cell>
          <cell r="C210">
            <v>6656.1742100000001</v>
          </cell>
          <cell r="D210">
            <v>170755.50700000001</v>
          </cell>
          <cell r="E210">
            <v>31380.784</v>
          </cell>
          <cell r="F210">
            <v>0</v>
          </cell>
          <cell r="G210">
            <v>81302.073999999993</v>
          </cell>
          <cell r="H210">
            <v>190724.231</v>
          </cell>
          <cell r="I210">
            <v>19741.666000000001</v>
          </cell>
          <cell r="J210">
            <v>919.11099999999999</v>
          </cell>
          <cell r="K210">
            <v>11358.226000000001</v>
          </cell>
          <cell r="L210">
            <v>80634.362999999998</v>
          </cell>
          <cell r="M210">
            <v>2147.3724999999999</v>
          </cell>
          <cell r="N210">
            <v>4735.7404999999999</v>
          </cell>
          <cell r="O210">
            <v>694303.24988999998</v>
          </cell>
          <cell r="P210">
            <v>-12722.831</v>
          </cell>
          <cell r="Q210">
            <v>-4184.826</v>
          </cell>
          <cell r="R210">
            <v>46889.997000000003</v>
          </cell>
          <cell r="S210">
            <v>724285.58988999994</v>
          </cell>
          <cell r="V210">
            <v>27.469874443223024</v>
          </cell>
          <cell r="W210">
            <v>190.724231</v>
          </cell>
        </row>
        <row r="220">
          <cell r="I220">
            <v>4.1E-5</v>
          </cell>
          <cell r="J220">
            <v>0</v>
          </cell>
          <cell r="P220">
            <v>-1.098482</v>
          </cell>
          <cell r="Q220">
            <v>-0.10553800000000001</v>
          </cell>
          <cell r="V220">
            <v>47.629278781455625</v>
          </cell>
        </row>
        <row r="221">
          <cell r="I221">
            <v>9.2E-5</v>
          </cell>
          <cell r="P221">
            <v>-2.1077149999999998</v>
          </cell>
          <cell r="V221">
            <v>48.967919430888543</v>
          </cell>
        </row>
        <row r="222">
          <cell r="I222">
            <v>9.8999999999999994E-5</v>
          </cell>
          <cell r="P222">
            <v>-2.7690290000000002</v>
          </cell>
          <cell r="V222">
            <v>49.555245094624631</v>
          </cell>
        </row>
        <row r="223">
          <cell r="I223">
            <v>1.05E-4</v>
          </cell>
          <cell r="P223">
            <v>-2.8212969999999999</v>
          </cell>
          <cell r="V223">
            <v>49.061364528953341</v>
          </cell>
        </row>
        <row r="224">
          <cell r="I224">
            <v>1.75E-4</v>
          </cell>
          <cell r="P224">
            <v>-2.8154530000000002</v>
          </cell>
          <cell r="V224">
            <v>49.840748443146474</v>
          </cell>
        </row>
        <row r="225">
          <cell r="I225">
            <v>1.85E-4</v>
          </cell>
          <cell r="P225">
            <v>-2.6310750000000001</v>
          </cell>
          <cell r="V225">
            <v>48.751729797838422</v>
          </cell>
        </row>
        <row r="226">
          <cell r="I226">
            <v>2.9300000000000002E-4</v>
          </cell>
          <cell r="P226">
            <v>-1.619848</v>
          </cell>
          <cell r="V226">
            <v>47.669768918362522</v>
          </cell>
        </row>
        <row r="227">
          <cell r="I227">
            <v>6.6100000000000002E-4</v>
          </cell>
          <cell r="P227">
            <v>-3.1413000000000003E-2</v>
          </cell>
          <cell r="V227">
            <v>43.265307569550288</v>
          </cell>
        </row>
        <row r="228">
          <cell r="I228">
            <v>1.5271E-2</v>
          </cell>
          <cell r="P228">
            <v>-2.2179999999999999E-3</v>
          </cell>
          <cell r="V228">
            <v>40.165657970142234</v>
          </cell>
        </row>
        <row r="229">
          <cell r="I229">
            <v>0.41887200000000002</v>
          </cell>
          <cell r="P229">
            <v>-2.2729999999999998E-3</v>
          </cell>
          <cell r="V229">
            <v>38.2594319158137</v>
          </cell>
        </row>
        <row r="230">
          <cell r="I230">
            <v>1.1088530000000001</v>
          </cell>
          <cell r="P230">
            <v>-2.3040000000000001E-3</v>
          </cell>
          <cell r="V230">
            <v>36.655059450195793</v>
          </cell>
        </row>
        <row r="231">
          <cell r="I231">
            <v>1.4735100000000001</v>
          </cell>
          <cell r="P231">
            <v>-2.251E-3</v>
          </cell>
          <cell r="V231">
            <v>36.392358481314794</v>
          </cell>
        </row>
        <row r="232">
          <cell r="I232">
            <v>1.7085809999999999</v>
          </cell>
          <cell r="P232">
            <v>-2.2850000000000001E-3</v>
          </cell>
          <cell r="V232">
            <v>35.99718609761721</v>
          </cell>
        </row>
        <row r="233">
          <cell r="I233">
            <v>1.7267129999999999</v>
          </cell>
          <cell r="P233">
            <v>-2.2859999999999998E-3</v>
          </cell>
          <cell r="V233">
            <v>36.568539681548458</v>
          </cell>
        </row>
        <row r="234">
          <cell r="I234">
            <v>1.640255</v>
          </cell>
          <cell r="P234">
            <v>-2.3019999999999998E-3</v>
          </cell>
          <cell r="V234">
            <v>36.695408655246709</v>
          </cell>
        </row>
        <row r="235">
          <cell r="I235">
            <v>1.391437</v>
          </cell>
          <cell r="P235">
            <v>-2.2910000000000001E-3</v>
          </cell>
          <cell r="V235">
            <v>37.239443666557534</v>
          </cell>
        </row>
        <row r="236">
          <cell r="I236">
            <v>0.945855</v>
          </cell>
          <cell r="P236">
            <v>-2.2230000000000001E-3</v>
          </cell>
          <cell r="V236">
            <v>38.112727159642965</v>
          </cell>
        </row>
        <row r="237">
          <cell r="I237">
            <v>0.30777100000000002</v>
          </cell>
          <cell r="P237">
            <v>-2.1649999999999998E-3</v>
          </cell>
          <cell r="V237">
            <v>38.800286453647615</v>
          </cell>
        </row>
        <row r="238">
          <cell r="I238">
            <v>1.2997999999999999E-2</v>
          </cell>
          <cell r="P238">
            <v>-2.199E-3</v>
          </cell>
          <cell r="V238">
            <v>37.373681074748994</v>
          </cell>
        </row>
        <row r="239">
          <cell r="I239">
            <v>1.3899999999999999E-4</v>
          </cell>
          <cell r="P239">
            <v>-1.7753000000000001E-2</v>
          </cell>
          <cell r="V239">
            <v>36.211176461624532</v>
          </cell>
        </row>
        <row r="240">
          <cell r="I240">
            <v>1.2899999999999999E-4</v>
          </cell>
          <cell r="P240">
            <v>-2.1691999999999999E-2</v>
          </cell>
          <cell r="V240">
            <v>35.821736936678974</v>
          </cell>
        </row>
        <row r="241">
          <cell r="I241">
            <v>5.0000000000000002E-5</v>
          </cell>
          <cell r="P241">
            <v>-1.9859999999999999E-3</v>
          </cell>
          <cell r="V241">
            <v>38.149103012032207</v>
          </cell>
        </row>
        <row r="242">
          <cell r="I242">
            <v>4.1999999999999998E-5</v>
          </cell>
          <cell r="P242">
            <v>-1.918E-3</v>
          </cell>
          <cell r="V242">
            <v>39.110670449060194</v>
          </cell>
        </row>
        <row r="243">
          <cell r="I243">
            <v>5.3999999999999998E-5</v>
          </cell>
          <cell r="P243">
            <v>-4.8613000000000003E-2</v>
          </cell>
          <cell r="V243">
            <v>41.247013615611529</v>
          </cell>
        </row>
        <row r="244">
          <cell r="V244" t="str">
            <v/>
          </cell>
        </row>
        <row r="245">
          <cell r="V245" t="str">
            <v/>
          </cell>
        </row>
      </sheetData>
      <sheetData sheetId="17">
        <row r="3">
          <cell r="C3">
            <v>48.123127146517682</v>
          </cell>
          <cell r="D3">
            <v>120.59631724353227</v>
          </cell>
          <cell r="E3">
            <v>48.123127146517682</v>
          </cell>
        </row>
        <row r="4">
          <cell r="C4">
            <v>42.636473521669153</v>
          </cell>
          <cell r="D4">
            <v>120.59631724353227</v>
          </cell>
          <cell r="E4">
            <v>42.636473521669153</v>
          </cell>
        </row>
        <row r="5">
          <cell r="C5">
            <v>64.323681971667284</v>
          </cell>
          <cell r="D5">
            <v>120.59631724353227</v>
          </cell>
          <cell r="E5">
            <v>64.323681971667284</v>
          </cell>
        </row>
        <row r="6">
          <cell r="C6">
            <v>75.643640243669154</v>
          </cell>
          <cell r="D6">
            <v>120.59631724353227</v>
          </cell>
          <cell r="E6">
            <v>75.643640243669154</v>
          </cell>
        </row>
        <row r="7">
          <cell r="C7">
            <v>40.164393683671022</v>
          </cell>
          <cell r="D7">
            <v>120.59631724353227</v>
          </cell>
          <cell r="E7">
            <v>40.164393683671022</v>
          </cell>
        </row>
        <row r="8">
          <cell r="C8">
            <v>23.406447041667292</v>
          </cell>
          <cell r="D8">
            <v>120.59631724353227</v>
          </cell>
          <cell r="E8">
            <v>23.406447041667292</v>
          </cell>
        </row>
        <row r="9">
          <cell r="C9">
            <v>48.050071631669155</v>
          </cell>
          <cell r="D9">
            <v>120.59631724353227</v>
          </cell>
          <cell r="E9">
            <v>48.050071631669155</v>
          </cell>
        </row>
        <row r="10">
          <cell r="C10">
            <v>49.386536037670083</v>
          </cell>
          <cell r="D10">
            <v>120.59631724353227</v>
          </cell>
          <cell r="E10">
            <v>49.386536037670083</v>
          </cell>
        </row>
        <row r="11">
          <cell r="C11">
            <v>33.719116509774096</v>
          </cell>
          <cell r="D11">
            <v>120.59631724353227</v>
          </cell>
          <cell r="E11">
            <v>33.719116509774096</v>
          </cell>
        </row>
        <row r="12">
          <cell r="C12">
            <v>47.290569803776897</v>
          </cell>
          <cell r="D12">
            <v>120.59631724353227</v>
          </cell>
          <cell r="E12">
            <v>47.290569803776897</v>
          </cell>
        </row>
        <row r="13">
          <cell r="C13">
            <v>49.306202171775034</v>
          </cell>
          <cell r="D13">
            <v>120.59631724353227</v>
          </cell>
          <cell r="E13">
            <v>49.306202171775034</v>
          </cell>
        </row>
        <row r="14">
          <cell r="C14">
            <v>21.417700821775025</v>
          </cell>
          <cell r="D14">
            <v>120.59631724353227</v>
          </cell>
          <cell r="E14">
            <v>21.417700821775025</v>
          </cell>
        </row>
        <row r="15">
          <cell r="C15">
            <v>27.372357911775957</v>
          </cell>
          <cell r="D15">
            <v>120.59631724353227</v>
          </cell>
          <cell r="E15">
            <v>27.372357911775957</v>
          </cell>
        </row>
        <row r="16">
          <cell r="C16">
            <v>38.601003241775963</v>
          </cell>
          <cell r="D16">
            <v>120.59631724353227</v>
          </cell>
          <cell r="E16">
            <v>38.601003241775963</v>
          </cell>
        </row>
        <row r="17">
          <cell r="C17">
            <v>66.269905331775973</v>
          </cell>
          <cell r="D17">
            <v>120.59631724353227</v>
          </cell>
          <cell r="E17">
            <v>66.269905331775973</v>
          </cell>
        </row>
        <row r="18">
          <cell r="C18">
            <v>57.049382584859849</v>
          </cell>
          <cell r="D18">
            <v>120.59631724353227</v>
          </cell>
          <cell r="E18">
            <v>57.049382584859849</v>
          </cell>
        </row>
        <row r="19">
          <cell r="C19">
            <v>47.086793530857058</v>
          </cell>
          <cell r="D19">
            <v>120.59631724353227</v>
          </cell>
          <cell r="E19">
            <v>47.086793530857058</v>
          </cell>
        </row>
        <row r="20">
          <cell r="C20">
            <v>75.72736085885893</v>
          </cell>
          <cell r="D20">
            <v>120.59631724353227</v>
          </cell>
          <cell r="E20">
            <v>75.72736085885893</v>
          </cell>
        </row>
        <row r="21">
          <cell r="C21">
            <v>43.378133048858913</v>
          </cell>
          <cell r="D21">
            <v>120.59631724353227</v>
          </cell>
          <cell r="E21">
            <v>43.378133048858913</v>
          </cell>
        </row>
        <row r="22">
          <cell r="C22">
            <v>21.839733468858917</v>
          </cell>
          <cell r="D22">
            <v>120.59631724353227</v>
          </cell>
          <cell r="E22">
            <v>21.839733468858917</v>
          </cell>
        </row>
        <row r="23">
          <cell r="C23">
            <v>65.404301698859854</v>
          </cell>
          <cell r="D23">
            <v>120.59631724353227</v>
          </cell>
          <cell r="E23">
            <v>65.404301698859854</v>
          </cell>
        </row>
        <row r="24">
          <cell r="C24">
            <v>50.40606404885893</v>
          </cell>
          <cell r="D24">
            <v>120.59631724353227</v>
          </cell>
          <cell r="E24">
            <v>50.40606404885893</v>
          </cell>
        </row>
        <row r="25">
          <cell r="C25">
            <v>86.933992344619128</v>
          </cell>
          <cell r="D25">
            <v>120.59631724353227</v>
          </cell>
          <cell r="E25">
            <v>86.933992344619128</v>
          </cell>
        </row>
        <row r="26">
          <cell r="C26">
            <v>93.897589926620057</v>
          </cell>
          <cell r="D26">
            <v>120.59631724353227</v>
          </cell>
          <cell r="E26">
            <v>93.897589926620057</v>
          </cell>
        </row>
        <row r="27">
          <cell r="C27">
            <v>99.325622760620988</v>
          </cell>
          <cell r="D27">
            <v>120.59631724353227</v>
          </cell>
          <cell r="E27">
            <v>99.325622760620988</v>
          </cell>
        </row>
        <row r="28">
          <cell r="C28">
            <v>91.521473510619117</v>
          </cell>
          <cell r="D28">
            <v>120.59631724353227</v>
          </cell>
          <cell r="E28">
            <v>91.521473510619117</v>
          </cell>
        </row>
        <row r="29">
          <cell r="C29">
            <v>77.209113650621902</v>
          </cell>
          <cell r="D29">
            <v>120.59631724353227</v>
          </cell>
          <cell r="E29">
            <v>77.209113650621902</v>
          </cell>
        </row>
        <row r="30">
          <cell r="C30">
            <v>99.019040460619109</v>
          </cell>
          <cell r="D30">
            <v>120.59631724353227</v>
          </cell>
          <cell r="E30">
            <v>99.019040460619109</v>
          </cell>
        </row>
        <row r="31">
          <cell r="C31">
            <v>101.45238873061912</v>
          </cell>
          <cell r="D31">
            <v>120.59631724353227</v>
          </cell>
          <cell r="E31">
            <v>101.45238873061912</v>
          </cell>
        </row>
        <row r="32">
          <cell r="C32">
            <v>167.32990158214932</v>
          </cell>
          <cell r="D32">
            <v>120.59631724353227</v>
          </cell>
          <cell r="E32">
            <v>120.59631724353227</v>
          </cell>
        </row>
        <row r="33">
          <cell r="C33">
            <v>172.57129317015026</v>
          </cell>
          <cell r="D33">
            <v>120.59631724353227</v>
          </cell>
          <cell r="E33">
            <v>120.59631724353227</v>
          </cell>
        </row>
        <row r="34">
          <cell r="C34">
            <v>185.58193324014655</v>
          </cell>
          <cell r="D34">
            <v>120.04142913099631</v>
          </cell>
          <cell r="E34">
            <v>120.04142913099631</v>
          </cell>
        </row>
        <row r="35">
          <cell r="C35">
            <v>185.57443929814841</v>
          </cell>
          <cell r="D35">
            <v>120.04142913099631</v>
          </cell>
          <cell r="E35">
            <v>120.04142913099631</v>
          </cell>
        </row>
        <row r="36">
          <cell r="C36">
            <v>184.96758135014844</v>
          </cell>
          <cell r="D36">
            <v>120.04142913099631</v>
          </cell>
          <cell r="E36">
            <v>120.04142913099631</v>
          </cell>
        </row>
        <row r="37">
          <cell r="C37">
            <v>193.9985455941484</v>
          </cell>
          <cell r="D37">
            <v>120.04142913099631</v>
          </cell>
          <cell r="E37">
            <v>120.04142913099631</v>
          </cell>
        </row>
        <row r="38">
          <cell r="C38">
            <v>194.73273308214843</v>
          </cell>
          <cell r="D38">
            <v>120.04142913099631</v>
          </cell>
          <cell r="E38">
            <v>120.04142913099631</v>
          </cell>
        </row>
        <row r="39">
          <cell r="C39">
            <v>141.24960643784806</v>
          </cell>
          <cell r="D39">
            <v>120.04142913099631</v>
          </cell>
          <cell r="E39">
            <v>120.04142913099631</v>
          </cell>
        </row>
        <row r="40">
          <cell r="C40">
            <v>141.99456505784809</v>
          </cell>
          <cell r="D40">
            <v>120.04142913099631</v>
          </cell>
          <cell r="E40">
            <v>120.04142913099631</v>
          </cell>
        </row>
        <row r="41">
          <cell r="C41">
            <v>133.18816221984807</v>
          </cell>
          <cell r="D41">
            <v>120.04142913099631</v>
          </cell>
          <cell r="E41">
            <v>120.04142913099631</v>
          </cell>
        </row>
        <row r="42">
          <cell r="C42">
            <v>126.08179446984809</v>
          </cell>
          <cell r="D42">
            <v>120.04142913099631</v>
          </cell>
          <cell r="E42">
            <v>120.04142913099631</v>
          </cell>
        </row>
        <row r="43">
          <cell r="C43">
            <v>114.24660454384994</v>
          </cell>
          <cell r="D43">
            <v>120.04142913099631</v>
          </cell>
          <cell r="E43">
            <v>114.24660454384994</v>
          </cell>
        </row>
        <row r="44">
          <cell r="C44">
            <v>123.23982218384808</v>
          </cell>
          <cell r="D44">
            <v>120.04142913099631</v>
          </cell>
          <cell r="E44">
            <v>120.04142913099631</v>
          </cell>
        </row>
        <row r="45">
          <cell r="C45">
            <v>139.96621025384809</v>
          </cell>
          <cell r="D45">
            <v>120.04142913099631</v>
          </cell>
          <cell r="E45">
            <v>120.04142913099631</v>
          </cell>
        </row>
        <row r="46">
          <cell r="C46">
            <v>120.51201069644542</v>
          </cell>
          <cell r="D46">
            <v>120.04142913099631</v>
          </cell>
          <cell r="E46">
            <v>120.04142913099631</v>
          </cell>
        </row>
        <row r="47">
          <cell r="C47">
            <v>103.62366132644726</v>
          </cell>
          <cell r="D47">
            <v>120.04142913099631</v>
          </cell>
          <cell r="E47">
            <v>103.62366132644726</v>
          </cell>
        </row>
        <row r="48">
          <cell r="C48">
            <v>107.92361247844542</v>
          </cell>
          <cell r="D48">
            <v>120.04142913099631</v>
          </cell>
          <cell r="E48">
            <v>107.92361247844542</v>
          </cell>
        </row>
        <row r="49">
          <cell r="C49">
            <v>94.661395232447276</v>
          </cell>
          <cell r="D49">
            <v>120.04142913099631</v>
          </cell>
          <cell r="E49">
            <v>94.661395232447276</v>
          </cell>
        </row>
        <row r="50">
          <cell r="C50">
            <v>84.417533128447275</v>
          </cell>
          <cell r="D50">
            <v>120.04142913099631</v>
          </cell>
          <cell r="E50">
            <v>84.417533128447275</v>
          </cell>
        </row>
        <row r="51">
          <cell r="C51">
            <v>109.91697916244728</v>
          </cell>
          <cell r="D51">
            <v>120.04142913099631</v>
          </cell>
          <cell r="E51">
            <v>109.91697916244728</v>
          </cell>
        </row>
        <row r="52">
          <cell r="C52">
            <v>119.44313481844542</v>
          </cell>
          <cell r="D52">
            <v>120.04142913099631</v>
          </cell>
          <cell r="E52">
            <v>119.44313481844542</v>
          </cell>
        </row>
        <row r="53">
          <cell r="C53">
            <v>87.669133587945765</v>
          </cell>
          <cell r="D53">
            <v>120.04142913099631</v>
          </cell>
          <cell r="E53">
            <v>87.669133587945765</v>
          </cell>
        </row>
        <row r="54">
          <cell r="C54">
            <v>79.117863777947633</v>
          </cell>
          <cell r="D54">
            <v>120.04142913099631</v>
          </cell>
          <cell r="E54">
            <v>79.117863777947633</v>
          </cell>
        </row>
        <row r="55">
          <cell r="C55">
            <v>75.298925477949496</v>
          </cell>
          <cell r="D55">
            <v>120.04142913099631</v>
          </cell>
          <cell r="E55">
            <v>75.298925477949496</v>
          </cell>
        </row>
        <row r="56">
          <cell r="C56">
            <v>64.675635013947627</v>
          </cell>
          <cell r="D56">
            <v>120.04142913099631</v>
          </cell>
          <cell r="E56">
            <v>64.675635013947627</v>
          </cell>
        </row>
        <row r="57">
          <cell r="C57">
            <v>66.564979371945768</v>
          </cell>
          <cell r="D57">
            <v>120.04142913099631</v>
          </cell>
          <cell r="E57">
            <v>66.564979371945768</v>
          </cell>
        </row>
        <row r="58">
          <cell r="C58">
            <v>91.917289957949492</v>
          </cell>
          <cell r="D58">
            <v>120.04142913099631</v>
          </cell>
          <cell r="E58">
            <v>91.917289957949492</v>
          </cell>
        </row>
        <row r="59">
          <cell r="C59">
            <v>75.530994327947624</v>
          </cell>
          <cell r="D59">
            <v>120.04142913099631</v>
          </cell>
          <cell r="E59">
            <v>75.530994327947624</v>
          </cell>
        </row>
        <row r="60">
          <cell r="C60">
            <v>69.289270910230613</v>
          </cell>
          <cell r="D60">
            <v>120.04142913099631</v>
          </cell>
          <cell r="E60">
            <v>69.289270910230613</v>
          </cell>
        </row>
        <row r="61">
          <cell r="C61">
            <v>63.050235326230613</v>
          </cell>
          <cell r="D61">
            <v>120.04142913099631</v>
          </cell>
          <cell r="E61">
            <v>63.050235326230613</v>
          </cell>
        </row>
        <row r="62">
          <cell r="C62">
            <v>70.279727594230607</v>
          </cell>
          <cell r="D62">
            <v>132.90693384979679</v>
          </cell>
          <cell r="E62">
            <v>70.279727594230607</v>
          </cell>
        </row>
        <row r="63">
          <cell r="C63">
            <v>55.067245526230607</v>
          </cell>
          <cell r="D63">
            <v>132.90693384979679</v>
          </cell>
          <cell r="E63">
            <v>55.067245526230607</v>
          </cell>
        </row>
        <row r="64">
          <cell r="C64">
            <v>40.961962326230605</v>
          </cell>
          <cell r="D64">
            <v>132.90693384979679</v>
          </cell>
          <cell r="E64">
            <v>40.961962326230605</v>
          </cell>
        </row>
        <row r="65">
          <cell r="C65">
            <v>48.808900076230607</v>
          </cell>
          <cell r="D65">
            <v>132.90693384979679</v>
          </cell>
          <cell r="E65">
            <v>48.808900076230607</v>
          </cell>
        </row>
        <row r="66">
          <cell r="C66">
            <v>50.550977536232473</v>
          </cell>
          <cell r="D66">
            <v>132.90693384979679</v>
          </cell>
          <cell r="E66">
            <v>50.550977536232473</v>
          </cell>
        </row>
        <row r="67">
          <cell r="C67">
            <v>97.01795352355073</v>
          </cell>
          <cell r="D67">
            <v>132.90693384979679</v>
          </cell>
          <cell r="E67">
            <v>97.01795352355073</v>
          </cell>
        </row>
        <row r="68">
          <cell r="C68">
            <v>113.77763996755631</v>
          </cell>
          <cell r="D68">
            <v>132.90693384979679</v>
          </cell>
          <cell r="E68">
            <v>113.77763996755631</v>
          </cell>
        </row>
        <row r="69">
          <cell r="C69">
            <v>134.52090230355446</v>
          </cell>
          <cell r="D69">
            <v>132.90693384979679</v>
          </cell>
          <cell r="E69">
            <v>132.90693384979679</v>
          </cell>
        </row>
        <row r="70">
          <cell r="C70">
            <v>133.51544254355261</v>
          </cell>
          <cell r="D70">
            <v>132.90693384979679</v>
          </cell>
          <cell r="E70">
            <v>132.90693384979679</v>
          </cell>
        </row>
        <row r="71">
          <cell r="C71">
            <v>106.08530919355445</v>
          </cell>
          <cell r="D71">
            <v>132.90693384979679</v>
          </cell>
          <cell r="E71">
            <v>106.08530919355445</v>
          </cell>
        </row>
        <row r="72">
          <cell r="C72">
            <v>131.25554703755444</v>
          </cell>
          <cell r="D72">
            <v>132.90693384979679</v>
          </cell>
          <cell r="E72">
            <v>131.25554703755444</v>
          </cell>
        </row>
        <row r="73">
          <cell r="C73">
            <v>122.2313333735526</v>
          </cell>
          <cell r="D73">
            <v>132.90693384979679</v>
          </cell>
          <cell r="E73">
            <v>122.2313333735526</v>
          </cell>
        </row>
        <row r="74">
          <cell r="C74">
            <v>66.422230921277958</v>
          </cell>
          <cell r="D74">
            <v>132.90693384979679</v>
          </cell>
          <cell r="E74">
            <v>66.422230921277958</v>
          </cell>
        </row>
        <row r="75">
          <cell r="C75">
            <v>83.603457791279808</v>
          </cell>
          <cell r="D75">
            <v>132.90693384979679</v>
          </cell>
          <cell r="E75">
            <v>83.603457791279808</v>
          </cell>
        </row>
        <row r="76">
          <cell r="C76">
            <v>97.312987301277957</v>
          </cell>
          <cell r="D76">
            <v>132.90693384979679</v>
          </cell>
          <cell r="E76">
            <v>97.312987301277957</v>
          </cell>
        </row>
        <row r="77">
          <cell r="C77">
            <v>74.714766641279809</v>
          </cell>
          <cell r="D77">
            <v>132.90693384979679</v>
          </cell>
          <cell r="E77">
            <v>74.714766641279809</v>
          </cell>
        </row>
        <row r="78">
          <cell r="C78">
            <v>41.087115621277952</v>
          </cell>
          <cell r="D78">
            <v>132.90693384979679</v>
          </cell>
          <cell r="E78">
            <v>41.087115621277952</v>
          </cell>
        </row>
        <row r="79">
          <cell r="C79">
            <v>61.18239848127795</v>
          </cell>
          <cell r="D79">
            <v>132.90693384979679</v>
          </cell>
          <cell r="E79">
            <v>61.18239848127795</v>
          </cell>
        </row>
        <row r="80">
          <cell r="C80">
            <v>62.000907013279814</v>
          </cell>
          <cell r="D80">
            <v>132.90693384979679</v>
          </cell>
          <cell r="E80">
            <v>62.000907013279814</v>
          </cell>
        </row>
        <row r="81">
          <cell r="C81">
            <v>59.069677764690461</v>
          </cell>
          <cell r="D81">
            <v>132.90693384979679</v>
          </cell>
          <cell r="E81">
            <v>59.069677764690461</v>
          </cell>
        </row>
        <row r="82">
          <cell r="C82">
            <v>74.912399428690463</v>
          </cell>
          <cell r="D82">
            <v>132.90693384979679</v>
          </cell>
          <cell r="E82">
            <v>74.912399428690463</v>
          </cell>
        </row>
        <row r="83">
          <cell r="C83">
            <v>98.957296132692321</v>
          </cell>
          <cell r="D83">
            <v>132.90693384979679</v>
          </cell>
          <cell r="E83">
            <v>98.957296132692321</v>
          </cell>
        </row>
        <row r="84">
          <cell r="C84">
            <v>68.347545472690456</v>
          </cell>
          <cell r="D84">
            <v>132.90693384979679</v>
          </cell>
          <cell r="E84">
            <v>68.347545472690456</v>
          </cell>
        </row>
        <row r="85">
          <cell r="C85">
            <v>41.337805642692324</v>
          </cell>
          <cell r="D85">
            <v>132.90693384979679</v>
          </cell>
          <cell r="E85">
            <v>41.337805642692324</v>
          </cell>
        </row>
        <row r="86">
          <cell r="C86">
            <v>42.095181022690454</v>
          </cell>
          <cell r="D86">
            <v>132.90693384979679</v>
          </cell>
          <cell r="E86">
            <v>42.095181022690454</v>
          </cell>
        </row>
        <row r="87">
          <cell r="C87">
            <v>37.959048062692325</v>
          </cell>
          <cell r="D87">
            <v>132.90693384979679</v>
          </cell>
          <cell r="E87">
            <v>37.959048062692325</v>
          </cell>
        </row>
        <row r="88">
          <cell r="C88">
            <v>39.210651627381345</v>
          </cell>
          <cell r="D88">
            <v>132.90693384979679</v>
          </cell>
          <cell r="E88">
            <v>39.210651627381345</v>
          </cell>
        </row>
        <row r="89">
          <cell r="C89">
            <v>50.566903553377628</v>
          </cell>
          <cell r="D89">
            <v>132.90693384979679</v>
          </cell>
          <cell r="E89">
            <v>50.566903553377628</v>
          </cell>
        </row>
        <row r="90">
          <cell r="C90">
            <v>62.55005746738135</v>
          </cell>
          <cell r="D90">
            <v>132.90693384979679</v>
          </cell>
          <cell r="E90">
            <v>62.55005746738135</v>
          </cell>
        </row>
        <row r="91">
          <cell r="C91">
            <v>40.608588867379488</v>
          </cell>
          <cell r="D91">
            <v>132.90693384979679</v>
          </cell>
          <cell r="E91">
            <v>40.608588867379488</v>
          </cell>
        </row>
        <row r="92">
          <cell r="C92">
            <v>51.831602707379488</v>
          </cell>
          <cell r="D92">
            <v>132.90693384979679</v>
          </cell>
          <cell r="E92">
            <v>51.831602707379488</v>
          </cell>
        </row>
        <row r="93">
          <cell r="C93">
            <v>76.662643839381346</v>
          </cell>
          <cell r="D93">
            <v>128.77123560535</v>
          </cell>
          <cell r="E93">
            <v>76.662643839381346</v>
          </cell>
        </row>
        <row r="94">
          <cell r="C94">
            <v>73.117034955377619</v>
          </cell>
          <cell r="D94">
            <v>128.77123560535</v>
          </cell>
          <cell r="E94">
            <v>73.117034955377619</v>
          </cell>
        </row>
        <row r="95">
          <cell r="C95">
            <v>45.024506179779593</v>
          </cell>
          <cell r="D95">
            <v>128.77123560535</v>
          </cell>
          <cell r="E95">
            <v>45.024506179779593</v>
          </cell>
        </row>
        <row r="96">
          <cell r="C96">
            <v>42.33311552377959</v>
          </cell>
          <cell r="D96">
            <v>128.77123560535</v>
          </cell>
          <cell r="E96">
            <v>42.33311552377959</v>
          </cell>
        </row>
        <row r="97">
          <cell r="C97">
            <v>53.148606071777728</v>
          </cell>
          <cell r="D97">
            <v>128.77123560535</v>
          </cell>
          <cell r="E97">
            <v>53.148606071777728</v>
          </cell>
        </row>
        <row r="98">
          <cell r="C98">
            <v>35.40131546777959</v>
          </cell>
          <cell r="D98">
            <v>128.77123560535</v>
          </cell>
          <cell r="E98">
            <v>35.40131546777959</v>
          </cell>
        </row>
        <row r="99">
          <cell r="C99">
            <v>30.369701119777734</v>
          </cell>
          <cell r="D99">
            <v>128.77123560535</v>
          </cell>
          <cell r="E99">
            <v>30.369701119777734</v>
          </cell>
        </row>
        <row r="100">
          <cell r="C100">
            <v>38.897896747777729</v>
          </cell>
          <cell r="D100">
            <v>128.77123560535</v>
          </cell>
          <cell r="E100">
            <v>38.897896747777729</v>
          </cell>
        </row>
        <row r="101">
          <cell r="C101">
            <v>35.460223803779591</v>
          </cell>
          <cell r="D101">
            <v>128.77123560535</v>
          </cell>
          <cell r="E101">
            <v>35.460223803779591</v>
          </cell>
        </row>
        <row r="102">
          <cell r="C102">
            <v>73.590745241523095</v>
          </cell>
          <cell r="D102">
            <v>128.77123560535</v>
          </cell>
          <cell r="E102">
            <v>73.590745241523095</v>
          </cell>
        </row>
        <row r="103">
          <cell r="C103">
            <v>81.935471213523101</v>
          </cell>
          <cell r="D103">
            <v>128.77123560535</v>
          </cell>
          <cell r="E103">
            <v>81.935471213523101</v>
          </cell>
        </row>
        <row r="104">
          <cell r="C104">
            <v>81.298658489523092</v>
          </cell>
          <cell r="D104">
            <v>128.77123560535</v>
          </cell>
          <cell r="E104">
            <v>81.298658489523092</v>
          </cell>
        </row>
        <row r="105">
          <cell r="C105">
            <v>71.775422277523091</v>
          </cell>
          <cell r="D105">
            <v>128.77123560535</v>
          </cell>
          <cell r="E105">
            <v>71.775422277523091</v>
          </cell>
        </row>
        <row r="106">
          <cell r="C106">
            <v>65.230425237523093</v>
          </cell>
          <cell r="D106">
            <v>128.77123560535</v>
          </cell>
          <cell r="E106">
            <v>65.230425237523093</v>
          </cell>
        </row>
        <row r="107">
          <cell r="C107">
            <v>75.106005453521234</v>
          </cell>
          <cell r="D107">
            <v>128.77123560535</v>
          </cell>
          <cell r="E107">
            <v>75.106005453521234</v>
          </cell>
        </row>
        <row r="108">
          <cell r="C108">
            <v>82.865641981523098</v>
          </cell>
          <cell r="D108">
            <v>128.77123560535</v>
          </cell>
          <cell r="E108">
            <v>82.865641981523098</v>
          </cell>
        </row>
        <row r="109">
          <cell r="C109">
            <v>100.01872431620907</v>
          </cell>
          <cell r="D109">
            <v>128.77123560535</v>
          </cell>
          <cell r="E109">
            <v>100.01872431620907</v>
          </cell>
        </row>
        <row r="110">
          <cell r="C110">
            <v>97.640177000207203</v>
          </cell>
          <cell r="D110">
            <v>128.77123560535</v>
          </cell>
          <cell r="E110">
            <v>97.640177000207203</v>
          </cell>
        </row>
        <row r="111">
          <cell r="C111">
            <v>76.378072956209067</v>
          </cell>
          <cell r="D111">
            <v>128.77123560535</v>
          </cell>
          <cell r="E111">
            <v>76.378072956209067</v>
          </cell>
        </row>
        <row r="112">
          <cell r="C112">
            <v>73.470189276207208</v>
          </cell>
          <cell r="D112">
            <v>128.77123560535</v>
          </cell>
          <cell r="E112">
            <v>73.470189276207208</v>
          </cell>
        </row>
        <row r="113">
          <cell r="C113">
            <v>82.184180796209063</v>
          </cell>
          <cell r="D113">
            <v>128.77123560535</v>
          </cell>
          <cell r="E113">
            <v>82.184180796209063</v>
          </cell>
        </row>
        <row r="114">
          <cell r="C114">
            <v>83.15904527220907</v>
          </cell>
          <cell r="D114">
            <v>128.77123560535</v>
          </cell>
          <cell r="E114">
            <v>83.15904527220907</v>
          </cell>
        </row>
        <row r="115">
          <cell r="C115">
            <v>84.983474912207214</v>
          </cell>
          <cell r="D115">
            <v>128.77123560535</v>
          </cell>
          <cell r="E115">
            <v>84.983474912207214</v>
          </cell>
        </row>
        <row r="116">
          <cell r="C116">
            <v>120.16015579154841</v>
          </cell>
          <cell r="D116">
            <v>128.77123560535</v>
          </cell>
          <cell r="E116">
            <v>120.16015579154841</v>
          </cell>
        </row>
        <row r="117">
          <cell r="C117">
            <v>122.17053837154654</v>
          </cell>
          <cell r="D117">
            <v>128.77123560535</v>
          </cell>
          <cell r="E117">
            <v>122.17053837154654</v>
          </cell>
        </row>
        <row r="118">
          <cell r="C118">
            <v>133.72763285954653</v>
          </cell>
          <cell r="D118">
            <v>128.77123560535</v>
          </cell>
          <cell r="E118">
            <v>128.77123560535</v>
          </cell>
        </row>
        <row r="119">
          <cell r="C119">
            <v>132.62970923154842</v>
          </cell>
          <cell r="D119">
            <v>128.77123560535</v>
          </cell>
          <cell r="E119">
            <v>128.77123560535</v>
          </cell>
        </row>
        <row r="120">
          <cell r="C120">
            <v>124.85596989154841</v>
          </cell>
          <cell r="D120">
            <v>128.77123560535</v>
          </cell>
          <cell r="E120">
            <v>124.85596989154841</v>
          </cell>
        </row>
        <row r="121">
          <cell r="C121">
            <v>140.27391316354652</v>
          </cell>
          <cell r="D121">
            <v>128.77123560535</v>
          </cell>
          <cell r="E121">
            <v>128.77123560535</v>
          </cell>
        </row>
        <row r="122">
          <cell r="C122">
            <v>140.00868754754842</v>
          </cell>
          <cell r="D122">
            <v>128.77123560535</v>
          </cell>
          <cell r="E122">
            <v>128.77123560535</v>
          </cell>
        </row>
        <row r="123">
          <cell r="C123">
            <v>105.74095903098869</v>
          </cell>
          <cell r="D123">
            <v>105.65373260469035</v>
          </cell>
          <cell r="E123">
            <v>105.65373260469035</v>
          </cell>
        </row>
        <row r="124">
          <cell r="C124">
            <v>100.09574057899054</v>
          </cell>
          <cell r="D124">
            <v>105.65373260469035</v>
          </cell>
          <cell r="E124">
            <v>100.09574057899054</v>
          </cell>
        </row>
        <row r="125">
          <cell r="C125">
            <v>102.83984928298868</v>
          </cell>
          <cell r="D125">
            <v>105.65373260469035</v>
          </cell>
          <cell r="E125">
            <v>102.83984928298868</v>
          </cell>
        </row>
        <row r="126">
          <cell r="C126">
            <v>101.27127545099053</v>
          </cell>
          <cell r="D126">
            <v>105.65373260469035</v>
          </cell>
          <cell r="E126">
            <v>101.27127545099053</v>
          </cell>
        </row>
        <row r="127">
          <cell r="C127">
            <v>93.971423794990557</v>
          </cell>
          <cell r="D127">
            <v>105.65373260469035</v>
          </cell>
          <cell r="E127">
            <v>93.971423794990557</v>
          </cell>
        </row>
        <row r="128">
          <cell r="C128">
            <v>113.61467043498868</v>
          </cell>
          <cell r="D128">
            <v>105.65373260469035</v>
          </cell>
          <cell r="E128">
            <v>105.65373260469035</v>
          </cell>
        </row>
        <row r="129">
          <cell r="C129">
            <v>103.96177035099053</v>
          </cell>
          <cell r="D129">
            <v>105.65373260469035</v>
          </cell>
          <cell r="E129">
            <v>103.96177035099053</v>
          </cell>
        </row>
        <row r="130">
          <cell r="C130">
            <v>66.221452729308808</v>
          </cell>
          <cell r="D130">
            <v>105.65373260469035</v>
          </cell>
          <cell r="E130">
            <v>66.221452729308808</v>
          </cell>
        </row>
        <row r="131">
          <cell r="C131">
            <v>74.446018409306944</v>
          </cell>
          <cell r="D131">
            <v>105.65373260469035</v>
          </cell>
          <cell r="E131">
            <v>74.446018409306944</v>
          </cell>
        </row>
        <row r="132">
          <cell r="C132">
            <v>83.660476461306928</v>
          </cell>
          <cell r="D132">
            <v>105.65373260469035</v>
          </cell>
          <cell r="E132">
            <v>83.660476461306928</v>
          </cell>
        </row>
        <row r="133">
          <cell r="C133">
            <v>75.973093089306929</v>
          </cell>
          <cell r="D133">
            <v>105.65373260469035</v>
          </cell>
          <cell r="E133">
            <v>75.973093089306929</v>
          </cell>
        </row>
        <row r="134">
          <cell r="C134">
            <v>66.319120533306943</v>
          </cell>
          <cell r="D134">
            <v>105.65373260469035</v>
          </cell>
          <cell r="E134">
            <v>66.319120533306943</v>
          </cell>
        </row>
        <row r="135">
          <cell r="C135">
            <v>71.987889609306933</v>
          </cell>
          <cell r="D135">
            <v>105.65373260469035</v>
          </cell>
          <cell r="E135">
            <v>71.987889609306933</v>
          </cell>
        </row>
        <row r="136">
          <cell r="C136">
            <v>75.311342213308791</v>
          </cell>
          <cell r="D136">
            <v>105.65373260469035</v>
          </cell>
          <cell r="E136">
            <v>75.311342213308791</v>
          </cell>
        </row>
        <row r="137">
          <cell r="C137">
            <v>74.37980817415513</v>
          </cell>
          <cell r="D137">
            <v>105.65373260469035</v>
          </cell>
          <cell r="E137">
            <v>74.37980817415513</v>
          </cell>
        </row>
        <row r="138">
          <cell r="C138">
            <v>68.006816766156987</v>
          </cell>
          <cell r="D138">
            <v>105.65373260469035</v>
          </cell>
          <cell r="E138">
            <v>68.006816766156987</v>
          </cell>
        </row>
        <row r="139">
          <cell r="C139">
            <v>65.738982786156996</v>
          </cell>
          <cell r="D139">
            <v>105.65373260469035</v>
          </cell>
          <cell r="E139">
            <v>65.738982786156996</v>
          </cell>
        </row>
        <row r="140">
          <cell r="C140">
            <v>64.549248354155139</v>
          </cell>
          <cell r="D140">
            <v>105.65373260469035</v>
          </cell>
          <cell r="E140">
            <v>64.549248354155139</v>
          </cell>
        </row>
        <row r="141">
          <cell r="C141">
            <v>60.67698176215886</v>
          </cell>
          <cell r="D141">
            <v>105.65373260469035</v>
          </cell>
          <cell r="E141">
            <v>60.67698176215886</v>
          </cell>
        </row>
        <row r="142">
          <cell r="C142">
            <v>72.64989890615513</v>
          </cell>
          <cell r="D142">
            <v>105.65373260469035</v>
          </cell>
          <cell r="E142">
            <v>72.64989890615513</v>
          </cell>
        </row>
        <row r="143">
          <cell r="C143">
            <v>76.313361826155131</v>
          </cell>
          <cell r="D143">
            <v>105.65373260469035</v>
          </cell>
          <cell r="E143">
            <v>76.313361826155131</v>
          </cell>
        </row>
        <row r="144">
          <cell r="C144">
            <v>66.067444093736299</v>
          </cell>
          <cell r="D144">
            <v>105.65373260469035</v>
          </cell>
          <cell r="E144">
            <v>66.067444093736299</v>
          </cell>
        </row>
        <row r="145">
          <cell r="C145">
            <v>60.102267253734432</v>
          </cell>
          <cell r="D145">
            <v>105.65373260469035</v>
          </cell>
          <cell r="E145">
            <v>60.102267253734432</v>
          </cell>
        </row>
        <row r="146">
          <cell r="C146">
            <v>59.22299280573629</v>
          </cell>
          <cell r="D146">
            <v>105.65373260469035</v>
          </cell>
          <cell r="E146">
            <v>59.22299280573629</v>
          </cell>
        </row>
        <row r="147">
          <cell r="C147">
            <v>57.431285131732572</v>
          </cell>
          <cell r="D147">
            <v>105.65373260469035</v>
          </cell>
          <cell r="E147">
            <v>57.431285131732572</v>
          </cell>
        </row>
        <row r="148">
          <cell r="C148">
            <v>54.664174471738157</v>
          </cell>
          <cell r="D148">
            <v>105.65373260469035</v>
          </cell>
          <cell r="E148">
            <v>54.664174471738157</v>
          </cell>
        </row>
        <row r="149">
          <cell r="C149">
            <v>58.471831127732571</v>
          </cell>
          <cell r="D149">
            <v>105.65373260469035</v>
          </cell>
          <cell r="E149">
            <v>58.471831127732571</v>
          </cell>
        </row>
        <row r="150">
          <cell r="C150">
            <v>53.417569333734434</v>
          </cell>
          <cell r="D150">
            <v>105.65373260469035</v>
          </cell>
          <cell r="E150">
            <v>53.417569333734434</v>
          </cell>
        </row>
        <row r="151">
          <cell r="C151">
            <v>47.003361174643345</v>
          </cell>
          <cell r="D151">
            <v>105.65373260469035</v>
          </cell>
          <cell r="E151">
            <v>47.003361174643345</v>
          </cell>
        </row>
        <row r="152">
          <cell r="C152">
            <v>47.415259922641482</v>
          </cell>
          <cell r="D152">
            <v>105.65373260469035</v>
          </cell>
          <cell r="E152">
            <v>47.415259922641482</v>
          </cell>
        </row>
        <row r="153">
          <cell r="C153">
            <v>54.139165124643348</v>
          </cell>
          <cell r="D153">
            <v>105.65373260469035</v>
          </cell>
          <cell r="E153">
            <v>54.139165124643348</v>
          </cell>
        </row>
        <row r="154">
          <cell r="C154">
            <v>46.030866642641485</v>
          </cell>
          <cell r="D154">
            <v>65.277965296213353</v>
          </cell>
          <cell r="E154">
            <v>46.030866642641485</v>
          </cell>
        </row>
        <row r="155">
          <cell r="C155">
            <v>41.260838216643343</v>
          </cell>
          <cell r="D155">
            <v>65.277965296213353</v>
          </cell>
          <cell r="E155">
            <v>41.260838216643343</v>
          </cell>
        </row>
        <row r="156">
          <cell r="C156">
            <v>49.642918986643345</v>
          </cell>
          <cell r="D156">
            <v>65.277965296213353</v>
          </cell>
          <cell r="E156">
            <v>49.642918986643345</v>
          </cell>
        </row>
        <row r="157">
          <cell r="C157">
            <v>42.165727116641477</v>
          </cell>
          <cell r="D157">
            <v>65.277965296213353</v>
          </cell>
          <cell r="E157">
            <v>42.165727116641477</v>
          </cell>
        </row>
        <row r="158">
          <cell r="C158">
            <v>44.137358011716373</v>
          </cell>
          <cell r="D158">
            <v>65.277965296213353</v>
          </cell>
          <cell r="E158">
            <v>44.137358011716373</v>
          </cell>
        </row>
        <row r="159">
          <cell r="C159">
            <v>41.289462523716381</v>
          </cell>
          <cell r="D159">
            <v>65.277965296213353</v>
          </cell>
          <cell r="E159">
            <v>41.289462523716381</v>
          </cell>
        </row>
        <row r="160">
          <cell r="C160">
            <v>46.547876791718238</v>
          </cell>
          <cell r="D160">
            <v>65.277965296213353</v>
          </cell>
          <cell r="E160">
            <v>46.547876791718238</v>
          </cell>
        </row>
        <row r="161">
          <cell r="C161">
            <v>36.381198447716379</v>
          </cell>
          <cell r="D161">
            <v>65.277965296213353</v>
          </cell>
          <cell r="E161">
            <v>36.381198447716379</v>
          </cell>
        </row>
        <row r="162">
          <cell r="C162">
            <v>36.220912243718239</v>
          </cell>
          <cell r="D162">
            <v>65.277965296213353</v>
          </cell>
          <cell r="E162">
            <v>36.220912243718239</v>
          </cell>
        </row>
        <row r="163">
          <cell r="C163">
            <v>34.958879279718239</v>
          </cell>
          <cell r="D163">
            <v>65.277965296213353</v>
          </cell>
          <cell r="E163">
            <v>34.958879279718239</v>
          </cell>
        </row>
        <row r="164">
          <cell r="C164">
            <v>40.602532139716381</v>
          </cell>
          <cell r="D164">
            <v>65.277965296213353</v>
          </cell>
          <cell r="E164">
            <v>40.602532139716381</v>
          </cell>
        </row>
        <row r="165">
          <cell r="C165">
            <v>39.246824186815594</v>
          </cell>
          <cell r="D165">
            <v>65.277965296213353</v>
          </cell>
          <cell r="E165">
            <v>39.246824186815594</v>
          </cell>
        </row>
        <row r="166">
          <cell r="C166">
            <v>28.642151794815597</v>
          </cell>
          <cell r="D166">
            <v>65.277965296213353</v>
          </cell>
          <cell r="E166">
            <v>28.642151794815597</v>
          </cell>
        </row>
        <row r="167">
          <cell r="C167">
            <v>32.449437178815593</v>
          </cell>
          <cell r="D167">
            <v>65.277965296213353</v>
          </cell>
          <cell r="E167">
            <v>32.449437178815593</v>
          </cell>
        </row>
        <row r="168">
          <cell r="C168">
            <v>29.766949250813735</v>
          </cell>
          <cell r="D168">
            <v>65.277965296213353</v>
          </cell>
          <cell r="E168">
            <v>29.766949250813735</v>
          </cell>
        </row>
        <row r="169">
          <cell r="C169">
            <v>32.916627950815595</v>
          </cell>
          <cell r="D169">
            <v>65.277965296213353</v>
          </cell>
          <cell r="E169">
            <v>32.916627950815595</v>
          </cell>
        </row>
        <row r="170">
          <cell r="C170">
            <v>39.099709578817453</v>
          </cell>
          <cell r="D170">
            <v>65.277965296213353</v>
          </cell>
          <cell r="E170">
            <v>39.099709578817453</v>
          </cell>
        </row>
        <row r="171">
          <cell r="C171">
            <v>30.571841338813734</v>
          </cell>
          <cell r="D171">
            <v>65.277965296213353</v>
          </cell>
          <cell r="E171">
            <v>30.571841338813734</v>
          </cell>
        </row>
        <row r="172">
          <cell r="C172">
            <v>41.691236397653192</v>
          </cell>
          <cell r="D172">
            <v>65.277965296213353</v>
          </cell>
          <cell r="E172">
            <v>41.691236397653192</v>
          </cell>
        </row>
        <row r="173">
          <cell r="C173">
            <v>34.646901205653194</v>
          </cell>
          <cell r="D173">
            <v>65.277965296213353</v>
          </cell>
          <cell r="E173">
            <v>34.646901205653194</v>
          </cell>
        </row>
        <row r="174">
          <cell r="C174">
            <v>40.428434057653199</v>
          </cell>
          <cell r="D174">
            <v>65.277965296213353</v>
          </cell>
          <cell r="E174">
            <v>40.428434057653199</v>
          </cell>
        </row>
        <row r="175">
          <cell r="C175">
            <v>28.841690745655061</v>
          </cell>
          <cell r="D175">
            <v>65.277965296213353</v>
          </cell>
          <cell r="E175">
            <v>28.841690745655061</v>
          </cell>
        </row>
        <row r="176">
          <cell r="C176">
            <v>27.14175294765133</v>
          </cell>
          <cell r="D176">
            <v>65.277965296213353</v>
          </cell>
          <cell r="E176">
            <v>27.14175294765133</v>
          </cell>
        </row>
        <row r="177">
          <cell r="C177">
            <v>32.885672653653195</v>
          </cell>
          <cell r="D177">
            <v>65.277965296213353</v>
          </cell>
          <cell r="E177">
            <v>32.885672653653195</v>
          </cell>
        </row>
        <row r="178">
          <cell r="C178">
            <v>46.071194117655061</v>
          </cell>
          <cell r="D178">
            <v>65.277965296213353</v>
          </cell>
          <cell r="E178">
            <v>46.071194117655061</v>
          </cell>
        </row>
        <row r="179">
          <cell r="C179">
            <v>29.630021615292456</v>
          </cell>
          <cell r="D179">
            <v>65.277965296213353</v>
          </cell>
          <cell r="E179">
            <v>29.630021615292456</v>
          </cell>
        </row>
        <row r="180">
          <cell r="C180">
            <v>25.563808355296175</v>
          </cell>
          <cell r="D180">
            <v>65.277965296213353</v>
          </cell>
          <cell r="E180">
            <v>25.563808355296175</v>
          </cell>
        </row>
        <row r="181">
          <cell r="C181">
            <v>35.391128383292454</v>
          </cell>
          <cell r="D181">
            <v>65.277965296213353</v>
          </cell>
          <cell r="E181">
            <v>35.391128383292454</v>
          </cell>
        </row>
        <row r="182">
          <cell r="C182">
            <v>19.282172891294316</v>
          </cell>
          <cell r="D182">
            <v>65.277965296213353</v>
          </cell>
          <cell r="E182">
            <v>19.282172891294316</v>
          </cell>
        </row>
        <row r="183">
          <cell r="C183">
            <v>18.156129819294314</v>
          </cell>
          <cell r="D183">
            <v>65.277965296213353</v>
          </cell>
          <cell r="E183">
            <v>18.156129819294314</v>
          </cell>
        </row>
        <row r="184">
          <cell r="C184">
            <v>29.004554399294314</v>
          </cell>
          <cell r="D184">
            <v>28.803266986435492</v>
          </cell>
          <cell r="E184">
            <v>28.803266986435492</v>
          </cell>
        </row>
        <row r="185">
          <cell r="C185">
            <v>23.819633133292452</v>
          </cell>
          <cell r="D185">
            <v>28.803266986435492</v>
          </cell>
          <cell r="E185">
            <v>23.819633133292452</v>
          </cell>
        </row>
        <row r="186">
          <cell r="C186">
            <v>24.155151294324533</v>
          </cell>
          <cell r="D186">
            <v>28.803266986435492</v>
          </cell>
          <cell r="E186">
            <v>24.155151294324533</v>
          </cell>
        </row>
        <row r="187">
          <cell r="C187">
            <v>24.502741548322664</v>
          </cell>
          <cell r="D187">
            <v>28.803266986435492</v>
          </cell>
          <cell r="E187">
            <v>24.502741548322664</v>
          </cell>
        </row>
        <row r="188">
          <cell r="C188">
            <v>40.249711306324535</v>
          </cell>
          <cell r="D188">
            <v>28.803266986435492</v>
          </cell>
          <cell r="E188">
            <v>28.803266986435492</v>
          </cell>
        </row>
        <row r="189">
          <cell r="C189">
            <v>13.159823920322669</v>
          </cell>
          <cell r="D189">
            <v>28.803266986435492</v>
          </cell>
          <cell r="E189">
            <v>13.159823920322669</v>
          </cell>
        </row>
        <row r="190">
          <cell r="C190">
            <v>7.1812377363226698</v>
          </cell>
          <cell r="D190">
            <v>28.803266986435492</v>
          </cell>
          <cell r="E190">
            <v>7.1812377363226698</v>
          </cell>
        </row>
        <row r="191">
          <cell r="C191">
            <v>8.1185563823245328</v>
          </cell>
          <cell r="D191">
            <v>28.803266986435492</v>
          </cell>
          <cell r="E191">
            <v>8.1185563823245328</v>
          </cell>
        </row>
        <row r="192">
          <cell r="C192">
            <v>10.871763208322664</v>
          </cell>
          <cell r="D192">
            <v>28.803266986435492</v>
          </cell>
          <cell r="E192">
            <v>10.871763208322664</v>
          </cell>
        </row>
        <row r="193">
          <cell r="C193">
            <v>20.648786620394116</v>
          </cell>
          <cell r="D193">
            <v>28.803266986435492</v>
          </cell>
          <cell r="E193">
            <v>20.648786620394116</v>
          </cell>
        </row>
        <row r="194">
          <cell r="C194">
            <v>33.778294168395973</v>
          </cell>
          <cell r="D194">
            <v>28.803266986435492</v>
          </cell>
          <cell r="E194">
            <v>28.803266986435492</v>
          </cell>
        </row>
        <row r="195">
          <cell r="C195">
            <v>47.432186778394112</v>
          </cell>
          <cell r="D195">
            <v>28.803266986435492</v>
          </cell>
          <cell r="E195">
            <v>28.803266986435492</v>
          </cell>
        </row>
        <row r="196">
          <cell r="C196">
            <v>12.599754404394115</v>
          </cell>
          <cell r="D196">
            <v>28.803266986435492</v>
          </cell>
          <cell r="E196">
            <v>12.599754404394115</v>
          </cell>
        </row>
        <row r="197">
          <cell r="C197">
            <v>5.0360476023959784</v>
          </cell>
          <cell r="D197">
            <v>28.803266986435492</v>
          </cell>
          <cell r="E197">
            <v>5.0360476023959784</v>
          </cell>
        </row>
        <row r="198">
          <cell r="C198">
            <v>21.666046580394113</v>
          </cell>
          <cell r="D198">
            <v>28.803266986435492</v>
          </cell>
          <cell r="E198">
            <v>21.666046580394113</v>
          </cell>
        </row>
        <row r="199">
          <cell r="C199">
            <v>17.970372188394112</v>
          </cell>
          <cell r="D199">
            <v>28.803266986435492</v>
          </cell>
          <cell r="E199">
            <v>17.970372188394112</v>
          </cell>
        </row>
        <row r="200">
          <cell r="C200">
            <v>11.188179630132851</v>
          </cell>
          <cell r="D200">
            <v>28.803266986435492</v>
          </cell>
          <cell r="E200">
            <v>11.188179630132851</v>
          </cell>
        </row>
        <row r="201">
          <cell r="C201">
            <v>7.9384117181347102</v>
          </cell>
          <cell r="D201">
            <v>28.803266986435492</v>
          </cell>
          <cell r="E201">
            <v>7.9384117181347102</v>
          </cell>
        </row>
        <row r="202">
          <cell r="C202">
            <v>9.7740342381328524</v>
          </cell>
          <cell r="D202">
            <v>28.803266986435492</v>
          </cell>
          <cell r="E202">
            <v>9.7740342381328524</v>
          </cell>
        </row>
        <row r="203">
          <cell r="C203">
            <v>1.0667203581328504</v>
          </cell>
          <cell r="D203">
            <v>28.803266986435492</v>
          </cell>
          <cell r="E203">
            <v>1.0667203581328504</v>
          </cell>
        </row>
        <row r="204">
          <cell r="C204">
            <v>3.5535376941309877</v>
          </cell>
          <cell r="D204">
            <v>28.803266986435492</v>
          </cell>
          <cell r="E204">
            <v>3.5535376941309877</v>
          </cell>
        </row>
        <row r="205">
          <cell r="C205">
            <v>4.9813734981347153</v>
          </cell>
          <cell r="D205">
            <v>28.803266986435492</v>
          </cell>
          <cell r="E205">
            <v>4.9813734981347153</v>
          </cell>
        </row>
        <row r="206">
          <cell r="C206">
            <v>5.8243440341328458</v>
          </cell>
          <cell r="D206">
            <v>28.803266986435492</v>
          </cell>
          <cell r="E206">
            <v>5.8243440341328458</v>
          </cell>
        </row>
        <row r="207">
          <cell r="C207">
            <v>4.6091382504418874</v>
          </cell>
          <cell r="D207">
            <v>28.803266986435492</v>
          </cell>
          <cell r="E207">
            <v>4.6091382504418874</v>
          </cell>
        </row>
        <row r="208">
          <cell r="C208">
            <v>2.9597375264400254</v>
          </cell>
          <cell r="D208">
            <v>28.803266986435492</v>
          </cell>
          <cell r="E208">
            <v>2.9597375264400254</v>
          </cell>
        </row>
        <row r="209">
          <cell r="C209">
            <v>1.843541032440029</v>
          </cell>
          <cell r="D209">
            <v>28.803266986435492</v>
          </cell>
          <cell r="E209">
            <v>1.843541032440029</v>
          </cell>
        </row>
        <row r="210">
          <cell r="C210">
            <v>5.8267309124418896</v>
          </cell>
          <cell r="D210">
            <v>28.803266986435492</v>
          </cell>
          <cell r="E210">
            <v>5.8267309124418896</v>
          </cell>
        </row>
        <row r="211">
          <cell r="C211">
            <v>4.9173575944381662</v>
          </cell>
          <cell r="D211">
            <v>28.803266986435492</v>
          </cell>
          <cell r="E211">
            <v>4.9173575944381662</v>
          </cell>
        </row>
        <row r="212">
          <cell r="C212">
            <v>4.016378514441894</v>
          </cell>
          <cell r="D212">
            <v>28.803266986435492</v>
          </cell>
          <cell r="E212">
            <v>4.016378514441894</v>
          </cell>
        </row>
        <row r="213">
          <cell r="C213">
            <v>3.7028108184390947</v>
          </cell>
          <cell r="D213">
            <v>28.803266986435492</v>
          </cell>
          <cell r="E213">
            <v>3.7028108184390947</v>
          </cell>
        </row>
        <row r="214">
          <cell r="C214">
            <v>2.4336939225340322</v>
          </cell>
          <cell r="D214">
            <v>28.803266986435492</v>
          </cell>
          <cell r="E214">
            <v>2.4336939225340322</v>
          </cell>
        </row>
        <row r="215">
          <cell r="C215">
            <v>7.9214282285340305</v>
          </cell>
          <cell r="D215">
            <v>17.69576376333022</v>
          </cell>
          <cell r="E215">
            <v>7.9214282285340305</v>
          </cell>
        </row>
        <row r="216">
          <cell r="C216">
            <v>8.0697212285349664</v>
          </cell>
          <cell r="D216">
            <v>17.69576376333022</v>
          </cell>
          <cell r="E216">
            <v>8.0697212285349664</v>
          </cell>
        </row>
        <row r="217">
          <cell r="C217">
            <v>2.3037371005331004</v>
          </cell>
          <cell r="D217">
            <v>17.69576376333022</v>
          </cell>
          <cell r="E217">
            <v>2.3037371005331004</v>
          </cell>
        </row>
        <row r="218">
          <cell r="C218">
            <v>2.257930104535895</v>
          </cell>
          <cell r="D218">
            <v>17.69576376333022</v>
          </cell>
          <cell r="E218">
            <v>2.257930104535895</v>
          </cell>
        </row>
        <row r="219">
          <cell r="C219">
            <v>8.6116978425331041</v>
          </cell>
          <cell r="D219">
            <v>17.69576376333022</v>
          </cell>
          <cell r="E219">
            <v>8.6116978425331041</v>
          </cell>
        </row>
        <row r="220">
          <cell r="C220">
            <v>12.310531754534036</v>
          </cell>
          <cell r="D220">
            <v>17.69576376333022</v>
          </cell>
          <cell r="E220">
            <v>12.310531754534036</v>
          </cell>
        </row>
        <row r="221">
          <cell r="C221">
            <v>13.944449399182115</v>
          </cell>
          <cell r="D221">
            <v>17.69576376333022</v>
          </cell>
          <cell r="E221">
            <v>13.944449399182115</v>
          </cell>
        </row>
        <row r="222">
          <cell r="C222">
            <v>7.5493202591811857</v>
          </cell>
          <cell r="D222">
            <v>17.69576376333022</v>
          </cell>
          <cell r="E222">
            <v>7.5493202591811857</v>
          </cell>
        </row>
        <row r="223">
          <cell r="C223">
            <v>9.3960193591811834</v>
          </cell>
          <cell r="D223">
            <v>17.69576376333022</v>
          </cell>
          <cell r="E223">
            <v>9.3960193591811834</v>
          </cell>
        </row>
        <row r="224">
          <cell r="C224">
            <v>7.8897993671830484</v>
          </cell>
          <cell r="D224">
            <v>17.69576376333022</v>
          </cell>
          <cell r="E224">
            <v>7.8897993671830484</v>
          </cell>
        </row>
        <row r="225">
          <cell r="C225">
            <v>1.068560027180254</v>
          </cell>
          <cell r="D225">
            <v>17.69576376333022</v>
          </cell>
          <cell r="E225">
            <v>1.068560027180254</v>
          </cell>
        </row>
        <row r="226">
          <cell r="C226">
            <v>2.4958660811811861</v>
          </cell>
          <cell r="D226">
            <v>17.69576376333022</v>
          </cell>
          <cell r="E226">
            <v>2.4958660811811861</v>
          </cell>
        </row>
        <row r="227">
          <cell r="C227">
            <v>7.113692349181183</v>
          </cell>
          <cell r="D227">
            <v>17.69576376333022</v>
          </cell>
          <cell r="E227">
            <v>7.113692349181183</v>
          </cell>
        </row>
        <row r="228">
          <cell r="C228">
            <v>12.498108670538379</v>
          </cell>
          <cell r="D228">
            <v>17.69576376333022</v>
          </cell>
          <cell r="E228">
            <v>12.498108670538379</v>
          </cell>
        </row>
        <row r="229">
          <cell r="C229">
            <v>6.7645505145355855</v>
          </cell>
          <cell r="D229">
            <v>17.69576376333022</v>
          </cell>
          <cell r="E229">
            <v>6.7645505145355855</v>
          </cell>
        </row>
        <row r="230">
          <cell r="C230">
            <v>10.198750332538372</v>
          </cell>
          <cell r="D230">
            <v>17.69576376333022</v>
          </cell>
          <cell r="E230">
            <v>10.198750332538372</v>
          </cell>
        </row>
        <row r="231">
          <cell r="C231">
            <v>6.5070074045346482</v>
          </cell>
          <cell r="D231">
            <v>17.69576376333022</v>
          </cell>
          <cell r="E231">
            <v>6.5070074045346482</v>
          </cell>
        </row>
        <row r="232">
          <cell r="C232">
            <v>5.2324443865365176</v>
          </cell>
          <cell r="D232">
            <v>17.69576376333022</v>
          </cell>
          <cell r="E232">
            <v>5.2324443865365176</v>
          </cell>
        </row>
        <row r="233">
          <cell r="C233">
            <v>10.958338302537442</v>
          </cell>
          <cell r="D233">
            <v>17.69576376333022</v>
          </cell>
          <cell r="E233">
            <v>10.958338302537442</v>
          </cell>
        </row>
        <row r="234">
          <cell r="C234">
            <v>9.7324790045374474</v>
          </cell>
          <cell r="D234">
            <v>17.69576376333022</v>
          </cell>
          <cell r="E234">
            <v>9.7324790045374474</v>
          </cell>
        </row>
        <row r="235">
          <cell r="C235">
            <v>13.338055306264454</v>
          </cell>
          <cell r="D235">
            <v>17.69576376333022</v>
          </cell>
          <cell r="E235">
            <v>13.338055306264454</v>
          </cell>
        </row>
        <row r="236">
          <cell r="C236">
            <v>16.765228846264456</v>
          </cell>
          <cell r="D236">
            <v>17.69576376333022</v>
          </cell>
          <cell r="E236">
            <v>16.765228846264456</v>
          </cell>
        </row>
        <row r="237">
          <cell r="C237">
            <v>17.646445842265383</v>
          </cell>
          <cell r="D237">
            <v>17.69576376333022</v>
          </cell>
          <cell r="E237">
            <v>17.646445842265383</v>
          </cell>
        </row>
        <row r="238">
          <cell r="C238">
            <v>9.763781318263522</v>
          </cell>
          <cell r="D238">
            <v>17.69576376333022</v>
          </cell>
          <cell r="E238">
            <v>9.763781318263522</v>
          </cell>
        </row>
        <row r="239">
          <cell r="C239">
            <v>6.1929172722663166</v>
          </cell>
          <cell r="D239">
            <v>17.69576376333022</v>
          </cell>
          <cell r="E239">
            <v>6.1929172722663166</v>
          </cell>
        </row>
        <row r="240">
          <cell r="C240">
            <v>21.388717054264454</v>
          </cell>
          <cell r="D240">
            <v>17.69576376333022</v>
          </cell>
          <cell r="E240">
            <v>17.69576376333022</v>
          </cell>
        </row>
        <row r="241">
          <cell r="C241">
            <v>26.498922198264452</v>
          </cell>
          <cell r="D241">
            <v>17.69576376333022</v>
          </cell>
          <cell r="E241">
            <v>17.69576376333022</v>
          </cell>
        </row>
        <row r="242">
          <cell r="C242">
            <v>22.003050261266647</v>
          </cell>
          <cell r="D242">
            <v>17.69576376333022</v>
          </cell>
          <cell r="E242">
            <v>17.69576376333022</v>
          </cell>
        </row>
        <row r="243">
          <cell r="C243">
            <v>28.383762925263852</v>
          </cell>
          <cell r="D243">
            <v>17.69576376333022</v>
          </cell>
          <cell r="E243">
            <v>17.69576376333022</v>
          </cell>
        </row>
        <row r="244">
          <cell r="C244">
            <v>25.551797657266643</v>
          </cell>
          <cell r="D244">
            <v>17.69576376333022</v>
          </cell>
          <cell r="E244">
            <v>17.69576376333022</v>
          </cell>
        </row>
        <row r="245">
          <cell r="C245">
            <v>15.919595253264786</v>
          </cell>
          <cell r="D245">
            <v>17.69576376333022</v>
          </cell>
          <cell r="E245">
            <v>15.919595253264786</v>
          </cell>
        </row>
        <row r="246">
          <cell r="C246">
            <v>1.0574971092657142</v>
          </cell>
          <cell r="D246">
            <v>22.281040209732421</v>
          </cell>
          <cell r="E246">
            <v>1.0574971092657142</v>
          </cell>
        </row>
        <row r="247">
          <cell r="C247">
            <v>6.8017746692666474</v>
          </cell>
          <cell r="D247">
            <v>22.281040209732421</v>
          </cell>
          <cell r="E247">
            <v>6.8017746692666474</v>
          </cell>
        </row>
        <row r="248">
          <cell r="C248">
            <v>7.4549108792647818</v>
          </cell>
          <cell r="D248">
            <v>22.281040209732421</v>
          </cell>
          <cell r="E248">
            <v>7.4549108792647818</v>
          </cell>
        </row>
        <row r="249">
          <cell r="C249">
            <v>9.4749125041668165</v>
          </cell>
          <cell r="D249">
            <v>22.281040209732421</v>
          </cell>
          <cell r="E249">
            <v>9.4749125041668165</v>
          </cell>
        </row>
        <row r="250">
          <cell r="C250">
            <v>7.5681810981686795</v>
          </cell>
          <cell r="D250">
            <v>22.281040209732421</v>
          </cell>
          <cell r="E250">
            <v>7.5681810981686795</v>
          </cell>
        </row>
        <row r="251">
          <cell r="C251">
            <v>4.8948287881677501</v>
          </cell>
          <cell r="D251">
            <v>22.281040209732421</v>
          </cell>
          <cell r="E251">
            <v>4.8948287881677501</v>
          </cell>
        </row>
        <row r="252">
          <cell r="C252">
            <v>8.5982141721677507</v>
          </cell>
          <cell r="D252">
            <v>22.281040209732421</v>
          </cell>
          <cell r="E252">
            <v>8.5982141721677507</v>
          </cell>
        </row>
        <row r="253">
          <cell r="C253">
            <v>9.1360089501677511</v>
          </cell>
          <cell r="D253">
            <v>22.281040209732421</v>
          </cell>
          <cell r="E253">
            <v>9.1360089501677511</v>
          </cell>
        </row>
        <row r="254">
          <cell r="C254">
            <v>19.102409328166818</v>
          </cell>
          <cell r="D254">
            <v>22.281040209732421</v>
          </cell>
          <cell r="E254">
            <v>19.102409328166818</v>
          </cell>
        </row>
        <row r="255">
          <cell r="C255">
            <v>9.2524961541686785</v>
          </cell>
          <cell r="D255">
            <v>22.281040209732421</v>
          </cell>
          <cell r="E255">
            <v>9.2524961541686785</v>
          </cell>
        </row>
        <row r="256">
          <cell r="C256">
            <v>17.113809906556309</v>
          </cell>
          <cell r="D256">
            <v>22.281040209732421</v>
          </cell>
          <cell r="E256">
            <v>17.113809906556309</v>
          </cell>
        </row>
        <row r="257">
          <cell r="C257">
            <v>25.507597080556312</v>
          </cell>
          <cell r="D257">
            <v>22.281040209732421</v>
          </cell>
          <cell r="E257">
            <v>22.281040209732421</v>
          </cell>
        </row>
        <row r="258">
          <cell r="C258">
            <v>20.034511860554449</v>
          </cell>
          <cell r="D258">
            <v>22.281040209732421</v>
          </cell>
          <cell r="E258">
            <v>20.034511860554449</v>
          </cell>
        </row>
        <row r="259">
          <cell r="C259">
            <v>3.6371299425572396</v>
          </cell>
          <cell r="D259">
            <v>22.281040209732421</v>
          </cell>
          <cell r="E259">
            <v>3.6371299425572396</v>
          </cell>
        </row>
        <row r="260">
          <cell r="C260">
            <v>2.6742494705553765</v>
          </cell>
          <cell r="D260">
            <v>22.281040209732421</v>
          </cell>
          <cell r="E260">
            <v>2.6742494705553765</v>
          </cell>
        </row>
        <row r="261">
          <cell r="C261">
            <v>40.739630954557242</v>
          </cell>
          <cell r="D261">
            <v>22.281040209732421</v>
          </cell>
          <cell r="E261">
            <v>22.281040209732421</v>
          </cell>
        </row>
        <row r="262">
          <cell r="C262">
            <v>39.242641318555378</v>
          </cell>
          <cell r="D262">
            <v>22.281040209732421</v>
          </cell>
          <cell r="E262">
            <v>22.281040209732421</v>
          </cell>
        </row>
        <row r="263">
          <cell r="C263">
            <v>23.118648947825168</v>
          </cell>
          <cell r="D263">
            <v>22.281040209732421</v>
          </cell>
          <cell r="E263">
            <v>22.281040209732421</v>
          </cell>
        </row>
        <row r="264">
          <cell r="C264">
            <v>27.61844785182517</v>
          </cell>
          <cell r="D264">
            <v>22.281040209732421</v>
          </cell>
          <cell r="E264">
            <v>22.281040209732421</v>
          </cell>
        </row>
        <row r="265">
          <cell r="C265">
            <v>6.5242940318261029</v>
          </cell>
          <cell r="D265">
            <v>22.281040209732421</v>
          </cell>
          <cell r="E265">
            <v>6.5242940318261029</v>
          </cell>
        </row>
        <row r="266">
          <cell r="C266">
            <v>5.9345660678251697</v>
          </cell>
          <cell r="D266">
            <v>22.281040209732421</v>
          </cell>
          <cell r="E266">
            <v>5.9345660678251697</v>
          </cell>
        </row>
        <row r="267">
          <cell r="C267">
            <v>2.0039890278251695</v>
          </cell>
          <cell r="D267">
            <v>22.281040209732421</v>
          </cell>
          <cell r="E267">
            <v>2.0039890278251695</v>
          </cell>
        </row>
        <row r="268">
          <cell r="C268">
            <v>10.812123067824235</v>
          </cell>
          <cell r="D268">
            <v>22.281040209732421</v>
          </cell>
          <cell r="E268">
            <v>10.812123067824235</v>
          </cell>
        </row>
        <row r="269">
          <cell r="C269">
            <v>6.8628073918270314</v>
          </cell>
          <cell r="D269">
            <v>22.281040209732421</v>
          </cell>
          <cell r="E269">
            <v>6.8628073918270314</v>
          </cell>
        </row>
        <row r="270">
          <cell r="C270">
            <v>21.66226604055921</v>
          </cell>
          <cell r="D270">
            <v>22.281040209732421</v>
          </cell>
          <cell r="E270">
            <v>21.66226604055921</v>
          </cell>
        </row>
        <row r="271">
          <cell r="C271">
            <v>22.57161161256014</v>
          </cell>
          <cell r="D271">
            <v>22.281040209732421</v>
          </cell>
          <cell r="E271">
            <v>22.281040209732421</v>
          </cell>
        </row>
        <row r="272">
          <cell r="C272">
            <v>19.632589916559212</v>
          </cell>
          <cell r="D272">
            <v>22.281040209732421</v>
          </cell>
          <cell r="E272">
            <v>19.632589916559212</v>
          </cell>
        </row>
        <row r="273">
          <cell r="C273">
            <v>13.274553664561074</v>
          </cell>
          <cell r="D273">
            <v>22.281040209732421</v>
          </cell>
          <cell r="E273">
            <v>13.274553664561074</v>
          </cell>
        </row>
        <row r="274">
          <cell r="C274">
            <v>11.291133864560143</v>
          </cell>
          <cell r="D274">
            <v>22.281040209732421</v>
          </cell>
          <cell r="E274">
            <v>11.291133864560143</v>
          </cell>
        </row>
        <row r="275">
          <cell r="C275">
            <v>24.859265244560142</v>
          </cell>
          <cell r="D275">
            <v>22.281040209732421</v>
          </cell>
          <cell r="E275">
            <v>22.281040209732421</v>
          </cell>
        </row>
        <row r="276">
          <cell r="C276">
            <v>14.768948360559211</v>
          </cell>
          <cell r="D276">
            <v>44.550149357058011</v>
          </cell>
          <cell r="E276">
            <v>14.768948360559211</v>
          </cell>
        </row>
        <row r="277">
          <cell r="C277">
            <v>6.2465913393767076</v>
          </cell>
          <cell r="D277">
            <v>44.550149357058011</v>
          </cell>
          <cell r="E277">
            <v>6.2465913393767076</v>
          </cell>
        </row>
        <row r="278">
          <cell r="C278">
            <v>10.294657775379502</v>
          </cell>
          <cell r="D278">
            <v>44.550149357058011</v>
          </cell>
          <cell r="E278">
            <v>10.294657775379502</v>
          </cell>
        </row>
        <row r="279">
          <cell r="C279">
            <v>15.231506839375776</v>
          </cell>
          <cell r="D279">
            <v>44.550149357058011</v>
          </cell>
          <cell r="E279">
            <v>15.231506839375776</v>
          </cell>
        </row>
        <row r="280">
          <cell r="C280">
            <v>2.7791585433776382</v>
          </cell>
          <cell r="D280">
            <v>44.550149357058011</v>
          </cell>
          <cell r="E280">
            <v>2.7791585433776382</v>
          </cell>
        </row>
        <row r="281">
          <cell r="C281">
            <v>3.1948578873776388</v>
          </cell>
          <cell r="D281">
            <v>44.550149357058011</v>
          </cell>
          <cell r="E281">
            <v>3.1948578873776388</v>
          </cell>
        </row>
        <row r="282">
          <cell r="C282">
            <v>9.1765671673767066</v>
          </cell>
          <cell r="D282">
            <v>44.550149357058011</v>
          </cell>
          <cell r="E282">
            <v>9.1765671673767066</v>
          </cell>
        </row>
        <row r="283">
          <cell r="C283">
            <v>11.670171503377638</v>
          </cell>
          <cell r="D283">
            <v>44.550149357058011</v>
          </cell>
          <cell r="E283">
            <v>11.670171503377638</v>
          </cell>
        </row>
        <row r="284">
          <cell r="C284">
            <v>10.974282968998283</v>
          </cell>
          <cell r="D284">
            <v>44.550149357058011</v>
          </cell>
          <cell r="E284">
            <v>10.974282968998283</v>
          </cell>
        </row>
        <row r="285">
          <cell r="C285">
            <v>12.436239417001078</v>
          </cell>
          <cell r="D285">
            <v>44.550149357058011</v>
          </cell>
          <cell r="E285">
            <v>12.436239417001078</v>
          </cell>
        </row>
        <row r="286">
          <cell r="C286">
            <v>8.7710066969982829</v>
          </cell>
          <cell r="D286">
            <v>44.550149357058011</v>
          </cell>
          <cell r="E286">
            <v>8.7710066969982829</v>
          </cell>
        </row>
        <row r="287">
          <cell r="C287">
            <v>2.3492717330001471</v>
          </cell>
          <cell r="D287">
            <v>44.550149357058011</v>
          </cell>
          <cell r="E287">
            <v>2.3492717330001471</v>
          </cell>
        </row>
        <row r="288">
          <cell r="C288">
            <v>1.2920262790001471</v>
          </cell>
          <cell r="D288">
            <v>44.550149357058011</v>
          </cell>
          <cell r="E288">
            <v>1.2920262790001471</v>
          </cell>
        </row>
        <row r="289">
          <cell r="C289">
            <v>4.4865502089992155</v>
          </cell>
          <cell r="D289">
            <v>44.550149357058011</v>
          </cell>
          <cell r="E289">
            <v>4.4865502089992155</v>
          </cell>
        </row>
        <row r="290">
          <cell r="C290">
            <v>9.1113559910001456</v>
          </cell>
          <cell r="D290">
            <v>44.550149357058011</v>
          </cell>
          <cell r="E290">
            <v>9.1113559910001456</v>
          </cell>
        </row>
        <row r="291">
          <cell r="C291">
            <v>35.086366275212995</v>
          </cell>
          <cell r="D291">
            <v>44.550149357058011</v>
          </cell>
          <cell r="E291">
            <v>35.086366275212995</v>
          </cell>
        </row>
        <row r="292">
          <cell r="C292">
            <v>45.871987463213927</v>
          </cell>
          <cell r="D292">
            <v>44.550149357058011</v>
          </cell>
          <cell r="E292">
            <v>44.550149357058011</v>
          </cell>
        </row>
        <row r="293">
          <cell r="C293">
            <v>44.485241749213927</v>
          </cell>
          <cell r="D293">
            <v>44.550149357058011</v>
          </cell>
          <cell r="E293">
            <v>44.485241749213927</v>
          </cell>
        </row>
        <row r="294">
          <cell r="C294">
            <v>37.269568681213933</v>
          </cell>
          <cell r="D294">
            <v>44.550149357058011</v>
          </cell>
          <cell r="E294">
            <v>37.269568681213933</v>
          </cell>
        </row>
        <row r="295">
          <cell r="C295">
            <v>48.584789803214861</v>
          </cell>
          <cell r="D295">
            <v>44.550149357058011</v>
          </cell>
          <cell r="E295">
            <v>44.550149357058011</v>
          </cell>
        </row>
        <row r="296">
          <cell r="C296">
            <v>71.337222037212058</v>
          </cell>
          <cell r="D296">
            <v>44.550149357058011</v>
          </cell>
          <cell r="E296">
            <v>44.550149357058011</v>
          </cell>
        </row>
        <row r="297">
          <cell r="C297">
            <v>66.924923513213002</v>
          </cell>
          <cell r="D297">
            <v>44.550149357058011</v>
          </cell>
          <cell r="E297">
            <v>44.550149357058011</v>
          </cell>
        </row>
        <row r="298">
          <cell r="C298">
            <v>69.413260461879204</v>
          </cell>
          <cell r="D298">
            <v>44.550149357058011</v>
          </cell>
          <cell r="E298">
            <v>44.550149357058011</v>
          </cell>
        </row>
        <row r="299">
          <cell r="C299">
            <v>65.58422514187734</v>
          </cell>
          <cell r="D299">
            <v>44.550149357058011</v>
          </cell>
          <cell r="E299">
            <v>44.550149357058011</v>
          </cell>
        </row>
        <row r="300">
          <cell r="C300">
            <v>58.938894661877342</v>
          </cell>
          <cell r="D300">
            <v>44.550149357058011</v>
          </cell>
          <cell r="E300">
            <v>44.550149357058011</v>
          </cell>
        </row>
        <row r="301">
          <cell r="C301">
            <v>50.177881125876411</v>
          </cell>
          <cell r="D301">
            <v>44.550149357058011</v>
          </cell>
          <cell r="E301">
            <v>44.550149357058011</v>
          </cell>
        </row>
        <row r="302">
          <cell r="C302">
            <v>53.409759997879206</v>
          </cell>
          <cell r="D302">
            <v>44.550149357058011</v>
          </cell>
          <cell r="E302">
            <v>44.550149357058011</v>
          </cell>
        </row>
        <row r="303">
          <cell r="C303">
            <v>64.334243269877348</v>
          </cell>
          <cell r="D303">
            <v>44.550149357058011</v>
          </cell>
          <cell r="E303">
            <v>44.550149357058011</v>
          </cell>
        </row>
        <row r="304">
          <cell r="C304">
            <v>70.119179819877345</v>
          </cell>
          <cell r="D304">
            <v>44.550149357058011</v>
          </cell>
          <cell r="E304">
            <v>44.550149357058011</v>
          </cell>
        </row>
        <row r="305">
          <cell r="C305">
            <v>57.804457861749711</v>
          </cell>
          <cell r="D305">
            <v>44.550149357058011</v>
          </cell>
          <cell r="E305">
            <v>44.550149357058011</v>
          </cell>
        </row>
        <row r="306">
          <cell r="C306">
            <v>48.783205057750635</v>
          </cell>
          <cell r="D306">
            <v>44.550149357058011</v>
          </cell>
          <cell r="E306">
            <v>44.550149357058011</v>
          </cell>
        </row>
        <row r="307">
          <cell r="C307">
            <v>32.645414409750643</v>
          </cell>
          <cell r="D307">
            <v>83.137557492553753</v>
          </cell>
          <cell r="E307">
            <v>32.645414409750643</v>
          </cell>
        </row>
        <row r="308">
          <cell r="C308">
            <v>33.302213801749708</v>
          </cell>
          <cell r="D308">
            <v>83.137557492553753</v>
          </cell>
          <cell r="E308">
            <v>33.302213801749708</v>
          </cell>
        </row>
        <row r="309">
          <cell r="C309">
            <v>39.235533997751567</v>
          </cell>
          <cell r="D309">
            <v>83.137557492553753</v>
          </cell>
          <cell r="E309">
            <v>39.235533997751567</v>
          </cell>
        </row>
        <row r="310">
          <cell r="C310">
            <v>49.432187269750642</v>
          </cell>
          <cell r="D310">
            <v>83.137557492553753</v>
          </cell>
          <cell r="E310">
            <v>49.432187269750642</v>
          </cell>
        </row>
        <row r="311">
          <cell r="C311">
            <v>55.129035661749711</v>
          </cell>
          <cell r="D311">
            <v>83.137557492553753</v>
          </cell>
          <cell r="E311">
            <v>55.129035661749711</v>
          </cell>
        </row>
        <row r="312">
          <cell r="C312">
            <v>96.517850272140009</v>
          </cell>
          <cell r="D312">
            <v>83.137557492553753</v>
          </cell>
          <cell r="E312">
            <v>83.137557492553753</v>
          </cell>
        </row>
        <row r="313">
          <cell r="C313">
            <v>96.981097774139087</v>
          </cell>
          <cell r="D313">
            <v>83.137557492553753</v>
          </cell>
          <cell r="E313">
            <v>83.137557492553753</v>
          </cell>
        </row>
        <row r="314">
          <cell r="C314">
            <v>99.267910608140028</v>
          </cell>
          <cell r="D314">
            <v>83.137557492553753</v>
          </cell>
          <cell r="E314">
            <v>83.137557492553753</v>
          </cell>
        </row>
        <row r="315">
          <cell r="C315">
            <v>100.38756797614002</v>
          </cell>
          <cell r="D315">
            <v>83.137557492553753</v>
          </cell>
          <cell r="E315">
            <v>83.137557492553753</v>
          </cell>
        </row>
        <row r="316">
          <cell r="C316">
            <v>100.00252910214002</v>
          </cell>
          <cell r="D316">
            <v>83.137557492553753</v>
          </cell>
          <cell r="E316">
            <v>83.137557492553753</v>
          </cell>
        </row>
        <row r="317">
          <cell r="C317">
            <v>103.5793016841391</v>
          </cell>
          <cell r="D317">
            <v>83.137557492553753</v>
          </cell>
          <cell r="E317">
            <v>83.137557492553753</v>
          </cell>
        </row>
        <row r="318">
          <cell r="C318">
            <v>107.87766753814094</v>
          </cell>
          <cell r="D318">
            <v>83.137557492553753</v>
          </cell>
          <cell r="E318">
            <v>83.137557492553753</v>
          </cell>
        </row>
        <row r="319">
          <cell r="C319">
            <v>169.37504266546199</v>
          </cell>
          <cell r="D319">
            <v>83.137557492553753</v>
          </cell>
          <cell r="E319">
            <v>83.137557492553753</v>
          </cell>
        </row>
        <row r="320">
          <cell r="C320">
            <v>178.92032890546014</v>
          </cell>
          <cell r="D320">
            <v>83.137557492553753</v>
          </cell>
          <cell r="E320">
            <v>83.137557492553753</v>
          </cell>
        </row>
        <row r="321">
          <cell r="C321">
            <v>175.7299756654601</v>
          </cell>
          <cell r="D321">
            <v>83.137557492553753</v>
          </cell>
          <cell r="E321">
            <v>83.137557492553753</v>
          </cell>
        </row>
        <row r="322">
          <cell r="C322">
            <v>172.31068314546198</v>
          </cell>
          <cell r="D322">
            <v>83.137557492553753</v>
          </cell>
          <cell r="E322">
            <v>83.137557492553753</v>
          </cell>
        </row>
        <row r="323">
          <cell r="C323">
            <v>168.51232138546013</v>
          </cell>
          <cell r="D323">
            <v>83.137557492553753</v>
          </cell>
          <cell r="E323">
            <v>83.137557492553753</v>
          </cell>
        </row>
        <row r="324">
          <cell r="C324">
            <v>176.87608349546107</v>
          </cell>
          <cell r="D324">
            <v>83.137557492553753</v>
          </cell>
          <cell r="E324">
            <v>83.137557492553753</v>
          </cell>
        </row>
        <row r="325">
          <cell r="C325">
            <v>191.19754494546009</v>
          </cell>
          <cell r="D325">
            <v>83.137557492553753</v>
          </cell>
          <cell r="E325">
            <v>83.137557492553753</v>
          </cell>
        </row>
        <row r="326">
          <cell r="C326">
            <v>165.53610746046272</v>
          </cell>
          <cell r="D326">
            <v>83.137557492553753</v>
          </cell>
          <cell r="E326">
            <v>83.137557492553753</v>
          </cell>
        </row>
        <row r="327">
          <cell r="C327">
            <v>164.48450008046365</v>
          </cell>
          <cell r="D327">
            <v>83.137557492553753</v>
          </cell>
          <cell r="E327">
            <v>83.137557492553753</v>
          </cell>
        </row>
        <row r="328">
          <cell r="C328">
            <v>142.55365212046459</v>
          </cell>
          <cell r="D328">
            <v>83.137557492553753</v>
          </cell>
          <cell r="E328">
            <v>83.137557492553753</v>
          </cell>
        </row>
        <row r="329">
          <cell r="C329">
            <v>149.79941410046365</v>
          </cell>
          <cell r="D329">
            <v>83.137557492553753</v>
          </cell>
          <cell r="E329">
            <v>83.137557492553753</v>
          </cell>
        </row>
        <row r="330">
          <cell r="C330">
            <v>152.63351821046362</v>
          </cell>
          <cell r="D330">
            <v>83.137557492553753</v>
          </cell>
          <cell r="E330">
            <v>83.137557492553753</v>
          </cell>
        </row>
        <row r="331">
          <cell r="C331">
            <v>160.46484280046366</v>
          </cell>
          <cell r="D331">
            <v>83.137557492553753</v>
          </cell>
          <cell r="E331">
            <v>83.137557492553753</v>
          </cell>
        </row>
        <row r="332">
          <cell r="C332">
            <v>154.75039204046178</v>
          </cell>
          <cell r="D332">
            <v>83.137557492553753</v>
          </cell>
          <cell r="E332">
            <v>83.137557492553753</v>
          </cell>
        </row>
        <row r="333">
          <cell r="C333">
            <v>208.72242819452077</v>
          </cell>
          <cell r="D333">
            <v>83.137557492553753</v>
          </cell>
          <cell r="E333">
            <v>83.137557492553753</v>
          </cell>
        </row>
        <row r="334">
          <cell r="C334">
            <v>218.49035702451982</v>
          </cell>
          <cell r="D334">
            <v>83.137557492553753</v>
          </cell>
          <cell r="E334">
            <v>83.137557492553753</v>
          </cell>
        </row>
        <row r="335">
          <cell r="C335">
            <v>228.39311174451981</v>
          </cell>
          <cell r="D335">
            <v>83.137557492553753</v>
          </cell>
          <cell r="E335">
            <v>83.137557492553753</v>
          </cell>
        </row>
        <row r="336">
          <cell r="C336">
            <v>214.47707978452075</v>
          </cell>
          <cell r="D336">
            <v>83.137557492553753</v>
          </cell>
          <cell r="E336">
            <v>83.137557492553753</v>
          </cell>
        </row>
        <row r="337">
          <cell r="C337">
            <v>217.97567370451887</v>
          </cell>
          <cell r="D337">
            <v>104.08859355090497</v>
          </cell>
          <cell r="E337">
            <v>104.08859355090497</v>
          </cell>
        </row>
        <row r="338">
          <cell r="C338">
            <v>220.38607756452078</v>
          </cell>
          <cell r="D338">
            <v>104.08859355090497</v>
          </cell>
          <cell r="E338">
            <v>104.08859355090497</v>
          </cell>
        </row>
        <row r="339">
          <cell r="C339">
            <v>238.12380746452078</v>
          </cell>
          <cell r="D339">
            <v>104.08859355090497</v>
          </cell>
          <cell r="E339">
            <v>104.08859355090497</v>
          </cell>
        </row>
        <row r="340">
          <cell r="C340">
            <v>156.75214829175312</v>
          </cell>
          <cell r="D340">
            <v>104.08859355090497</v>
          </cell>
          <cell r="E340">
            <v>104.08859355090497</v>
          </cell>
        </row>
        <row r="341">
          <cell r="C341">
            <v>156.11154397175403</v>
          </cell>
          <cell r="D341">
            <v>104.08859355090497</v>
          </cell>
          <cell r="E341">
            <v>104.08859355090497</v>
          </cell>
        </row>
        <row r="342">
          <cell r="C342">
            <v>145.51518334175313</v>
          </cell>
          <cell r="D342">
            <v>104.08859355090497</v>
          </cell>
          <cell r="E342">
            <v>104.08859355090497</v>
          </cell>
        </row>
        <row r="343">
          <cell r="C343">
            <v>138.26705353175311</v>
          </cell>
          <cell r="D343">
            <v>104.08859355090497</v>
          </cell>
          <cell r="E343">
            <v>104.08859355090497</v>
          </cell>
        </row>
        <row r="344">
          <cell r="C344">
            <v>123.47569367175311</v>
          </cell>
          <cell r="D344">
            <v>104.08859355090497</v>
          </cell>
          <cell r="E344">
            <v>104.08859355090497</v>
          </cell>
        </row>
        <row r="345">
          <cell r="C345">
            <v>121.07344309175217</v>
          </cell>
          <cell r="D345">
            <v>104.08859355090497</v>
          </cell>
          <cell r="E345">
            <v>104.08859355090497</v>
          </cell>
        </row>
        <row r="346">
          <cell r="C346">
            <v>130.04852048375309</v>
          </cell>
          <cell r="D346">
            <v>104.08859355090497</v>
          </cell>
          <cell r="E346">
            <v>104.08859355090497</v>
          </cell>
        </row>
        <row r="347">
          <cell r="C347">
            <v>138.49020952671947</v>
          </cell>
          <cell r="D347">
            <v>104.08859355090497</v>
          </cell>
          <cell r="E347">
            <v>104.08859355090497</v>
          </cell>
        </row>
        <row r="348">
          <cell r="C348">
            <v>127.47935954672039</v>
          </cell>
          <cell r="D348">
            <v>104.08859355090497</v>
          </cell>
          <cell r="E348">
            <v>104.08859355090497</v>
          </cell>
        </row>
        <row r="349">
          <cell r="C349">
            <v>135.27354444671852</v>
          </cell>
          <cell r="D349">
            <v>104.08859355090497</v>
          </cell>
          <cell r="E349">
            <v>104.08859355090497</v>
          </cell>
        </row>
        <row r="350">
          <cell r="C350">
            <v>142.16881114671943</v>
          </cell>
          <cell r="D350">
            <v>104.08859355090497</v>
          </cell>
          <cell r="E350">
            <v>104.08859355090497</v>
          </cell>
        </row>
        <row r="351">
          <cell r="C351">
            <v>136.56752488672038</v>
          </cell>
          <cell r="D351">
            <v>104.08859355090497</v>
          </cell>
          <cell r="E351">
            <v>104.08859355090497</v>
          </cell>
        </row>
        <row r="352">
          <cell r="C352">
            <v>157.41493800672038</v>
          </cell>
          <cell r="D352">
            <v>104.08859355090497</v>
          </cell>
          <cell r="E352">
            <v>104.08859355090497</v>
          </cell>
        </row>
        <row r="353">
          <cell r="C353">
            <v>173.46827267671944</v>
          </cell>
          <cell r="D353">
            <v>104.08859355090497</v>
          </cell>
          <cell r="E353">
            <v>104.08859355090497</v>
          </cell>
        </row>
        <row r="354">
          <cell r="C354">
            <v>334.12964689784087</v>
          </cell>
          <cell r="D354">
            <v>104.08859355090497</v>
          </cell>
          <cell r="E354">
            <v>104.08859355090497</v>
          </cell>
        </row>
        <row r="355">
          <cell r="C355">
            <v>332.56385904184464</v>
          </cell>
          <cell r="D355">
            <v>104.08859355090497</v>
          </cell>
          <cell r="E355">
            <v>104.08859355090497</v>
          </cell>
        </row>
        <row r="356">
          <cell r="C356">
            <v>354.56233885584282</v>
          </cell>
          <cell r="D356">
            <v>104.08859355090497</v>
          </cell>
          <cell r="E356">
            <v>104.08859355090497</v>
          </cell>
        </row>
        <row r="357">
          <cell r="C357">
            <v>354.27874643784463</v>
          </cell>
          <cell r="D357">
            <v>104.08859355090497</v>
          </cell>
          <cell r="E357">
            <v>104.08859355090497</v>
          </cell>
        </row>
        <row r="358">
          <cell r="C358">
            <v>343.39449774784282</v>
          </cell>
          <cell r="D358">
            <v>104.08859355090497</v>
          </cell>
          <cell r="E358">
            <v>104.08859355090497</v>
          </cell>
        </row>
        <row r="359">
          <cell r="C359">
            <v>350.60836738784468</v>
          </cell>
          <cell r="D359">
            <v>104.08859355090497</v>
          </cell>
          <cell r="E359">
            <v>104.08859355090497</v>
          </cell>
        </row>
        <row r="360">
          <cell r="C360">
            <v>354.35816298784283</v>
          </cell>
          <cell r="D360">
            <v>104.08859355090497</v>
          </cell>
          <cell r="E360">
            <v>104.08859355090497</v>
          </cell>
        </row>
        <row r="361">
          <cell r="C361">
            <v>172.68689226917945</v>
          </cell>
          <cell r="D361">
            <v>104.08859355090497</v>
          </cell>
          <cell r="E361">
            <v>104.08859355090497</v>
          </cell>
        </row>
        <row r="362">
          <cell r="C362">
            <v>174.46318876918133</v>
          </cell>
          <cell r="D362">
            <v>104.08859355090497</v>
          </cell>
          <cell r="E362">
            <v>104.08859355090497</v>
          </cell>
        </row>
        <row r="363">
          <cell r="C363">
            <v>178.31420186918319</v>
          </cell>
          <cell r="D363">
            <v>104.08859355090497</v>
          </cell>
          <cell r="E363">
            <v>104.08859355090497</v>
          </cell>
        </row>
        <row r="364">
          <cell r="C364">
            <v>174.19467910117945</v>
          </cell>
          <cell r="D364">
            <v>104.08859355090497</v>
          </cell>
          <cell r="E364">
            <v>104.08859355090497</v>
          </cell>
        </row>
        <row r="365">
          <cell r="C365">
            <v>164.00843339318129</v>
          </cell>
          <cell r="D365">
            <v>104.08859355090497</v>
          </cell>
          <cell r="E365">
            <v>104.08859355090497</v>
          </cell>
        </row>
        <row r="366">
          <cell r="C366">
            <v>162.84888335718131</v>
          </cell>
          <cell r="D366">
            <v>104.08859355090497</v>
          </cell>
          <cell r="E366">
            <v>104.08859355090497</v>
          </cell>
        </row>
        <row r="367">
          <cell r="C367">
            <v>160.96440108718133</v>
          </cell>
          <cell r="D367">
            <v>104.08859355090497</v>
          </cell>
          <cell r="E367">
            <v>104.08859355090497</v>
          </cell>
        </row>
        <row r="368">
          <cell r="C368">
            <v>184.26620013992655</v>
          </cell>
          <cell r="D368">
            <v>120.61015823780208</v>
          </cell>
          <cell r="E368">
            <v>120.61015823780208</v>
          </cell>
        </row>
        <row r="369">
          <cell r="C369">
            <v>191.94062220592653</v>
          </cell>
          <cell r="D369">
            <v>120.61015823780208</v>
          </cell>
          <cell r="E369">
            <v>120.61015823780208</v>
          </cell>
        </row>
        <row r="370">
          <cell r="C370">
            <v>184.77754759392656</v>
          </cell>
          <cell r="D370">
            <v>120.61015823780208</v>
          </cell>
          <cell r="E370">
            <v>120.61015823780208</v>
          </cell>
        </row>
        <row r="371">
          <cell r="C371">
            <v>172.67950600392467</v>
          </cell>
          <cell r="D371">
            <v>120.61015823780208</v>
          </cell>
          <cell r="E371">
            <v>120.61015823780208</v>
          </cell>
        </row>
        <row r="372">
          <cell r="C372">
            <v>159.61731620392655</v>
          </cell>
          <cell r="D372">
            <v>120.61015823780208</v>
          </cell>
          <cell r="E372">
            <v>120.61015823780208</v>
          </cell>
        </row>
        <row r="373">
          <cell r="C373">
            <v>163.10023949992657</v>
          </cell>
          <cell r="D373">
            <v>120.61015823780208</v>
          </cell>
          <cell r="E373">
            <v>120.61015823780208</v>
          </cell>
        </row>
        <row r="374">
          <cell r="C374">
            <v>178.34972706792655</v>
          </cell>
          <cell r="D374">
            <v>120.61015823780208</v>
          </cell>
          <cell r="E374">
            <v>120.61015823780208</v>
          </cell>
        </row>
        <row r="375">
          <cell r="C375">
            <v>184.27069932720477</v>
          </cell>
          <cell r="D375">
            <v>120.61015823780208</v>
          </cell>
          <cell r="E375">
            <v>120.61015823780208</v>
          </cell>
        </row>
        <row r="376">
          <cell r="C376">
            <v>167.69535605720475</v>
          </cell>
          <cell r="D376">
            <v>120.61015823780208</v>
          </cell>
          <cell r="E376">
            <v>120.61015823780208</v>
          </cell>
        </row>
        <row r="377">
          <cell r="C377">
            <v>172.43822710720474</v>
          </cell>
          <cell r="D377">
            <v>120.61015823780208</v>
          </cell>
          <cell r="E377">
            <v>120.61015823780208</v>
          </cell>
        </row>
        <row r="378">
          <cell r="C378">
            <v>146.37702562920475</v>
          </cell>
          <cell r="D378">
            <v>120.61015823780208</v>
          </cell>
          <cell r="E378">
            <v>120.61015823780208</v>
          </cell>
        </row>
        <row r="379">
          <cell r="C379">
            <v>143.11790912520473</v>
          </cell>
          <cell r="D379">
            <v>120.61015823780208</v>
          </cell>
          <cell r="E379">
            <v>120.61015823780208</v>
          </cell>
        </row>
        <row r="380">
          <cell r="C380">
            <v>167.93812788120474</v>
          </cell>
          <cell r="D380">
            <v>120.61015823780208</v>
          </cell>
          <cell r="E380">
            <v>120.61015823780208</v>
          </cell>
        </row>
        <row r="381">
          <cell r="C381">
            <v>161.90957078920474</v>
          </cell>
          <cell r="D381">
            <v>120.61015823780208</v>
          </cell>
          <cell r="E381">
            <v>120.61015823780208</v>
          </cell>
        </row>
        <row r="382">
          <cell r="C382">
            <v>109.46004220692852</v>
          </cell>
          <cell r="D382">
            <v>120.61015823780208</v>
          </cell>
          <cell r="E382">
            <v>109.46004220692852</v>
          </cell>
        </row>
        <row r="383">
          <cell r="C383">
            <v>102.64023779493037</v>
          </cell>
          <cell r="D383">
            <v>120.61015823780208</v>
          </cell>
          <cell r="E383">
            <v>102.64023779493037</v>
          </cell>
        </row>
        <row r="384">
          <cell r="C384">
            <v>95.349337680928528</v>
          </cell>
          <cell r="D384">
            <v>120.61015823780208</v>
          </cell>
          <cell r="E384">
            <v>95.349337680928528</v>
          </cell>
        </row>
        <row r="385">
          <cell r="C385">
            <v>78.364010868930393</v>
          </cell>
          <cell r="D385">
            <v>120.61015823780208</v>
          </cell>
          <cell r="E385">
            <v>78.364010868930393</v>
          </cell>
        </row>
        <row r="386">
          <cell r="C386">
            <v>81.110602914928521</v>
          </cell>
          <cell r="D386">
            <v>120.61015823780208</v>
          </cell>
          <cell r="E386">
            <v>81.110602914928521</v>
          </cell>
        </row>
        <row r="387">
          <cell r="C387">
            <v>107.01119799893038</v>
          </cell>
          <cell r="D387">
            <v>120.61015823780208</v>
          </cell>
          <cell r="E387">
            <v>107.01119799893038</v>
          </cell>
        </row>
        <row r="388">
          <cell r="C388">
            <v>109.92191380092852</v>
          </cell>
          <cell r="D388">
            <v>120.61015823780208</v>
          </cell>
          <cell r="E388">
            <v>109.92191380092852</v>
          </cell>
        </row>
        <row r="389">
          <cell r="C389">
            <v>156.51959722485577</v>
          </cell>
          <cell r="D389">
            <v>120.61015823780208</v>
          </cell>
          <cell r="E389">
            <v>120.61015823780208</v>
          </cell>
        </row>
        <row r="390">
          <cell r="C390">
            <v>153.52301242085761</v>
          </cell>
          <cell r="D390">
            <v>120.61015823780208</v>
          </cell>
          <cell r="E390">
            <v>120.61015823780208</v>
          </cell>
        </row>
        <row r="391">
          <cell r="C391">
            <v>158.05685952485578</v>
          </cell>
          <cell r="D391">
            <v>120.61015823780208</v>
          </cell>
          <cell r="E391">
            <v>120.61015823780208</v>
          </cell>
        </row>
        <row r="392">
          <cell r="C392">
            <v>141.95535914085576</v>
          </cell>
          <cell r="D392">
            <v>120.61015823780208</v>
          </cell>
          <cell r="E392">
            <v>120.61015823780208</v>
          </cell>
        </row>
        <row r="393">
          <cell r="C393">
            <v>112.84747781685577</v>
          </cell>
          <cell r="D393">
            <v>120.61015823780208</v>
          </cell>
          <cell r="E393">
            <v>112.84747781685577</v>
          </cell>
        </row>
        <row r="394">
          <cell r="C394">
            <v>106.18140920485763</v>
          </cell>
          <cell r="D394">
            <v>120.61015823780208</v>
          </cell>
          <cell r="E394">
            <v>106.18140920485763</v>
          </cell>
        </row>
        <row r="395">
          <cell r="C395">
            <v>117.11715567885577</v>
          </cell>
          <cell r="D395">
            <v>120.61015823780208</v>
          </cell>
          <cell r="E395">
            <v>117.11715567885577</v>
          </cell>
        </row>
        <row r="396">
          <cell r="C396">
            <v>162.95080659618944</v>
          </cell>
          <cell r="D396">
            <v>120.61015823780208</v>
          </cell>
          <cell r="E396">
            <v>120.61015823780208</v>
          </cell>
        </row>
        <row r="397">
          <cell r="C397">
            <v>149.09742134619128</v>
          </cell>
          <cell r="D397">
            <v>120.61015823780208</v>
          </cell>
          <cell r="E397">
            <v>120.61015823780208</v>
          </cell>
        </row>
        <row r="398">
          <cell r="C398">
            <v>155.79503754418943</v>
          </cell>
          <cell r="D398">
            <v>120.61015823780208</v>
          </cell>
          <cell r="E398">
            <v>120.61015823780208</v>
          </cell>
        </row>
        <row r="399">
          <cell r="C399"/>
          <cell r="D399"/>
          <cell r="E399"/>
        </row>
        <row r="400">
          <cell r="C400" t="str">
            <v/>
          </cell>
          <cell r="D400" t="str">
            <v/>
          </cell>
          <cell r="E400" t="str">
            <v/>
          </cell>
        </row>
        <row r="401">
          <cell r="C401" t="str">
            <v/>
          </cell>
          <cell r="D401" t="str">
            <v/>
          </cell>
          <cell r="E401" t="str">
            <v/>
          </cell>
        </row>
        <row r="402">
          <cell r="C402" t="str">
            <v/>
          </cell>
          <cell r="D402" t="str">
            <v/>
          </cell>
          <cell r="E402" t="str">
            <v/>
          </cell>
        </row>
        <row r="403">
          <cell r="C403" t="str">
            <v/>
          </cell>
          <cell r="D403" t="str">
            <v/>
          </cell>
          <cell r="E403" t="str">
            <v/>
          </cell>
        </row>
        <row r="404">
          <cell r="C404" t="str">
            <v/>
          </cell>
          <cell r="D404" t="str">
            <v/>
          </cell>
          <cell r="E404" t="str">
            <v/>
          </cell>
        </row>
        <row r="405">
          <cell r="C405" t="str">
            <v/>
          </cell>
          <cell r="D405" t="str">
            <v/>
          </cell>
          <cell r="E405" t="str">
            <v/>
          </cell>
        </row>
        <row r="406">
          <cell r="C406" t="str">
            <v/>
          </cell>
          <cell r="D406" t="str">
            <v/>
          </cell>
          <cell r="E406" t="str">
            <v/>
          </cell>
        </row>
        <row r="407">
          <cell r="C407" t="str">
            <v/>
          </cell>
          <cell r="D407" t="str">
            <v/>
          </cell>
          <cell r="E407" t="str">
            <v/>
          </cell>
        </row>
        <row r="408">
          <cell r="C408" t="str">
            <v/>
          </cell>
          <cell r="D408" t="str">
            <v/>
          </cell>
          <cell r="E408" t="str">
            <v/>
          </cell>
        </row>
        <row r="409">
          <cell r="C409" t="str">
            <v/>
          </cell>
          <cell r="D409" t="str">
            <v/>
          </cell>
          <cell r="E409" t="str">
            <v/>
          </cell>
        </row>
        <row r="410">
          <cell r="C410" t="str">
            <v/>
          </cell>
          <cell r="D410" t="str">
            <v/>
          </cell>
          <cell r="E410" t="str">
            <v/>
          </cell>
        </row>
        <row r="411">
          <cell r="C411" t="str">
            <v/>
          </cell>
          <cell r="D411" t="str">
            <v/>
          </cell>
          <cell r="E411" t="str">
            <v/>
          </cell>
        </row>
        <row r="412">
          <cell r="C412" t="str">
            <v/>
          </cell>
          <cell r="D412" t="str">
            <v/>
          </cell>
          <cell r="E412" t="str">
            <v/>
          </cell>
        </row>
        <row r="413">
          <cell r="C413" t="str">
            <v/>
          </cell>
          <cell r="D413" t="str">
            <v/>
          </cell>
          <cell r="E413" t="str">
            <v/>
          </cell>
        </row>
        <row r="414">
          <cell r="C414" t="str">
            <v/>
          </cell>
          <cell r="D414" t="str">
            <v/>
          </cell>
          <cell r="E414" t="str">
            <v/>
          </cell>
        </row>
        <row r="415">
          <cell r="C415" t="str">
            <v/>
          </cell>
          <cell r="D415" t="str">
            <v/>
          </cell>
          <cell r="E415" t="str">
            <v/>
          </cell>
        </row>
        <row r="416">
          <cell r="C416" t="str">
            <v/>
          </cell>
          <cell r="D416" t="str">
            <v/>
          </cell>
          <cell r="E416" t="str">
            <v/>
          </cell>
        </row>
        <row r="417">
          <cell r="C417" t="str">
            <v/>
          </cell>
          <cell r="D417" t="str">
            <v/>
          </cell>
          <cell r="E417" t="str">
            <v/>
          </cell>
        </row>
        <row r="418">
          <cell r="C418" t="str">
            <v/>
          </cell>
          <cell r="D418" t="str">
            <v/>
          </cell>
          <cell r="E418" t="str">
            <v/>
          </cell>
        </row>
        <row r="419">
          <cell r="C419" t="str">
            <v/>
          </cell>
          <cell r="D419" t="str">
            <v/>
          </cell>
          <cell r="E419" t="str">
            <v/>
          </cell>
        </row>
        <row r="420">
          <cell r="C420" t="str">
            <v/>
          </cell>
          <cell r="D420" t="str">
            <v/>
          </cell>
          <cell r="E420" t="str">
            <v/>
          </cell>
        </row>
        <row r="421">
          <cell r="C421" t="str">
            <v/>
          </cell>
          <cell r="D421" t="str">
            <v/>
          </cell>
          <cell r="E421" t="str">
            <v/>
          </cell>
        </row>
        <row r="422">
          <cell r="C422" t="str">
            <v/>
          </cell>
          <cell r="D422" t="str">
            <v/>
          </cell>
          <cell r="E422" t="str">
            <v/>
          </cell>
        </row>
        <row r="423">
          <cell r="C423" t="str">
            <v/>
          </cell>
          <cell r="D423" t="str">
            <v/>
          </cell>
          <cell r="E423" t="str">
            <v/>
          </cell>
        </row>
        <row r="424">
          <cell r="C424" t="str">
            <v/>
          </cell>
          <cell r="D424" t="str">
            <v/>
          </cell>
          <cell r="E424" t="str">
            <v/>
          </cell>
        </row>
        <row r="425">
          <cell r="C425" t="str">
            <v/>
          </cell>
          <cell r="D425" t="str">
            <v/>
          </cell>
          <cell r="E425" t="str">
            <v/>
          </cell>
        </row>
        <row r="426">
          <cell r="C426" t="str">
            <v/>
          </cell>
          <cell r="D426" t="str">
            <v/>
          </cell>
          <cell r="E426" t="str">
            <v/>
          </cell>
        </row>
        <row r="427">
          <cell r="C427" t="str">
            <v/>
          </cell>
          <cell r="D427" t="str">
            <v/>
          </cell>
          <cell r="E427" t="str">
            <v/>
          </cell>
        </row>
        <row r="428">
          <cell r="C428" t="str">
            <v/>
          </cell>
          <cell r="D428" t="str">
            <v/>
          </cell>
          <cell r="E428" t="str">
            <v/>
          </cell>
        </row>
        <row r="429">
          <cell r="C429" t="str">
            <v/>
          </cell>
          <cell r="D429" t="str">
            <v/>
          </cell>
          <cell r="E429" t="str">
            <v/>
          </cell>
        </row>
        <row r="430">
          <cell r="C430" t="str">
            <v/>
          </cell>
          <cell r="D430" t="str">
            <v/>
          </cell>
          <cell r="E430" t="str">
            <v/>
          </cell>
        </row>
        <row r="431">
          <cell r="C431" t="str">
            <v/>
          </cell>
          <cell r="D431" t="str">
            <v/>
          </cell>
          <cell r="E431" t="str">
            <v/>
          </cell>
        </row>
        <row r="432">
          <cell r="C432" t="str">
            <v/>
          </cell>
          <cell r="D432" t="str">
            <v/>
          </cell>
          <cell r="E432" t="str">
            <v/>
          </cell>
        </row>
        <row r="433">
          <cell r="C433" t="str">
            <v/>
          </cell>
          <cell r="D433" t="str">
            <v/>
          </cell>
          <cell r="E433" t="str">
            <v/>
          </cell>
        </row>
        <row r="434">
          <cell r="C434" t="str">
            <v/>
          </cell>
          <cell r="D434" t="str">
            <v/>
          </cell>
          <cell r="E434" t="str">
            <v/>
          </cell>
        </row>
        <row r="435">
          <cell r="C435" t="str">
            <v/>
          </cell>
          <cell r="D435" t="str">
            <v/>
          </cell>
          <cell r="E435" t="str">
            <v/>
          </cell>
        </row>
        <row r="436">
          <cell r="C436" t="str">
            <v/>
          </cell>
          <cell r="D436" t="str">
            <v/>
          </cell>
          <cell r="E436" t="str">
            <v/>
          </cell>
        </row>
        <row r="437">
          <cell r="C437" t="str">
            <v/>
          </cell>
          <cell r="D437" t="str">
            <v/>
          </cell>
          <cell r="E437" t="str">
            <v/>
          </cell>
        </row>
        <row r="438">
          <cell r="C438" t="str">
            <v/>
          </cell>
          <cell r="D438" t="str">
            <v/>
          </cell>
          <cell r="E438" t="str">
            <v/>
          </cell>
        </row>
        <row r="439">
          <cell r="C439" t="str">
            <v/>
          </cell>
          <cell r="D439" t="str">
            <v/>
          </cell>
          <cell r="E439" t="str">
            <v/>
          </cell>
        </row>
        <row r="440">
          <cell r="C440" t="str">
            <v/>
          </cell>
          <cell r="D440" t="str">
            <v/>
          </cell>
          <cell r="E440" t="str">
            <v/>
          </cell>
        </row>
        <row r="441">
          <cell r="C441" t="str">
            <v/>
          </cell>
          <cell r="D441" t="str">
            <v/>
          </cell>
          <cell r="E441" t="str">
            <v/>
          </cell>
        </row>
        <row r="442">
          <cell r="C442" t="str">
            <v/>
          </cell>
          <cell r="D442" t="str">
            <v/>
          </cell>
          <cell r="E442" t="str">
            <v/>
          </cell>
        </row>
        <row r="443">
          <cell r="C443" t="str">
            <v/>
          </cell>
          <cell r="D443" t="str">
            <v/>
          </cell>
          <cell r="E443" t="str">
            <v/>
          </cell>
        </row>
        <row r="444">
          <cell r="C444" t="str">
            <v/>
          </cell>
          <cell r="D444" t="str">
            <v/>
          </cell>
          <cell r="E444" t="str">
            <v/>
          </cell>
        </row>
        <row r="445">
          <cell r="C445" t="str">
            <v/>
          </cell>
          <cell r="D445" t="str">
            <v/>
          </cell>
          <cell r="E445" t="str">
            <v/>
          </cell>
        </row>
        <row r="446">
          <cell r="C446" t="str">
            <v/>
          </cell>
          <cell r="D446" t="str">
            <v/>
          </cell>
          <cell r="E446" t="str">
            <v/>
          </cell>
        </row>
        <row r="447">
          <cell r="C447" t="str">
            <v/>
          </cell>
          <cell r="D447" t="str">
            <v/>
          </cell>
          <cell r="E447" t="str">
            <v/>
          </cell>
        </row>
        <row r="448">
          <cell r="C448" t="str">
            <v/>
          </cell>
          <cell r="D448" t="str">
            <v/>
          </cell>
          <cell r="E448" t="str">
            <v/>
          </cell>
        </row>
        <row r="449">
          <cell r="C449" t="str">
            <v/>
          </cell>
          <cell r="D449" t="str">
            <v/>
          </cell>
          <cell r="E449" t="str">
            <v/>
          </cell>
        </row>
        <row r="450">
          <cell r="C450" t="str">
            <v/>
          </cell>
          <cell r="D450" t="str">
            <v/>
          </cell>
          <cell r="E450" t="str">
            <v/>
          </cell>
        </row>
        <row r="451">
          <cell r="C451" t="str">
            <v/>
          </cell>
          <cell r="D451" t="str">
            <v/>
          </cell>
          <cell r="E451" t="str">
            <v/>
          </cell>
        </row>
        <row r="452">
          <cell r="C452" t="str">
            <v/>
          </cell>
          <cell r="D452" t="str">
            <v/>
          </cell>
          <cell r="E452" t="str">
            <v/>
          </cell>
        </row>
        <row r="453">
          <cell r="C453" t="str">
            <v/>
          </cell>
          <cell r="D453" t="str">
            <v/>
          </cell>
          <cell r="E453" t="str">
            <v/>
          </cell>
        </row>
        <row r="454">
          <cell r="C454" t="str">
            <v/>
          </cell>
          <cell r="D454" t="str">
            <v/>
          </cell>
          <cell r="E454" t="str">
            <v/>
          </cell>
        </row>
        <row r="455">
          <cell r="C455" t="str">
            <v/>
          </cell>
          <cell r="D455" t="str">
            <v/>
          </cell>
          <cell r="E455" t="str">
            <v/>
          </cell>
        </row>
        <row r="456">
          <cell r="C456" t="str">
            <v/>
          </cell>
          <cell r="D456" t="str">
            <v/>
          </cell>
          <cell r="E456" t="str">
            <v/>
          </cell>
        </row>
        <row r="457">
          <cell r="C457" t="str">
            <v/>
          </cell>
          <cell r="D457" t="str">
            <v/>
          </cell>
          <cell r="E457" t="str">
            <v/>
          </cell>
        </row>
        <row r="458">
          <cell r="C458" t="str">
            <v/>
          </cell>
          <cell r="D458" t="str">
            <v/>
          </cell>
          <cell r="E458" t="str">
            <v/>
          </cell>
        </row>
        <row r="459">
          <cell r="C459" t="str">
            <v/>
          </cell>
          <cell r="D459" t="str">
            <v/>
          </cell>
          <cell r="E459" t="str">
            <v/>
          </cell>
        </row>
        <row r="460">
          <cell r="C460" t="str">
            <v/>
          </cell>
          <cell r="D460" t="str">
            <v/>
          </cell>
          <cell r="E460" t="str">
            <v/>
          </cell>
        </row>
        <row r="461">
          <cell r="C461" t="str">
            <v/>
          </cell>
          <cell r="D461" t="str">
            <v/>
          </cell>
          <cell r="E461" t="str">
            <v/>
          </cell>
        </row>
        <row r="462">
          <cell r="C462" t="str">
            <v/>
          </cell>
          <cell r="D462" t="str">
            <v/>
          </cell>
          <cell r="E462" t="str">
            <v/>
          </cell>
        </row>
        <row r="463">
          <cell r="C463" t="str">
            <v/>
          </cell>
          <cell r="D463" t="str">
            <v/>
          </cell>
          <cell r="E463" t="str">
            <v/>
          </cell>
        </row>
        <row r="464">
          <cell r="C464" t="str">
            <v/>
          </cell>
          <cell r="D464" t="str">
            <v/>
          </cell>
          <cell r="E464" t="str">
            <v/>
          </cell>
        </row>
        <row r="465">
          <cell r="C465" t="str">
            <v/>
          </cell>
          <cell r="D465" t="str">
            <v/>
          </cell>
          <cell r="E465" t="str">
            <v/>
          </cell>
        </row>
        <row r="466">
          <cell r="C466" t="str">
            <v/>
          </cell>
          <cell r="D466" t="str">
            <v/>
          </cell>
          <cell r="E466" t="str">
            <v/>
          </cell>
        </row>
        <row r="467">
          <cell r="C467" t="str">
            <v/>
          </cell>
          <cell r="D467" t="str">
            <v/>
          </cell>
          <cell r="E467" t="str">
            <v/>
          </cell>
        </row>
        <row r="468">
          <cell r="C468" t="str">
            <v/>
          </cell>
          <cell r="D468" t="str">
            <v/>
          </cell>
          <cell r="E468" t="str">
            <v/>
          </cell>
        </row>
        <row r="469">
          <cell r="C469" t="str">
            <v/>
          </cell>
          <cell r="D469" t="str">
            <v/>
          </cell>
          <cell r="E469" t="str">
            <v/>
          </cell>
        </row>
        <row r="470">
          <cell r="C470" t="str">
            <v/>
          </cell>
          <cell r="D470" t="str">
            <v/>
          </cell>
          <cell r="E470" t="str">
            <v/>
          </cell>
        </row>
        <row r="471">
          <cell r="C471" t="str">
            <v/>
          </cell>
          <cell r="D471" t="str">
            <v/>
          </cell>
          <cell r="E471" t="str">
            <v/>
          </cell>
        </row>
        <row r="472">
          <cell r="C472" t="str">
            <v/>
          </cell>
          <cell r="D472" t="str">
            <v/>
          </cell>
          <cell r="E472" t="str">
            <v/>
          </cell>
        </row>
        <row r="473">
          <cell r="C473" t="str">
            <v/>
          </cell>
          <cell r="D473" t="str">
            <v/>
          </cell>
          <cell r="E473" t="str">
            <v/>
          </cell>
        </row>
        <row r="474">
          <cell r="C474" t="str">
            <v/>
          </cell>
          <cell r="D474" t="str">
            <v/>
          </cell>
          <cell r="E474" t="str">
            <v/>
          </cell>
        </row>
        <row r="475">
          <cell r="C475" t="str">
            <v/>
          </cell>
          <cell r="D475" t="str">
            <v/>
          </cell>
          <cell r="E475" t="str">
            <v/>
          </cell>
        </row>
        <row r="476">
          <cell r="C476" t="str">
            <v/>
          </cell>
          <cell r="D476" t="str">
            <v/>
          </cell>
          <cell r="E476" t="str">
            <v/>
          </cell>
        </row>
        <row r="477">
          <cell r="C477" t="str">
            <v/>
          </cell>
          <cell r="D477" t="str">
            <v/>
          </cell>
          <cell r="E477" t="str">
            <v/>
          </cell>
        </row>
        <row r="478">
          <cell r="C478" t="str">
            <v/>
          </cell>
          <cell r="D478" t="str">
            <v/>
          </cell>
          <cell r="E478" t="str">
            <v/>
          </cell>
        </row>
        <row r="479">
          <cell r="C479" t="str">
            <v/>
          </cell>
          <cell r="D479" t="str">
            <v/>
          </cell>
          <cell r="E479" t="str">
            <v/>
          </cell>
        </row>
        <row r="480">
          <cell r="C480" t="str">
            <v/>
          </cell>
          <cell r="D480" t="str">
            <v/>
          </cell>
          <cell r="E480" t="str">
            <v/>
          </cell>
        </row>
        <row r="481">
          <cell r="C481" t="str">
            <v/>
          </cell>
          <cell r="D481" t="str">
            <v/>
          </cell>
          <cell r="E481" t="str">
            <v/>
          </cell>
        </row>
        <row r="482">
          <cell r="C482" t="str">
            <v/>
          </cell>
          <cell r="D482" t="str">
            <v/>
          </cell>
          <cell r="E482" t="str">
            <v/>
          </cell>
        </row>
        <row r="483">
          <cell r="C483" t="str">
            <v/>
          </cell>
          <cell r="D483" t="str">
            <v/>
          </cell>
          <cell r="E483" t="str">
            <v/>
          </cell>
        </row>
        <row r="484">
          <cell r="C484" t="str">
            <v/>
          </cell>
          <cell r="D484" t="str">
            <v/>
          </cell>
          <cell r="E484" t="str">
            <v/>
          </cell>
        </row>
        <row r="485">
          <cell r="C485" t="str">
            <v/>
          </cell>
          <cell r="D485" t="str">
            <v/>
          </cell>
          <cell r="E485" t="str">
            <v/>
          </cell>
        </row>
        <row r="486">
          <cell r="C486" t="str">
            <v/>
          </cell>
          <cell r="D486" t="str">
            <v/>
          </cell>
          <cell r="E486" t="str">
            <v/>
          </cell>
        </row>
        <row r="487">
          <cell r="C487" t="str">
            <v/>
          </cell>
          <cell r="D487" t="str">
            <v/>
          </cell>
          <cell r="E487" t="str">
            <v/>
          </cell>
        </row>
        <row r="488">
          <cell r="C488" t="str">
            <v/>
          </cell>
          <cell r="D488" t="str">
            <v/>
          </cell>
          <cell r="E488" t="str">
            <v/>
          </cell>
        </row>
        <row r="489">
          <cell r="C489" t="str">
            <v/>
          </cell>
          <cell r="D489" t="str">
            <v/>
          </cell>
          <cell r="E489" t="str">
            <v/>
          </cell>
        </row>
        <row r="490">
          <cell r="C490" t="str">
            <v/>
          </cell>
          <cell r="D490" t="str">
            <v/>
          </cell>
          <cell r="E490" t="str">
            <v/>
          </cell>
        </row>
        <row r="491">
          <cell r="C491" t="str">
            <v/>
          </cell>
          <cell r="D491" t="str">
            <v/>
          </cell>
          <cell r="E491" t="str">
            <v/>
          </cell>
        </row>
        <row r="492">
          <cell r="C492" t="str">
            <v/>
          </cell>
          <cell r="D492" t="str">
            <v/>
          </cell>
          <cell r="E492" t="str">
            <v/>
          </cell>
        </row>
        <row r="493">
          <cell r="C493" t="str">
            <v/>
          </cell>
          <cell r="D493" t="str">
            <v/>
          </cell>
          <cell r="E493" t="str">
            <v/>
          </cell>
        </row>
        <row r="494">
          <cell r="C494" t="str">
            <v/>
          </cell>
          <cell r="D494" t="str">
            <v/>
          </cell>
          <cell r="E494" t="str">
            <v/>
          </cell>
        </row>
        <row r="495">
          <cell r="C495" t="str">
            <v/>
          </cell>
          <cell r="D495" t="str">
            <v/>
          </cell>
          <cell r="E495" t="str">
            <v/>
          </cell>
        </row>
        <row r="496">
          <cell r="C496" t="str">
            <v/>
          </cell>
          <cell r="D496" t="str">
            <v/>
          </cell>
          <cell r="E496" t="str">
            <v/>
          </cell>
        </row>
        <row r="497">
          <cell r="C497" t="str">
            <v/>
          </cell>
          <cell r="D497" t="str">
            <v/>
          </cell>
          <cell r="E497" t="str">
            <v/>
          </cell>
        </row>
        <row r="498">
          <cell r="C498" t="str">
            <v/>
          </cell>
          <cell r="D498" t="str">
            <v/>
          </cell>
          <cell r="E498" t="str">
            <v/>
          </cell>
        </row>
        <row r="499">
          <cell r="C499" t="str">
            <v/>
          </cell>
          <cell r="D499" t="str">
            <v/>
          </cell>
          <cell r="E499" t="str">
            <v/>
          </cell>
        </row>
        <row r="500">
          <cell r="C500" t="str">
            <v/>
          </cell>
          <cell r="D500" t="str">
            <v/>
          </cell>
          <cell r="E500" t="str">
            <v/>
          </cell>
        </row>
      </sheetData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22"/>
  <sheetViews>
    <sheetView showGridLines="0" showRowColHeaders="0" tabSelected="1" showOutlineSymbols="0" zoomScaleNormal="100" workbookViewId="0">
      <selection activeCell="D2" sqref="D2"/>
    </sheetView>
  </sheetViews>
  <sheetFormatPr baseColWidth="10" defaultColWidth="11.42578125" defaultRowHeight="12.75"/>
  <cols>
    <col min="1" max="1" width="0.140625" style="136" customWidth="1"/>
    <col min="2" max="2" width="2.7109375" style="136" customWidth="1"/>
    <col min="3" max="3" width="16.42578125" style="136" customWidth="1"/>
    <col min="4" max="4" width="4.7109375" style="136" customWidth="1"/>
    <col min="5" max="5" width="95.7109375" style="136" customWidth="1"/>
    <col min="6" max="16384" width="11.42578125" style="136"/>
  </cols>
  <sheetData>
    <row r="1" spans="2:15" ht="0.75" customHeight="1"/>
    <row r="2" spans="2:15" ht="21" customHeight="1">
      <c r="B2" s="136" t="s">
        <v>65</v>
      </c>
      <c r="C2" s="137"/>
      <c r="D2" s="137"/>
      <c r="E2" s="103" t="s">
        <v>1</v>
      </c>
    </row>
    <row r="3" spans="2:15" ht="15" customHeight="1">
      <c r="C3" s="137"/>
      <c r="D3" s="137"/>
      <c r="E3" s="104" t="str">
        <f>Dat_01!A2</f>
        <v>Noviembre 2020</v>
      </c>
    </row>
    <row r="4" spans="2:15" s="139" customFormat="1" ht="20.25" customHeight="1">
      <c r="B4" s="138"/>
      <c r="C4" s="102" t="s">
        <v>67</v>
      </c>
    </row>
    <row r="5" spans="2:15" s="139" customFormat="1" ht="8.25" customHeight="1">
      <c r="B5" s="138"/>
      <c r="C5" s="140"/>
    </row>
    <row r="6" spans="2:15" s="139" customFormat="1" ht="3" customHeight="1">
      <c r="B6" s="138"/>
      <c r="C6" s="140"/>
    </row>
    <row r="7" spans="2:15" s="139" customFormat="1" ht="7.5" customHeight="1">
      <c r="B7" s="138"/>
      <c r="C7" s="141"/>
      <c r="D7" s="142"/>
      <c r="E7" s="142"/>
    </row>
    <row r="8" spans="2:15" ht="12.6" customHeight="1">
      <c r="D8" s="143" t="s">
        <v>66</v>
      </c>
      <c r="E8" s="144" t="s">
        <v>78</v>
      </c>
    </row>
    <row r="9" spans="2:15" s="139" customFormat="1" ht="12.6" customHeight="1">
      <c r="B9" s="138"/>
      <c r="C9" s="145"/>
      <c r="D9" s="143" t="s">
        <v>66</v>
      </c>
      <c r="E9" s="144" t="str">
        <f>'P2'!C7</f>
        <v>Estructura de potencia instalada peninsular</v>
      </c>
      <c r="F9" s="146"/>
      <c r="G9" s="146"/>
      <c r="H9" s="146"/>
      <c r="I9" s="146"/>
      <c r="J9" s="146"/>
      <c r="K9" s="146"/>
      <c r="L9" s="146"/>
      <c r="M9" s="146"/>
      <c r="N9" s="146"/>
      <c r="O9" s="146"/>
    </row>
    <row r="10" spans="2:15" s="139" customFormat="1" ht="12.6" customHeight="1">
      <c r="B10" s="138"/>
      <c r="C10" s="145"/>
      <c r="D10" s="143" t="s">
        <v>66</v>
      </c>
      <c r="E10" s="144" t="str">
        <f>'P2'!C23</f>
        <v>Estructura de generación mensual peninsular</v>
      </c>
      <c r="F10" s="136"/>
      <c r="G10" s="146"/>
      <c r="H10" s="146"/>
      <c r="I10" s="146"/>
      <c r="J10" s="146"/>
      <c r="K10" s="146"/>
      <c r="L10" s="146"/>
      <c r="M10" s="146"/>
      <c r="N10" s="146"/>
      <c r="O10" s="146"/>
    </row>
    <row r="11" spans="2:15" ht="12.6" customHeight="1">
      <c r="D11" s="143" t="s">
        <v>66</v>
      </c>
      <c r="E11" s="144" t="str">
        <f>'P3'!C7</f>
        <v xml:space="preserve">Estructura de generación diaria del día de máxima generación de energía renovable peninsular
</v>
      </c>
      <c r="F11" s="146"/>
    </row>
    <row r="12" spans="2:15" ht="12.6" customHeight="1">
      <c r="D12" s="143" t="s">
        <v>66</v>
      </c>
      <c r="E12" s="144" t="str">
        <f>'P4'!C7</f>
        <v>Evolución del peso de la generación renovable y no renovable peninsular</v>
      </c>
    </row>
    <row r="13" spans="2:15" ht="12.6" customHeight="1">
      <c r="D13" s="143" t="s">
        <v>66</v>
      </c>
      <c r="E13" s="144" t="str">
        <f>'P5'!C7</f>
        <v>Evolución de las emisiones de CO2 equivalente y peso de la generación libre de CO2 peninsular</v>
      </c>
      <c r="F13" s="146"/>
    </row>
    <row r="14" spans="2:15" ht="12.6" customHeight="1">
      <c r="D14" s="143" t="s">
        <v>66</v>
      </c>
      <c r="E14" s="144" t="str">
        <f>'P6'!C7</f>
        <v xml:space="preserve">Evolución de la generación renovable peninsular </v>
      </c>
      <c r="F14" s="146"/>
    </row>
    <row r="15" spans="2:15" ht="12.6" customHeight="1">
      <c r="D15" s="143" t="s">
        <v>66</v>
      </c>
      <c r="E15" s="144" t="str">
        <f>'P7'!C7</f>
        <v xml:space="preserve">Evolución de la generación no renovable peninsular </v>
      </c>
      <c r="F15" s="146"/>
    </row>
    <row r="16" spans="2:15" ht="12.6" customHeight="1">
      <c r="D16" s="143" t="s">
        <v>66</v>
      </c>
      <c r="E16" s="144" t="str">
        <f>'P8'!C7</f>
        <v>Generación eólica diaria peninsular</v>
      </c>
      <c r="F16" s="146"/>
    </row>
    <row r="17" spans="2:6" ht="12.6" customHeight="1">
      <c r="D17" s="143" t="s">
        <v>66</v>
      </c>
      <c r="E17" s="144" t="str">
        <f>'P9'!C7</f>
        <v>Máximos de generación de energía eólica peninsular</v>
      </c>
      <c r="F17" s="146"/>
    </row>
    <row r="18" spans="2:6" ht="12.6" customHeight="1">
      <c r="D18" s="143" t="s">
        <v>66</v>
      </c>
      <c r="E18" s="144" t="str">
        <f>'P10'!C7</f>
        <v>Energía producible eólica comparada con el producible eólico medio histórico</v>
      </c>
      <c r="F18" s="146"/>
    </row>
    <row r="19" spans="2:6" ht="12.6" customHeight="1">
      <c r="D19" s="143" t="s">
        <v>66</v>
      </c>
      <c r="E19" s="144" t="str">
        <f>'P11'!B7</f>
        <v>Energía producible hidráulica diaria comparada con el producible medio histórico</v>
      </c>
      <c r="F19" s="146"/>
    </row>
    <row r="20" spans="2:6" ht="12.6" customHeight="1">
      <c r="D20" s="143" t="s">
        <v>66</v>
      </c>
      <c r="E20" s="144" t="str">
        <f>'P12'!B7</f>
        <v>Reservas hidroeléctricas</v>
      </c>
      <c r="F20" s="146"/>
    </row>
    <row r="21" spans="2:6" ht="12.6" customHeight="1">
      <c r="D21" s="143" t="s">
        <v>66</v>
      </c>
      <c r="E21" s="144" t="str">
        <f>'P13'!C7</f>
        <v>Reservas hidroeléctricas a finales de mes por cuencas hidrográficas</v>
      </c>
      <c r="F21" s="146"/>
    </row>
    <row r="22" spans="2:6" s="139" customFormat="1" ht="7.5" customHeight="1">
      <c r="B22" s="138"/>
      <c r="C22" s="141"/>
      <c r="D22" s="142"/>
      <c r="E22" s="142"/>
    </row>
  </sheetData>
  <hyperlinks>
    <hyperlink ref="E10" location="'P2'!A1" display="'P2'!A1" xr:uid="{00000000-0004-0000-0000-000000000000}"/>
    <hyperlink ref="E12" location="'P4'!A1" display="'P4'!A1" xr:uid="{00000000-0004-0000-0000-000001000000}"/>
    <hyperlink ref="E11" location="'P3'!A1" display="'P3'!A1" xr:uid="{00000000-0004-0000-0000-000002000000}"/>
    <hyperlink ref="E9" location="'P2'!A1" display="'P2'!A1" xr:uid="{00000000-0004-0000-0000-000003000000}"/>
    <hyperlink ref="E8" location="'P1'!A1" display="'P1'!A1" xr:uid="{00000000-0004-0000-0000-000004000000}"/>
    <hyperlink ref="E13" location="'P5'!A1" display="'P5'!A1" xr:uid="{00000000-0004-0000-0000-000005000000}"/>
    <hyperlink ref="E14" location="'P6 '!A1" display="'P6 '!A1" xr:uid="{00000000-0004-0000-0000-000006000000}"/>
    <hyperlink ref="E15" location="'P7'!A1" display="'P7'!A1" xr:uid="{00000000-0004-0000-0000-000007000000}"/>
    <hyperlink ref="E16" location="'P8'!A1" display="'P8'!A1" xr:uid="{00000000-0004-0000-0000-000008000000}"/>
    <hyperlink ref="E17" location="'P9'!A1" display="'P9'!A1" xr:uid="{00000000-0004-0000-0000-000009000000}"/>
    <hyperlink ref="E18" location="'P10'!A1" display="'P10'!A1" xr:uid="{00000000-0004-0000-0000-00000A000000}"/>
    <hyperlink ref="E19" location="'P11'!A1" display="'P11'!A1" xr:uid="{00000000-0004-0000-0000-00000B000000}"/>
    <hyperlink ref="E20" location="'P12'!A1" display="'P12'!A1" xr:uid="{00000000-0004-0000-0000-00000C000000}"/>
    <hyperlink ref="E21" location="'P13'!A1" display="'P13'!A1" xr:uid="{00000000-0004-0000-0000-00000D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9"/>
  <dimension ref="C1:AA39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10" max="10" width="17" customWidth="1"/>
  </cols>
  <sheetData>
    <row r="1" spans="3:27" ht="0.6" customHeight="1"/>
    <row r="2" spans="3:27" ht="21" customHeight="1">
      <c r="E2" s="103" t="s">
        <v>1</v>
      </c>
    </row>
    <row r="3" spans="3:27" ht="15" customHeight="1">
      <c r="E3" s="112" t="str">
        <f>Indice!E3</f>
        <v>Noviembre 2020</v>
      </c>
    </row>
    <row r="4" spans="3:27" ht="19.899999999999999" customHeight="1">
      <c r="C4" s="102" t="s">
        <v>67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329" t="s">
        <v>24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329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19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3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/>
  <dimension ref="C1:AF40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24" bestFit="1" customWidth="1"/>
    <col min="6" max="6" width="6.5703125" bestFit="1" customWidth="1"/>
    <col min="7" max="7" width="24.7109375" customWidth="1"/>
    <col min="8" max="8" width="6.5703125" customWidth="1"/>
    <col min="9" max="9" width="24.7109375" customWidth="1"/>
  </cols>
  <sheetData>
    <row r="1" spans="3:32" ht="0.6" customHeight="1"/>
    <row r="2" spans="3:32" ht="21" customHeight="1">
      <c r="I2" s="103" t="s">
        <v>1</v>
      </c>
    </row>
    <row r="3" spans="3:32" ht="15" customHeight="1">
      <c r="I3" s="112" t="str">
        <f>Indice!E3</f>
        <v>Noviembre 2020</v>
      </c>
    </row>
    <row r="4" spans="3:32" ht="19.899999999999999" customHeight="1">
      <c r="C4" s="102" t="s">
        <v>67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329" t="s">
        <v>25</v>
      </c>
      <c r="E7" s="114"/>
      <c r="F7" s="330" t="str">
        <f>Dat_01!A2</f>
        <v>Noviembre 2020</v>
      </c>
      <c r="G7" s="331"/>
      <c r="H7" s="332" t="s">
        <v>27</v>
      </c>
      <c r="I7" s="33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329"/>
      <c r="E8" s="115" t="s">
        <v>28</v>
      </c>
      <c r="F8" s="297">
        <v>15753</v>
      </c>
      <c r="G8" s="298" t="s">
        <v>637</v>
      </c>
      <c r="H8" s="116">
        <v>18879</v>
      </c>
      <c r="I8" s="117" t="s">
        <v>605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19"/>
      <c r="E9" s="118" t="s">
        <v>29</v>
      </c>
      <c r="F9" s="292">
        <v>62.07</v>
      </c>
      <c r="G9" s="293" t="s">
        <v>638</v>
      </c>
      <c r="H9" s="287">
        <v>75.900000000000006</v>
      </c>
      <c r="I9" s="288" t="s">
        <v>603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H10" s="289"/>
      <c r="I10" s="291"/>
      <c r="J10" s="290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H11" s="294"/>
      <c r="I11" s="291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9C087-9B57-48AF-83AC-249D2D6F8ACD}">
  <sheetPr codeName="Hoja24"/>
  <dimension ref="C1:AH30"/>
  <sheetViews>
    <sheetView showGridLines="0" showRowColHeaders="0" topLeftCell="A2" zoomScale="80" zoomScaleNormal="8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34" ht="0.6" customHeight="1"/>
    <row r="2" spans="3:34" ht="21" customHeight="1">
      <c r="E2" s="103" t="s">
        <v>1</v>
      </c>
    </row>
    <row r="3" spans="3:34" ht="15" customHeight="1">
      <c r="E3" s="112" t="str">
        <f>Indice!E3</f>
        <v>Noviembre 2020</v>
      </c>
    </row>
    <row r="4" spans="3:34" ht="19.899999999999999" customHeight="1">
      <c r="C4" s="102" t="s">
        <v>67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329" t="s">
        <v>613</v>
      </c>
      <c r="E7" s="4"/>
    </row>
    <row r="8" spans="3:34">
      <c r="C8" s="329"/>
      <c r="E8" s="4"/>
    </row>
    <row r="9" spans="3:34">
      <c r="C9" s="329"/>
      <c r="E9" s="4"/>
    </row>
    <row r="10" spans="3:34">
      <c r="C10" s="329"/>
      <c r="E10" s="4"/>
    </row>
    <row r="11" spans="3:34">
      <c r="E11" s="4"/>
    </row>
    <row r="12" spans="3:34">
      <c r="C12" s="119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19"/>
    </row>
    <row r="25" spans="3:32">
      <c r="C25" s="119"/>
      <c r="E25" s="113"/>
    </row>
    <row r="26" spans="3:32">
      <c r="C26" s="119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19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19"/>
    </row>
    <row r="29" spans="3:32">
      <c r="C29" s="119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10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0"/>
  <dimension ref="A1:AA427"/>
  <sheetViews>
    <sheetView showGridLines="0" showRowColHeaders="0" topLeftCell="A2" zoomScaleNormal="100" workbookViewId="0">
      <selection activeCell="A2" sqref="A2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1.42578125" style="50"/>
    <col min="6" max="6" width="13.28515625" style="50" customWidth="1"/>
    <col min="7" max="7" width="13.42578125" style="50" bestFit="1" customWidth="1"/>
    <col min="8" max="8" width="11.42578125" style="50"/>
    <col min="9" max="9" width="14.85546875" style="50" customWidth="1"/>
    <col min="10" max="20" width="13.7109375" style="50" customWidth="1"/>
    <col min="21" max="260" width="11.42578125" style="50"/>
    <col min="261" max="261" width="4.42578125" style="50" customWidth="1"/>
    <col min="262" max="262" width="13.285156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285156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285156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285156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285156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285156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285156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285156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285156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285156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285156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285156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285156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285156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285156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285156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285156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285156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285156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285156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285156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285156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285156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285156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285156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285156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285156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285156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285156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285156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285156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285156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285156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285156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285156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285156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285156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285156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285156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285156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285156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285156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285156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285156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285156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285156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285156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285156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285156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285156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285156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285156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285156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285156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285156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285156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285156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285156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285156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285156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285156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285156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285156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 hidden="1">
      <c r="F1" s="51"/>
    </row>
    <row r="2" spans="2:22" ht="21" customHeight="1">
      <c r="D2" s="103" t="s">
        <v>1</v>
      </c>
    </row>
    <row r="3" spans="2:22" ht="15" customHeight="1">
      <c r="D3" s="112" t="str">
        <f>Indice!E3</f>
        <v>Noviembre 2020</v>
      </c>
    </row>
    <row r="4" spans="2:22" ht="20.100000000000001" customHeight="1">
      <c r="B4" s="102" t="s">
        <v>568</v>
      </c>
      <c r="V4" s="54"/>
    </row>
    <row r="5" spans="2:22">
      <c r="V5" s="54"/>
    </row>
    <row r="6" spans="2:22">
      <c r="V6" s="54"/>
    </row>
    <row r="7" spans="2:22">
      <c r="B7" s="329" t="s">
        <v>26</v>
      </c>
      <c r="V7" s="54"/>
    </row>
    <row r="8" spans="2:22">
      <c r="B8" s="329"/>
      <c r="V8" s="54"/>
    </row>
    <row r="9" spans="2:22">
      <c r="B9" s="329"/>
      <c r="V9" s="54"/>
    </row>
    <row r="10" spans="2:22">
      <c r="B10" s="274"/>
      <c r="D10" s="4"/>
      <c r="V10" s="54"/>
    </row>
    <row r="11" spans="2:22">
      <c r="D11" s="4"/>
      <c r="V11" s="54"/>
    </row>
    <row r="12" spans="2:22">
      <c r="D12" s="4"/>
      <c r="V12" s="54"/>
    </row>
    <row r="13" spans="2:22">
      <c r="D13" s="4"/>
      <c r="V13" s="54"/>
    </row>
    <row r="14" spans="2:22">
      <c r="D14" s="4"/>
      <c r="V14" s="54"/>
    </row>
    <row r="15" spans="2:22">
      <c r="D15" s="4"/>
      <c r="V15" s="54"/>
    </row>
    <row r="16" spans="2:22">
      <c r="D16" s="4"/>
      <c r="V16" s="54"/>
    </row>
    <row r="17" spans="1:27">
      <c r="D17" s="4"/>
      <c r="V17" s="54"/>
    </row>
    <row r="18" spans="1:27">
      <c r="D18" s="4"/>
      <c r="V18" s="54"/>
    </row>
    <row r="19" spans="1:27">
      <c r="D19" s="4"/>
      <c r="V19" s="54"/>
    </row>
    <row r="20" spans="1:27" s="55" customFormat="1">
      <c r="A20"/>
      <c r="B20"/>
      <c r="C20"/>
      <c r="D20" s="4"/>
      <c r="J20" s="50"/>
      <c r="K20" s="50"/>
      <c r="L20" s="50"/>
      <c r="M20" s="50"/>
      <c r="N20" s="50"/>
      <c r="O20" s="50"/>
      <c r="P20" s="50"/>
      <c r="V20" s="54"/>
    </row>
    <row r="21" spans="1:27" s="55" customFormat="1">
      <c r="A21"/>
      <c r="B21"/>
      <c r="C21"/>
      <c r="D21" s="4"/>
      <c r="J21" s="50"/>
      <c r="K21" s="50"/>
      <c r="L21" s="50"/>
      <c r="M21" s="50"/>
      <c r="N21" s="50"/>
      <c r="O21" s="50"/>
      <c r="P21" s="50"/>
      <c r="V21" s="54"/>
    </row>
    <row r="22" spans="1:27">
      <c r="D22" s="41"/>
      <c r="V22" s="54"/>
    </row>
    <row r="23" spans="1:27">
      <c r="V23" s="54"/>
    </row>
    <row r="24" spans="1:27">
      <c r="V24" s="54"/>
    </row>
    <row r="25" spans="1:27">
      <c r="V25" s="54"/>
    </row>
    <row r="26" spans="1:27">
      <c r="V26" s="54"/>
    </row>
    <row r="27" spans="1:27">
      <c r="V27" s="54"/>
    </row>
    <row r="28" spans="1:27">
      <c r="V28" s="54"/>
    </row>
    <row r="29" spans="1:27">
      <c r="V29" s="54"/>
    </row>
    <row r="30" spans="1:27">
      <c r="V30" s="54"/>
    </row>
    <row r="31" spans="1:27">
      <c r="V31" s="54"/>
      <c r="Y31" s="56"/>
      <c r="Z31" s="56"/>
      <c r="AA31" s="57"/>
    </row>
    <row r="32" spans="1:27">
      <c r="V32" s="54"/>
      <c r="Y32" s="56"/>
      <c r="Z32" s="56"/>
      <c r="AA32" s="57"/>
    </row>
    <row r="33" spans="22:27">
      <c r="V33" s="54"/>
      <c r="Y33" s="56"/>
      <c r="Z33" s="56"/>
      <c r="AA33" s="57"/>
    </row>
    <row r="34" spans="22:27">
      <c r="V34" s="54"/>
      <c r="Y34" s="56"/>
      <c r="Z34" s="56"/>
      <c r="AA34" s="57"/>
    </row>
    <row r="35" spans="22:27">
      <c r="V35" s="54"/>
      <c r="Y35" s="56"/>
      <c r="Z35" s="56"/>
      <c r="AA35" s="57"/>
    </row>
    <row r="36" spans="22:27">
      <c r="V36" s="54"/>
      <c r="Y36" s="56"/>
      <c r="Z36" s="56"/>
      <c r="AA36" s="57"/>
    </row>
    <row r="37" spans="22:27">
      <c r="V37" s="54"/>
      <c r="Y37" s="56"/>
      <c r="Z37" s="56"/>
      <c r="AA37" s="57"/>
    </row>
    <row r="38" spans="22:27">
      <c r="V38" s="54"/>
      <c r="Y38" s="56"/>
      <c r="Z38" s="56"/>
      <c r="AA38" s="57"/>
    </row>
    <row r="39" spans="22:27">
      <c r="V39" s="54"/>
      <c r="Y39" s="56"/>
      <c r="Z39" s="56"/>
      <c r="AA39" s="57"/>
    </row>
    <row r="40" spans="22:27">
      <c r="V40" s="54"/>
      <c r="Y40" s="56"/>
      <c r="Z40" s="56"/>
      <c r="AA40" s="57"/>
    </row>
    <row r="41" spans="22:27">
      <c r="V41" s="54"/>
      <c r="Y41" s="56"/>
      <c r="Z41" s="56"/>
      <c r="AA41" s="57"/>
    </row>
    <row r="42" spans="22:27">
      <c r="V42" s="54"/>
      <c r="Y42" s="56"/>
      <c r="Z42" s="56"/>
      <c r="AA42" s="57"/>
    </row>
    <row r="43" spans="22:27">
      <c r="V43" s="54"/>
      <c r="Y43" s="56"/>
      <c r="Z43" s="56"/>
      <c r="AA43" s="57"/>
    </row>
    <row r="44" spans="22:27">
      <c r="V44" s="54"/>
      <c r="Y44" s="56"/>
      <c r="Z44" s="56"/>
      <c r="AA44" s="57"/>
    </row>
    <row r="45" spans="22:27">
      <c r="V45" s="54"/>
      <c r="Y45" s="56"/>
      <c r="Z45" s="56"/>
      <c r="AA45" s="57"/>
    </row>
    <row r="46" spans="22:27">
      <c r="V46" s="54"/>
      <c r="Y46" s="56"/>
      <c r="Z46" s="56"/>
      <c r="AA46" s="57"/>
    </row>
    <row r="47" spans="22:27">
      <c r="V47" s="54"/>
      <c r="Y47" s="56"/>
      <c r="Z47" s="56"/>
      <c r="AA47" s="57"/>
    </row>
    <row r="48" spans="22:27">
      <c r="V48" s="54"/>
      <c r="Y48" s="56"/>
      <c r="Z48" s="56"/>
      <c r="AA48" s="57"/>
    </row>
    <row r="49" spans="22:27">
      <c r="V49" s="54"/>
      <c r="Y49" s="56"/>
      <c r="Z49" s="56"/>
      <c r="AA49" s="57"/>
    </row>
    <row r="50" spans="22:27">
      <c r="V50" s="54"/>
      <c r="Y50" s="56"/>
      <c r="Z50" s="56"/>
      <c r="AA50" s="57"/>
    </row>
    <row r="51" spans="22:27">
      <c r="V51" s="54"/>
      <c r="Y51" s="56"/>
      <c r="Z51" s="56"/>
      <c r="AA51" s="57"/>
    </row>
    <row r="52" spans="22:27">
      <c r="V52" s="54"/>
      <c r="Y52" s="56"/>
      <c r="Z52" s="56"/>
      <c r="AA52" s="57"/>
    </row>
    <row r="53" spans="22:27">
      <c r="V53" s="54"/>
      <c r="Y53" s="56"/>
      <c r="Z53" s="56"/>
      <c r="AA53" s="57"/>
    </row>
    <row r="54" spans="22:27">
      <c r="V54" s="54"/>
      <c r="Y54" s="56"/>
      <c r="Z54" s="56"/>
      <c r="AA54" s="57"/>
    </row>
    <row r="55" spans="22:27">
      <c r="V55" s="54"/>
      <c r="Y55" s="56"/>
      <c r="Z55" s="56"/>
      <c r="AA55" s="57"/>
    </row>
    <row r="56" spans="22:27">
      <c r="V56" s="54"/>
      <c r="Y56" s="56"/>
      <c r="Z56" s="56"/>
      <c r="AA56" s="57"/>
    </row>
    <row r="57" spans="22:27">
      <c r="V57" s="54"/>
      <c r="Y57" s="56"/>
      <c r="Z57" s="56"/>
      <c r="AA57" s="57"/>
    </row>
    <row r="58" spans="22:27">
      <c r="V58" s="54"/>
      <c r="Y58" s="56"/>
      <c r="Z58" s="56"/>
      <c r="AA58" s="57"/>
    </row>
    <row r="59" spans="22:27">
      <c r="V59" s="54"/>
      <c r="Y59" s="56"/>
      <c r="Z59" s="56"/>
      <c r="AA59" s="57"/>
    </row>
    <row r="60" spans="22:27">
      <c r="V60" s="54"/>
      <c r="Y60" s="56"/>
      <c r="Z60" s="56"/>
      <c r="AA60" s="57"/>
    </row>
    <row r="61" spans="22:27">
      <c r="V61" s="54"/>
      <c r="Y61" s="56"/>
      <c r="Z61" s="56"/>
      <c r="AA61" s="57"/>
    </row>
    <row r="62" spans="22:27">
      <c r="V62" s="54"/>
      <c r="Y62" s="56"/>
      <c r="Z62" s="56"/>
      <c r="AA62" s="57"/>
    </row>
    <row r="63" spans="22:27">
      <c r="V63" s="54"/>
      <c r="Y63" s="56"/>
      <c r="Z63" s="56"/>
      <c r="AA63" s="57"/>
    </row>
    <row r="64" spans="22:27">
      <c r="V64" s="54"/>
      <c r="Y64" s="56"/>
      <c r="Z64" s="56"/>
      <c r="AA64" s="57"/>
    </row>
    <row r="65" spans="22:27">
      <c r="V65" s="54"/>
      <c r="Y65" s="56"/>
      <c r="Z65" s="56"/>
      <c r="AA65" s="57"/>
    </row>
    <row r="66" spans="22:27">
      <c r="V66" s="54"/>
      <c r="Y66" s="56"/>
      <c r="Z66" s="56"/>
      <c r="AA66" s="57"/>
    </row>
    <row r="67" spans="22:27">
      <c r="V67" s="54"/>
      <c r="Y67" s="56"/>
      <c r="Z67" s="56"/>
      <c r="AA67" s="57"/>
    </row>
    <row r="68" spans="22:27">
      <c r="V68" s="54"/>
      <c r="Y68" s="56"/>
      <c r="Z68" s="56"/>
      <c r="AA68" s="57"/>
    </row>
    <row r="69" spans="22:27">
      <c r="V69" s="54"/>
      <c r="Y69" s="56"/>
      <c r="Z69" s="56"/>
      <c r="AA69" s="57"/>
    </row>
    <row r="70" spans="22:27">
      <c r="V70" s="54"/>
      <c r="Y70" s="56"/>
      <c r="Z70" s="56"/>
      <c r="AA70" s="57"/>
    </row>
    <row r="71" spans="22:27">
      <c r="V71" s="54"/>
      <c r="Y71" s="56"/>
      <c r="Z71" s="56"/>
      <c r="AA71" s="57"/>
    </row>
    <row r="72" spans="22:27">
      <c r="V72" s="54"/>
      <c r="Y72" s="56"/>
      <c r="Z72" s="56"/>
      <c r="AA72" s="57"/>
    </row>
    <row r="73" spans="22:27">
      <c r="V73" s="54"/>
      <c r="Y73" s="56"/>
      <c r="Z73" s="56"/>
      <c r="AA73" s="57"/>
    </row>
    <row r="74" spans="22:27">
      <c r="V74" s="54"/>
      <c r="Y74" s="56"/>
      <c r="Z74" s="56"/>
      <c r="AA74" s="57"/>
    </row>
    <row r="75" spans="22:27">
      <c r="V75" s="54"/>
      <c r="Y75" s="56"/>
      <c r="Z75" s="56"/>
      <c r="AA75" s="57"/>
    </row>
    <row r="76" spans="22:27">
      <c r="V76" s="54"/>
      <c r="Y76" s="56"/>
      <c r="Z76" s="56"/>
      <c r="AA76" s="57"/>
    </row>
    <row r="77" spans="22:27">
      <c r="V77" s="54"/>
      <c r="Y77" s="56"/>
      <c r="Z77" s="56"/>
      <c r="AA77" s="57"/>
    </row>
    <row r="78" spans="22:27">
      <c r="V78" s="54"/>
      <c r="Y78" s="56"/>
      <c r="Z78" s="56"/>
      <c r="AA78" s="57"/>
    </row>
    <row r="79" spans="22:27">
      <c r="V79" s="54"/>
      <c r="Y79" s="56"/>
      <c r="Z79" s="56"/>
      <c r="AA79" s="57"/>
    </row>
    <row r="80" spans="22:27">
      <c r="V80" s="54"/>
      <c r="Y80" s="56"/>
      <c r="Z80" s="56"/>
      <c r="AA80" s="57"/>
    </row>
    <row r="81" spans="22:27">
      <c r="V81" s="54"/>
      <c r="Y81" s="56"/>
      <c r="Z81" s="56"/>
      <c r="AA81" s="57"/>
    </row>
    <row r="82" spans="22:27">
      <c r="V82" s="54"/>
      <c r="Y82" s="56"/>
      <c r="Z82" s="56"/>
      <c r="AA82" s="57"/>
    </row>
    <row r="83" spans="22:27">
      <c r="V83" s="54"/>
      <c r="Y83" s="56"/>
      <c r="Z83" s="56"/>
      <c r="AA83" s="57"/>
    </row>
    <row r="84" spans="22:27">
      <c r="V84" s="54"/>
      <c r="Y84" s="56"/>
      <c r="Z84" s="56"/>
      <c r="AA84" s="57"/>
    </row>
    <row r="85" spans="22:27">
      <c r="V85" s="54"/>
      <c r="Y85" s="56"/>
      <c r="Z85" s="56"/>
      <c r="AA85" s="57"/>
    </row>
    <row r="86" spans="22:27">
      <c r="V86" s="54"/>
      <c r="Y86" s="56"/>
      <c r="Z86" s="56"/>
      <c r="AA86" s="57"/>
    </row>
    <row r="87" spans="22:27">
      <c r="V87" s="54"/>
      <c r="Y87" s="56"/>
      <c r="Z87" s="56"/>
      <c r="AA87" s="57"/>
    </row>
    <row r="88" spans="22:27">
      <c r="V88" s="54"/>
      <c r="Y88" s="56"/>
      <c r="Z88" s="56"/>
      <c r="AA88" s="57"/>
    </row>
    <row r="89" spans="22:27">
      <c r="V89" s="54"/>
      <c r="Y89" s="56"/>
      <c r="Z89" s="56"/>
      <c r="AA89" s="57"/>
    </row>
    <row r="90" spans="22:27">
      <c r="V90" s="54"/>
      <c r="Y90" s="56"/>
      <c r="Z90" s="56"/>
      <c r="AA90" s="57"/>
    </row>
    <row r="91" spans="22:27">
      <c r="V91" s="54"/>
      <c r="Y91" s="56"/>
      <c r="Z91" s="56"/>
      <c r="AA91" s="57"/>
    </row>
    <row r="92" spans="22:27">
      <c r="V92" s="54"/>
      <c r="Y92" s="56"/>
      <c r="Z92" s="56"/>
      <c r="AA92" s="57"/>
    </row>
    <row r="93" spans="22:27">
      <c r="V93" s="54"/>
      <c r="Y93" s="56"/>
      <c r="Z93" s="56"/>
      <c r="AA93" s="57"/>
    </row>
    <row r="94" spans="22:27">
      <c r="V94" s="54"/>
      <c r="Y94" s="56"/>
      <c r="Z94" s="56"/>
      <c r="AA94" s="57"/>
    </row>
    <row r="95" spans="22:27">
      <c r="V95" s="54"/>
      <c r="Y95" s="56"/>
      <c r="Z95" s="56"/>
      <c r="AA95" s="57"/>
    </row>
    <row r="96" spans="22:27">
      <c r="V96" s="54"/>
      <c r="Y96" s="56"/>
      <c r="Z96" s="56"/>
      <c r="AA96" s="57"/>
    </row>
    <row r="97" spans="22:27">
      <c r="V97" s="54"/>
      <c r="Y97" s="56"/>
      <c r="Z97" s="56"/>
      <c r="AA97" s="57"/>
    </row>
    <row r="98" spans="22:27">
      <c r="V98" s="54"/>
      <c r="Y98" s="56"/>
      <c r="Z98" s="56"/>
      <c r="AA98" s="57"/>
    </row>
    <row r="99" spans="22:27">
      <c r="V99" s="54"/>
      <c r="Y99" s="56"/>
      <c r="Z99" s="56"/>
      <c r="AA99" s="57"/>
    </row>
    <row r="100" spans="22:27">
      <c r="V100" s="54"/>
      <c r="Y100" s="56"/>
      <c r="Z100" s="56"/>
      <c r="AA100" s="57"/>
    </row>
    <row r="101" spans="22:27">
      <c r="V101" s="54"/>
      <c r="Y101" s="56"/>
      <c r="Z101" s="56"/>
      <c r="AA101" s="57"/>
    </row>
    <row r="102" spans="22:27">
      <c r="V102" s="54"/>
      <c r="Y102" s="56"/>
      <c r="Z102" s="56"/>
      <c r="AA102" s="57"/>
    </row>
    <row r="103" spans="22:27">
      <c r="V103" s="54"/>
      <c r="Y103" s="56"/>
      <c r="Z103" s="56"/>
      <c r="AA103" s="57"/>
    </row>
    <row r="104" spans="22:27">
      <c r="V104" s="54"/>
      <c r="Y104" s="56"/>
      <c r="Z104" s="56"/>
      <c r="AA104" s="57"/>
    </row>
    <row r="105" spans="22:27">
      <c r="V105" s="54"/>
      <c r="Y105" s="56"/>
      <c r="Z105" s="56"/>
      <c r="AA105" s="57"/>
    </row>
    <row r="106" spans="22:27">
      <c r="V106" s="54"/>
      <c r="Y106" s="56"/>
      <c r="Z106" s="56"/>
      <c r="AA106" s="57"/>
    </row>
    <row r="107" spans="22:27">
      <c r="V107" s="54"/>
      <c r="Y107" s="56"/>
      <c r="Z107" s="56"/>
      <c r="AA107" s="57"/>
    </row>
    <row r="108" spans="22:27">
      <c r="V108" s="54"/>
      <c r="Y108" s="56"/>
      <c r="Z108" s="56"/>
      <c r="AA108" s="57"/>
    </row>
    <row r="109" spans="22:27">
      <c r="V109" s="54"/>
      <c r="Y109" s="56"/>
      <c r="Z109" s="56"/>
      <c r="AA109" s="57"/>
    </row>
    <row r="110" spans="22:27">
      <c r="V110" s="54"/>
      <c r="Y110" s="56"/>
      <c r="Z110" s="56"/>
      <c r="AA110" s="57"/>
    </row>
    <row r="111" spans="22:27">
      <c r="V111" s="54"/>
      <c r="Y111" s="56"/>
      <c r="Z111" s="56"/>
      <c r="AA111" s="57"/>
    </row>
    <row r="112" spans="22:27">
      <c r="V112" s="54"/>
      <c r="Y112" s="56"/>
      <c r="Z112" s="56"/>
      <c r="AA112" s="57"/>
    </row>
    <row r="113" spans="22:27">
      <c r="V113" s="54"/>
      <c r="Y113" s="56"/>
      <c r="Z113" s="56"/>
      <c r="AA113" s="57"/>
    </row>
    <row r="114" spans="22:27">
      <c r="V114" s="54"/>
      <c r="Y114" s="56"/>
      <c r="Z114" s="56"/>
      <c r="AA114" s="57"/>
    </row>
    <row r="115" spans="22:27">
      <c r="V115" s="54"/>
      <c r="Y115" s="56"/>
      <c r="Z115" s="56"/>
      <c r="AA115" s="57"/>
    </row>
    <row r="116" spans="22:27">
      <c r="V116" s="54"/>
      <c r="Y116" s="56"/>
      <c r="Z116" s="56"/>
      <c r="AA116" s="57"/>
    </row>
    <row r="117" spans="22:27">
      <c r="V117" s="54"/>
      <c r="Y117" s="56"/>
      <c r="Z117" s="56"/>
      <c r="AA117" s="57"/>
    </row>
    <row r="118" spans="22:27">
      <c r="V118" s="54"/>
      <c r="Y118" s="56"/>
      <c r="Z118" s="56"/>
      <c r="AA118" s="57"/>
    </row>
    <row r="119" spans="22:27">
      <c r="V119" s="54"/>
      <c r="Y119" s="56"/>
      <c r="Z119" s="56"/>
      <c r="AA119" s="57"/>
    </row>
    <row r="120" spans="22:27">
      <c r="V120" s="54"/>
      <c r="Y120" s="56"/>
      <c r="Z120" s="56"/>
      <c r="AA120" s="57"/>
    </row>
    <row r="121" spans="22:27">
      <c r="V121" s="54"/>
      <c r="Y121" s="56"/>
      <c r="Z121" s="56"/>
      <c r="AA121" s="57"/>
    </row>
    <row r="122" spans="22:27">
      <c r="V122" s="54"/>
      <c r="Y122" s="56"/>
      <c r="Z122" s="56"/>
      <c r="AA122" s="57"/>
    </row>
    <row r="123" spans="22:27">
      <c r="V123" s="54"/>
      <c r="Y123" s="56"/>
      <c r="Z123" s="56"/>
      <c r="AA123" s="57"/>
    </row>
    <row r="124" spans="22:27">
      <c r="V124" s="54"/>
      <c r="Y124" s="56"/>
      <c r="Z124" s="56"/>
      <c r="AA124" s="57"/>
    </row>
    <row r="125" spans="22:27">
      <c r="V125" s="54"/>
      <c r="Y125" s="56"/>
      <c r="Z125" s="56"/>
      <c r="AA125" s="57"/>
    </row>
    <row r="126" spans="22:27">
      <c r="V126" s="54"/>
      <c r="Y126" s="56"/>
      <c r="Z126" s="56"/>
      <c r="AA126" s="57"/>
    </row>
    <row r="127" spans="22:27">
      <c r="V127" s="54"/>
      <c r="Y127" s="56"/>
      <c r="Z127" s="56"/>
      <c r="AA127" s="57"/>
    </row>
    <row r="128" spans="22:27">
      <c r="V128" s="54"/>
      <c r="Y128" s="56"/>
      <c r="Z128" s="56"/>
      <c r="AA128" s="57"/>
    </row>
    <row r="129" spans="22:27">
      <c r="V129" s="54"/>
      <c r="Y129" s="56"/>
      <c r="Z129" s="56"/>
      <c r="AA129" s="57"/>
    </row>
    <row r="130" spans="22:27">
      <c r="V130" s="54"/>
      <c r="Y130" s="56"/>
      <c r="Z130" s="56"/>
      <c r="AA130" s="57"/>
    </row>
    <row r="131" spans="22:27">
      <c r="V131" s="54"/>
      <c r="Y131" s="56"/>
      <c r="Z131" s="56"/>
      <c r="AA131" s="57"/>
    </row>
    <row r="132" spans="22:27">
      <c r="V132" s="54"/>
      <c r="Y132" s="56"/>
      <c r="Z132" s="56"/>
      <c r="AA132" s="57"/>
    </row>
    <row r="133" spans="22:27">
      <c r="V133" s="54"/>
      <c r="Y133" s="56"/>
      <c r="Z133" s="56"/>
      <c r="AA133" s="57"/>
    </row>
    <row r="134" spans="22:27">
      <c r="V134" s="54"/>
      <c r="Y134" s="56"/>
      <c r="Z134" s="56"/>
      <c r="AA134" s="57"/>
    </row>
    <row r="135" spans="22:27">
      <c r="V135" s="54"/>
      <c r="Y135" s="56"/>
      <c r="Z135" s="56"/>
      <c r="AA135" s="57"/>
    </row>
    <row r="136" spans="22:27">
      <c r="V136" s="54"/>
      <c r="Y136" s="56"/>
      <c r="Z136" s="56"/>
      <c r="AA136" s="57"/>
    </row>
    <row r="137" spans="22:27">
      <c r="V137" s="54"/>
      <c r="Y137" s="56"/>
      <c r="Z137" s="56"/>
      <c r="AA137" s="57"/>
    </row>
    <row r="138" spans="22:27">
      <c r="V138" s="54"/>
      <c r="Y138" s="56"/>
      <c r="Z138" s="56"/>
      <c r="AA138" s="57"/>
    </row>
    <row r="139" spans="22:27">
      <c r="V139" s="54"/>
      <c r="Y139" s="56"/>
      <c r="Z139" s="56"/>
      <c r="AA139" s="57"/>
    </row>
    <row r="140" spans="22:27">
      <c r="V140" s="54"/>
      <c r="Y140" s="56"/>
      <c r="Z140" s="56"/>
      <c r="AA140" s="57"/>
    </row>
    <row r="141" spans="22:27">
      <c r="V141" s="54"/>
      <c r="Y141" s="56"/>
      <c r="Z141" s="56"/>
      <c r="AA141" s="57"/>
    </row>
    <row r="142" spans="22:27">
      <c r="V142" s="54"/>
      <c r="Y142" s="56"/>
      <c r="Z142" s="56"/>
      <c r="AA142" s="57"/>
    </row>
    <row r="143" spans="22:27">
      <c r="V143" s="54"/>
      <c r="Y143" s="56"/>
      <c r="Z143" s="56"/>
      <c r="AA143" s="57"/>
    </row>
    <row r="144" spans="22:27">
      <c r="V144" s="54"/>
      <c r="Y144" s="56"/>
      <c r="Z144" s="56"/>
      <c r="AA144" s="57"/>
    </row>
    <row r="145" spans="22:27">
      <c r="V145" s="54"/>
      <c r="Y145" s="56"/>
      <c r="Z145" s="56"/>
      <c r="AA145" s="57"/>
    </row>
    <row r="146" spans="22:27">
      <c r="V146" s="54"/>
      <c r="Y146" s="56"/>
      <c r="Z146" s="56"/>
      <c r="AA146" s="57"/>
    </row>
    <row r="147" spans="22:27">
      <c r="V147" s="54"/>
      <c r="Y147" s="56"/>
      <c r="Z147" s="56"/>
      <c r="AA147" s="57"/>
    </row>
    <row r="148" spans="22:27">
      <c r="V148" s="54"/>
      <c r="Y148" s="56"/>
      <c r="Z148" s="56"/>
      <c r="AA148" s="57"/>
    </row>
    <row r="149" spans="22:27">
      <c r="V149" s="54"/>
      <c r="Y149" s="56"/>
      <c r="Z149" s="56"/>
      <c r="AA149" s="57"/>
    </row>
    <row r="150" spans="22:27">
      <c r="V150" s="54"/>
      <c r="Y150" s="56"/>
      <c r="Z150" s="56"/>
      <c r="AA150" s="57"/>
    </row>
    <row r="151" spans="22:27">
      <c r="V151" s="54"/>
      <c r="Y151" s="56"/>
      <c r="Z151" s="56"/>
      <c r="AA151" s="57"/>
    </row>
    <row r="152" spans="22:27">
      <c r="V152" s="54"/>
      <c r="Y152" s="56"/>
      <c r="Z152" s="56"/>
      <c r="AA152" s="57"/>
    </row>
    <row r="153" spans="22:27">
      <c r="V153" s="54"/>
      <c r="Y153" s="56"/>
      <c r="Z153" s="56"/>
      <c r="AA153" s="57"/>
    </row>
    <row r="154" spans="22:27">
      <c r="V154" s="54"/>
      <c r="Y154" s="56"/>
      <c r="Z154" s="56"/>
      <c r="AA154" s="57"/>
    </row>
    <row r="155" spans="22:27">
      <c r="V155" s="54"/>
      <c r="Y155" s="56"/>
      <c r="Z155" s="56"/>
      <c r="AA155" s="57"/>
    </row>
    <row r="156" spans="22:27">
      <c r="V156" s="54"/>
      <c r="Y156" s="56"/>
      <c r="Z156" s="56"/>
      <c r="AA156" s="57"/>
    </row>
    <row r="157" spans="22:27">
      <c r="V157" s="54"/>
      <c r="Y157" s="56"/>
      <c r="Z157" s="56"/>
      <c r="AA157" s="57"/>
    </row>
    <row r="158" spans="22:27">
      <c r="V158" s="54"/>
      <c r="Y158" s="56"/>
      <c r="Z158" s="56"/>
      <c r="AA158" s="57"/>
    </row>
    <row r="159" spans="22:27">
      <c r="V159" s="54"/>
      <c r="Y159" s="56"/>
      <c r="Z159" s="56"/>
      <c r="AA159" s="57"/>
    </row>
    <row r="160" spans="22:27">
      <c r="V160" s="54"/>
      <c r="Y160" s="56"/>
      <c r="Z160" s="56"/>
      <c r="AA160" s="57"/>
    </row>
    <row r="161" spans="22:27">
      <c r="V161" s="54"/>
      <c r="Y161" s="56"/>
      <c r="Z161" s="56"/>
      <c r="AA161" s="57"/>
    </row>
    <row r="162" spans="22:27">
      <c r="V162" s="54"/>
      <c r="Y162" s="56"/>
      <c r="Z162" s="56"/>
      <c r="AA162" s="57"/>
    </row>
    <row r="163" spans="22:27">
      <c r="V163" s="54"/>
      <c r="Y163" s="56"/>
      <c r="Z163" s="56"/>
      <c r="AA163" s="57"/>
    </row>
    <row r="164" spans="22:27">
      <c r="V164" s="54"/>
      <c r="Y164" s="56"/>
      <c r="Z164" s="56"/>
      <c r="AA164" s="57"/>
    </row>
    <row r="165" spans="22:27">
      <c r="V165" s="54"/>
      <c r="Y165" s="56"/>
      <c r="Z165" s="56"/>
      <c r="AA165" s="57"/>
    </row>
    <row r="166" spans="22:27">
      <c r="V166" s="54"/>
      <c r="Y166" s="56"/>
      <c r="Z166" s="56"/>
      <c r="AA166" s="57"/>
    </row>
    <row r="167" spans="22:27">
      <c r="V167" s="54"/>
      <c r="Y167" s="56"/>
      <c r="Z167" s="56"/>
      <c r="AA167" s="57"/>
    </row>
    <row r="168" spans="22:27">
      <c r="V168" s="54"/>
      <c r="Y168" s="56"/>
      <c r="Z168" s="56"/>
      <c r="AA168" s="57"/>
    </row>
    <row r="169" spans="22:27">
      <c r="V169" s="54"/>
      <c r="Y169" s="56"/>
      <c r="Z169" s="56"/>
      <c r="AA169" s="57"/>
    </row>
    <row r="170" spans="22:27">
      <c r="V170" s="54"/>
      <c r="Y170" s="56"/>
      <c r="Z170" s="56"/>
      <c r="AA170" s="57"/>
    </row>
    <row r="171" spans="22:27">
      <c r="V171" s="54"/>
      <c r="Y171" s="56"/>
      <c r="Z171" s="56"/>
      <c r="AA171" s="57"/>
    </row>
    <row r="172" spans="22:27">
      <c r="V172" s="54"/>
      <c r="Y172" s="56"/>
      <c r="Z172" s="56"/>
      <c r="AA172" s="57"/>
    </row>
    <row r="173" spans="22:27">
      <c r="V173" s="54"/>
      <c r="Y173" s="56"/>
      <c r="Z173" s="56"/>
      <c r="AA173" s="57"/>
    </row>
    <row r="174" spans="22:27">
      <c r="V174" s="54"/>
      <c r="Y174" s="56"/>
      <c r="Z174" s="56"/>
      <c r="AA174" s="57"/>
    </row>
    <row r="175" spans="22:27">
      <c r="V175" s="54"/>
      <c r="Y175" s="56"/>
      <c r="Z175" s="56"/>
      <c r="AA175" s="57"/>
    </row>
    <row r="176" spans="22:27">
      <c r="V176" s="54"/>
      <c r="Y176" s="56"/>
      <c r="Z176" s="56"/>
      <c r="AA176" s="57"/>
    </row>
    <row r="177" spans="22:27">
      <c r="V177" s="54"/>
      <c r="Y177" s="56"/>
      <c r="Z177" s="56"/>
      <c r="AA177" s="57"/>
    </row>
    <row r="178" spans="22:27">
      <c r="V178" s="54"/>
      <c r="Y178" s="56"/>
      <c r="Z178" s="56"/>
      <c r="AA178" s="57"/>
    </row>
    <row r="179" spans="22:27">
      <c r="V179" s="54"/>
      <c r="Y179" s="56"/>
      <c r="Z179" s="56"/>
      <c r="AA179" s="57"/>
    </row>
    <row r="180" spans="22:27">
      <c r="V180" s="54"/>
      <c r="Y180" s="56"/>
      <c r="Z180" s="56"/>
      <c r="AA180" s="57"/>
    </row>
    <row r="181" spans="22:27">
      <c r="V181" s="54"/>
      <c r="Y181" s="56"/>
      <c r="Z181" s="56"/>
      <c r="AA181" s="57"/>
    </row>
    <row r="182" spans="22:27">
      <c r="V182" s="54"/>
      <c r="Y182" s="56"/>
      <c r="Z182" s="56"/>
      <c r="AA182" s="57"/>
    </row>
    <row r="183" spans="22:27">
      <c r="V183" s="54"/>
      <c r="Y183" s="56"/>
      <c r="Z183" s="56"/>
      <c r="AA183" s="57"/>
    </row>
    <row r="184" spans="22:27">
      <c r="V184" s="54"/>
      <c r="Y184" s="56"/>
      <c r="Z184" s="56"/>
      <c r="AA184" s="57"/>
    </row>
    <row r="185" spans="22:27">
      <c r="V185" s="54"/>
      <c r="Y185" s="56"/>
      <c r="Z185" s="56"/>
      <c r="AA185" s="57"/>
    </row>
    <row r="186" spans="22:27">
      <c r="V186" s="54"/>
      <c r="Y186" s="56"/>
      <c r="Z186" s="56"/>
      <c r="AA186" s="57"/>
    </row>
    <row r="187" spans="22:27">
      <c r="V187" s="54"/>
      <c r="Y187" s="56"/>
      <c r="Z187" s="56"/>
      <c r="AA187" s="57"/>
    </row>
    <row r="188" spans="22:27">
      <c r="V188" s="54"/>
      <c r="Y188" s="56"/>
      <c r="Z188" s="56"/>
      <c r="AA188" s="57"/>
    </row>
    <row r="189" spans="22:27">
      <c r="V189" s="54"/>
      <c r="Y189" s="56"/>
      <c r="Z189" s="56"/>
      <c r="AA189" s="57"/>
    </row>
    <row r="190" spans="22:27">
      <c r="V190" s="54"/>
      <c r="Y190" s="56"/>
      <c r="Z190" s="56"/>
      <c r="AA190" s="57"/>
    </row>
    <row r="191" spans="22:27">
      <c r="V191" s="54"/>
      <c r="Y191" s="56"/>
      <c r="Z191" s="56"/>
      <c r="AA191" s="57"/>
    </row>
    <row r="192" spans="22:27">
      <c r="V192" s="54"/>
      <c r="Y192" s="56"/>
      <c r="Z192" s="56"/>
      <c r="AA192" s="57"/>
    </row>
    <row r="193" spans="22:27">
      <c r="V193" s="54"/>
      <c r="Y193" s="56"/>
      <c r="Z193" s="56"/>
      <c r="AA193" s="57"/>
    </row>
    <row r="194" spans="22:27">
      <c r="V194" s="54"/>
      <c r="Y194" s="56"/>
      <c r="Z194" s="56"/>
      <c r="AA194" s="57"/>
    </row>
    <row r="195" spans="22:27">
      <c r="V195" s="54"/>
      <c r="Y195" s="56"/>
      <c r="Z195" s="56"/>
      <c r="AA195" s="57"/>
    </row>
    <row r="196" spans="22:27">
      <c r="V196" s="54"/>
      <c r="Y196" s="56"/>
      <c r="Z196" s="56"/>
      <c r="AA196" s="57"/>
    </row>
    <row r="197" spans="22:27">
      <c r="V197" s="54"/>
      <c r="Y197" s="56"/>
      <c r="Z197" s="56"/>
      <c r="AA197" s="57"/>
    </row>
    <row r="198" spans="22:27">
      <c r="V198" s="54"/>
      <c r="Y198" s="56"/>
      <c r="Z198" s="56"/>
      <c r="AA198" s="57"/>
    </row>
    <row r="199" spans="22:27">
      <c r="V199" s="54"/>
      <c r="Y199" s="56"/>
      <c r="Z199" s="56"/>
      <c r="AA199" s="57"/>
    </row>
    <row r="200" spans="22:27">
      <c r="V200" s="54"/>
      <c r="Y200" s="56"/>
      <c r="Z200" s="56"/>
      <c r="AA200" s="57"/>
    </row>
    <row r="201" spans="22:27">
      <c r="V201" s="54"/>
      <c r="Y201" s="56"/>
      <c r="Z201" s="56"/>
      <c r="AA201" s="57"/>
    </row>
    <row r="202" spans="22:27">
      <c r="V202" s="54"/>
      <c r="Y202" s="56"/>
      <c r="Z202" s="56"/>
      <c r="AA202" s="57"/>
    </row>
    <row r="203" spans="22:27">
      <c r="V203" s="54"/>
      <c r="Y203" s="56"/>
      <c r="Z203" s="56"/>
      <c r="AA203" s="57"/>
    </row>
    <row r="204" spans="22:27">
      <c r="V204" s="54"/>
      <c r="Y204" s="56"/>
      <c r="Z204" s="56"/>
      <c r="AA204" s="57"/>
    </row>
    <row r="205" spans="22:27">
      <c r="V205" s="54"/>
      <c r="Y205" s="56"/>
      <c r="Z205" s="56"/>
      <c r="AA205" s="57"/>
    </row>
    <row r="206" spans="22:27">
      <c r="V206" s="54"/>
      <c r="Y206" s="56"/>
      <c r="Z206" s="56"/>
      <c r="AA206" s="57"/>
    </row>
    <row r="207" spans="22:27">
      <c r="V207" s="54"/>
      <c r="Y207" s="56"/>
      <c r="Z207" s="56"/>
      <c r="AA207" s="57"/>
    </row>
    <row r="208" spans="22:27">
      <c r="V208" s="54"/>
      <c r="Y208" s="56"/>
      <c r="Z208" s="56"/>
      <c r="AA208" s="57"/>
    </row>
    <row r="209" spans="22:27">
      <c r="V209" s="54"/>
      <c r="Y209" s="56"/>
      <c r="Z209" s="56"/>
      <c r="AA209" s="57"/>
    </row>
    <row r="210" spans="22:27">
      <c r="V210" s="54"/>
      <c r="Y210" s="56"/>
      <c r="Z210" s="56"/>
      <c r="AA210" s="57"/>
    </row>
    <row r="211" spans="22:27">
      <c r="V211" s="54"/>
      <c r="Y211" s="56"/>
      <c r="Z211" s="56"/>
      <c r="AA211" s="57"/>
    </row>
    <row r="212" spans="22:27">
      <c r="V212" s="54"/>
      <c r="Y212" s="56"/>
      <c r="Z212" s="56"/>
      <c r="AA212" s="57"/>
    </row>
    <row r="213" spans="22:27">
      <c r="V213" s="54"/>
      <c r="Y213" s="56"/>
      <c r="Z213" s="56"/>
      <c r="AA213" s="57"/>
    </row>
    <row r="214" spans="22:27">
      <c r="V214" s="54"/>
      <c r="Y214" s="56"/>
      <c r="Z214" s="56"/>
      <c r="AA214" s="57"/>
    </row>
    <row r="215" spans="22:27">
      <c r="V215" s="54"/>
      <c r="Y215" s="56"/>
      <c r="Z215" s="56"/>
      <c r="AA215" s="57"/>
    </row>
    <row r="216" spans="22:27">
      <c r="V216" s="54"/>
      <c r="Y216" s="56"/>
      <c r="Z216" s="56"/>
      <c r="AA216" s="57"/>
    </row>
    <row r="217" spans="22:27">
      <c r="V217" s="54"/>
      <c r="Y217" s="56"/>
      <c r="Z217" s="56"/>
      <c r="AA217" s="57"/>
    </row>
    <row r="218" spans="22:27">
      <c r="V218" s="54"/>
      <c r="Y218" s="56"/>
      <c r="Z218" s="56"/>
      <c r="AA218" s="57"/>
    </row>
    <row r="219" spans="22:27">
      <c r="V219" s="54"/>
      <c r="Y219" s="56"/>
      <c r="Z219" s="56"/>
      <c r="AA219" s="57"/>
    </row>
    <row r="220" spans="22:27">
      <c r="V220" s="54"/>
      <c r="Y220" s="56"/>
      <c r="Z220" s="56"/>
      <c r="AA220" s="57"/>
    </row>
    <row r="221" spans="22:27">
      <c r="V221" s="54"/>
      <c r="Y221" s="56"/>
      <c r="Z221" s="56"/>
      <c r="AA221" s="57"/>
    </row>
    <row r="222" spans="22:27">
      <c r="V222" s="54"/>
      <c r="Y222" s="56"/>
      <c r="Z222" s="56"/>
      <c r="AA222" s="57"/>
    </row>
    <row r="223" spans="22:27">
      <c r="V223" s="54"/>
      <c r="Y223" s="56"/>
      <c r="Z223" s="56"/>
      <c r="AA223" s="57"/>
    </row>
    <row r="224" spans="22:27">
      <c r="V224" s="54"/>
      <c r="Y224" s="56"/>
      <c r="Z224" s="56"/>
      <c r="AA224" s="57"/>
    </row>
    <row r="225" spans="22:27">
      <c r="V225" s="54"/>
      <c r="Y225" s="56"/>
      <c r="Z225" s="56"/>
      <c r="AA225" s="57"/>
    </row>
    <row r="226" spans="22:27">
      <c r="V226" s="54"/>
      <c r="Y226" s="56"/>
      <c r="Z226" s="56"/>
      <c r="AA226" s="57"/>
    </row>
    <row r="227" spans="22:27">
      <c r="V227" s="54"/>
      <c r="Y227" s="56"/>
      <c r="Z227" s="56"/>
      <c r="AA227" s="57"/>
    </row>
    <row r="228" spans="22:27">
      <c r="V228" s="54"/>
      <c r="Y228" s="56"/>
      <c r="Z228" s="56"/>
      <c r="AA228" s="57"/>
    </row>
    <row r="229" spans="22:27">
      <c r="V229" s="54"/>
      <c r="Y229" s="56"/>
      <c r="Z229" s="56"/>
      <c r="AA229" s="57"/>
    </row>
    <row r="230" spans="22:27">
      <c r="V230" s="54"/>
      <c r="Y230" s="56"/>
      <c r="Z230" s="56"/>
      <c r="AA230" s="57"/>
    </row>
    <row r="231" spans="22:27">
      <c r="V231" s="54"/>
      <c r="Y231" s="56"/>
      <c r="Z231" s="56"/>
      <c r="AA231" s="57"/>
    </row>
    <row r="232" spans="22:27">
      <c r="V232" s="54"/>
      <c r="Y232" s="56"/>
      <c r="Z232" s="56"/>
      <c r="AA232" s="57"/>
    </row>
    <row r="233" spans="22:27">
      <c r="V233" s="54"/>
      <c r="Y233" s="56"/>
      <c r="Z233" s="56"/>
      <c r="AA233" s="57"/>
    </row>
    <row r="234" spans="22:27">
      <c r="V234" s="54"/>
      <c r="Y234" s="56"/>
      <c r="Z234" s="56"/>
      <c r="AA234" s="57"/>
    </row>
    <row r="235" spans="22:27">
      <c r="V235" s="54"/>
      <c r="Y235" s="56"/>
      <c r="Z235" s="56"/>
      <c r="AA235" s="57"/>
    </row>
    <row r="236" spans="22:27">
      <c r="V236" s="54"/>
      <c r="Y236" s="56"/>
      <c r="Z236" s="56"/>
      <c r="AA236" s="57"/>
    </row>
    <row r="237" spans="22:27">
      <c r="V237" s="54"/>
      <c r="Y237" s="56"/>
      <c r="Z237" s="56"/>
      <c r="AA237" s="57"/>
    </row>
    <row r="238" spans="22:27">
      <c r="V238" s="54"/>
      <c r="Y238" s="56"/>
      <c r="Z238" s="56"/>
      <c r="AA238" s="57"/>
    </row>
    <row r="239" spans="22:27">
      <c r="V239" s="54"/>
      <c r="Y239" s="56"/>
      <c r="Z239" s="56"/>
      <c r="AA239" s="57"/>
    </row>
    <row r="240" spans="22:27">
      <c r="V240" s="54"/>
      <c r="Y240" s="56"/>
      <c r="Z240" s="56"/>
      <c r="AA240" s="57"/>
    </row>
    <row r="241" spans="22:27">
      <c r="V241" s="54"/>
      <c r="Y241" s="56"/>
      <c r="Z241" s="56"/>
      <c r="AA241" s="57"/>
    </row>
    <row r="242" spans="22:27">
      <c r="V242" s="54"/>
      <c r="Y242" s="56"/>
      <c r="Z242" s="56"/>
      <c r="AA242" s="57"/>
    </row>
    <row r="243" spans="22:27">
      <c r="V243" s="54"/>
      <c r="Y243" s="56"/>
      <c r="Z243" s="56"/>
      <c r="AA243" s="57"/>
    </row>
    <row r="244" spans="22:27">
      <c r="V244" s="54"/>
      <c r="Y244" s="56"/>
      <c r="Z244" s="56"/>
      <c r="AA244" s="57"/>
    </row>
    <row r="245" spans="22:27">
      <c r="V245" s="54"/>
      <c r="Y245" s="56"/>
      <c r="Z245" s="56"/>
      <c r="AA245" s="57"/>
    </row>
    <row r="246" spans="22:27">
      <c r="V246" s="54"/>
      <c r="Y246" s="56"/>
      <c r="Z246" s="56"/>
      <c r="AA246" s="57"/>
    </row>
    <row r="247" spans="22:27">
      <c r="V247" s="54"/>
      <c r="Y247" s="56"/>
      <c r="Z247" s="56"/>
      <c r="AA247" s="57"/>
    </row>
    <row r="248" spans="22:27">
      <c r="V248" s="54"/>
      <c r="Y248" s="56"/>
      <c r="Z248" s="56"/>
      <c r="AA248" s="57"/>
    </row>
    <row r="249" spans="22:27">
      <c r="V249" s="54"/>
      <c r="Y249" s="56"/>
      <c r="Z249" s="56"/>
      <c r="AA249" s="57"/>
    </row>
    <row r="250" spans="22:27">
      <c r="V250" s="54"/>
      <c r="Y250" s="56"/>
      <c r="Z250" s="56"/>
      <c r="AA250" s="57"/>
    </row>
    <row r="251" spans="22:27">
      <c r="V251" s="54"/>
      <c r="Y251" s="56"/>
      <c r="Z251" s="56"/>
      <c r="AA251" s="57"/>
    </row>
    <row r="252" spans="22:27">
      <c r="V252" s="54"/>
      <c r="Y252" s="56"/>
      <c r="Z252" s="56"/>
      <c r="AA252" s="57"/>
    </row>
    <row r="253" spans="22:27">
      <c r="V253" s="54"/>
      <c r="Y253" s="56"/>
      <c r="Z253" s="56"/>
      <c r="AA253" s="57"/>
    </row>
    <row r="254" spans="22:27">
      <c r="V254" s="54"/>
      <c r="Y254" s="56"/>
      <c r="Z254" s="56"/>
      <c r="AA254" s="57"/>
    </row>
    <row r="255" spans="22:27">
      <c r="V255" s="54"/>
      <c r="Y255" s="56"/>
      <c r="Z255" s="56"/>
      <c r="AA255" s="57"/>
    </row>
    <row r="256" spans="22:27">
      <c r="V256" s="54"/>
      <c r="Y256" s="56"/>
      <c r="Z256" s="56"/>
      <c r="AA256" s="57"/>
    </row>
    <row r="257" spans="22:27">
      <c r="V257" s="54"/>
      <c r="Y257" s="56"/>
      <c r="Z257" s="56"/>
      <c r="AA257" s="57"/>
    </row>
    <row r="258" spans="22:27">
      <c r="V258" s="54"/>
      <c r="Y258" s="56"/>
      <c r="Z258" s="56"/>
      <c r="AA258" s="57"/>
    </row>
    <row r="259" spans="22:27">
      <c r="V259" s="54"/>
      <c r="Y259" s="56"/>
      <c r="Z259" s="56"/>
      <c r="AA259" s="57"/>
    </row>
    <row r="260" spans="22:27">
      <c r="V260" s="54"/>
      <c r="Y260" s="56"/>
      <c r="Z260" s="56"/>
      <c r="AA260" s="57"/>
    </row>
    <row r="261" spans="22:27">
      <c r="V261" s="54"/>
      <c r="Y261" s="56"/>
      <c r="Z261" s="56"/>
      <c r="AA261" s="57"/>
    </row>
    <row r="262" spans="22:27">
      <c r="V262" s="54"/>
      <c r="Y262" s="56"/>
      <c r="Z262" s="56"/>
      <c r="AA262" s="57"/>
    </row>
    <row r="263" spans="22:27">
      <c r="V263" s="54"/>
      <c r="Y263" s="56"/>
      <c r="Z263" s="56"/>
      <c r="AA263" s="57"/>
    </row>
    <row r="264" spans="22:27">
      <c r="V264" s="54"/>
      <c r="Y264" s="56"/>
      <c r="Z264" s="56"/>
      <c r="AA264" s="57"/>
    </row>
    <row r="265" spans="22:27">
      <c r="V265" s="54"/>
      <c r="Y265" s="56"/>
      <c r="Z265" s="56"/>
      <c r="AA265" s="57"/>
    </row>
    <row r="266" spans="22:27">
      <c r="V266" s="54"/>
      <c r="Y266" s="56"/>
      <c r="Z266" s="56"/>
      <c r="AA266" s="57"/>
    </row>
    <row r="267" spans="22:27">
      <c r="V267" s="54"/>
      <c r="Y267" s="56"/>
      <c r="Z267" s="56"/>
      <c r="AA267" s="57"/>
    </row>
    <row r="268" spans="22:27">
      <c r="V268" s="54"/>
      <c r="Y268" s="56"/>
      <c r="Z268" s="56"/>
      <c r="AA268" s="57"/>
    </row>
    <row r="269" spans="22:27">
      <c r="V269" s="54"/>
      <c r="Y269" s="56"/>
      <c r="Z269" s="56"/>
      <c r="AA269" s="57"/>
    </row>
    <row r="270" spans="22:27">
      <c r="V270" s="54"/>
      <c r="Y270" s="56"/>
      <c r="Z270" s="56"/>
      <c r="AA270" s="57"/>
    </row>
    <row r="271" spans="22:27">
      <c r="V271" s="54"/>
      <c r="Y271" s="56"/>
      <c r="Z271" s="56"/>
      <c r="AA271" s="57"/>
    </row>
    <row r="272" spans="22:27">
      <c r="V272" s="54"/>
      <c r="Y272" s="56"/>
      <c r="Z272" s="56"/>
      <c r="AA272" s="57"/>
    </row>
    <row r="273" spans="22:27">
      <c r="V273" s="54"/>
      <c r="Y273" s="56"/>
      <c r="Z273" s="56"/>
      <c r="AA273" s="57"/>
    </row>
    <row r="274" spans="22:27">
      <c r="V274" s="54"/>
      <c r="Y274" s="56"/>
      <c r="Z274" s="56"/>
      <c r="AA274" s="57"/>
    </row>
    <row r="275" spans="22:27">
      <c r="V275" s="54"/>
      <c r="Y275" s="56"/>
      <c r="Z275" s="56"/>
      <c r="AA275" s="57"/>
    </row>
    <row r="276" spans="22:27">
      <c r="V276" s="54"/>
      <c r="Y276" s="56"/>
      <c r="Z276" s="56"/>
      <c r="AA276" s="57"/>
    </row>
    <row r="277" spans="22:27">
      <c r="V277" s="54"/>
      <c r="Y277" s="56"/>
      <c r="Z277" s="56"/>
      <c r="AA277" s="57"/>
    </row>
    <row r="278" spans="22:27">
      <c r="V278" s="54"/>
      <c r="Y278" s="56"/>
      <c r="Z278" s="56"/>
      <c r="AA278" s="57"/>
    </row>
    <row r="279" spans="22:27">
      <c r="V279" s="54"/>
      <c r="Y279" s="56"/>
      <c r="Z279" s="56"/>
      <c r="AA279" s="57"/>
    </row>
    <row r="280" spans="22:27">
      <c r="V280" s="54"/>
      <c r="Y280" s="56"/>
      <c r="Z280" s="56"/>
      <c r="AA280" s="57"/>
    </row>
    <row r="281" spans="22:27">
      <c r="V281" s="54"/>
      <c r="Y281" s="56"/>
      <c r="Z281" s="56"/>
      <c r="AA281" s="57"/>
    </row>
    <row r="282" spans="22:27">
      <c r="V282" s="54"/>
      <c r="Y282" s="56"/>
      <c r="Z282" s="56"/>
      <c r="AA282" s="57"/>
    </row>
    <row r="283" spans="22:27">
      <c r="V283" s="54"/>
      <c r="Y283" s="56"/>
      <c r="Z283" s="56"/>
      <c r="AA283" s="57"/>
    </row>
    <row r="284" spans="22:27">
      <c r="V284" s="54"/>
      <c r="Y284" s="56"/>
      <c r="Z284" s="56"/>
      <c r="AA284" s="57"/>
    </row>
    <row r="285" spans="22:27">
      <c r="V285" s="54"/>
      <c r="Y285" s="56"/>
      <c r="Z285" s="56"/>
      <c r="AA285" s="57"/>
    </row>
    <row r="286" spans="22:27">
      <c r="V286" s="54"/>
      <c r="Y286" s="56"/>
      <c r="Z286" s="56"/>
      <c r="AA286" s="57"/>
    </row>
    <row r="287" spans="22:27">
      <c r="V287" s="54"/>
      <c r="Y287" s="56"/>
      <c r="Z287" s="56"/>
      <c r="AA287" s="57"/>
    </row>
    <row r="288" spans="22:27">
      <c r="V288" s="54"/>
      <c r="Y288" s="56"/>
      <c r="Z288" s="56"/>
      <c r="AA288" s="57"/>
    </row>
    <row r="289" spans="22:27">
      <c r="V289" s="54"/>
      <c r="Y289" s="56"/>
      <c r="Z289" s="56"/>
      <c r="AA289" s="57"/>
    </row>
    <row r="290" spans="22:27">
      <c r="V290" s="54"/>
      <c r="Y290" s="56"/>
      <c r="Z290" s="56"/>
      <c r="AA290" s="57"/>
    </row>
    <row r="291" spans="22:27">
      <c r="V291" s="54"/>
      <c r="Y291" s="56"/>
      <c r="Z291" s="56"/>
      <c r="AA291" s="57"/>
    </row>
    <row r="292" spans="22:27">
      <c r="V292" s="54"/>
      <c r="Y292" s="56"/>
      <c r="Z292" s="56"/>
      <c r="AA292" s="57"/>
    </row>
    <row r="293" spans="22:27">
      <c r="V293" s="54"/>
      <c r="Y293" s="56"/>
      <c r="Z293" s="56"/>
      <c r="AA293" s="57"/>
    </row>
    <row r="294" spans="22:27">
      <c r="V294" s="54"/>
      <c r="Y294" s="56"/>
      <c r="Z294" s="56"/>
      <c r="AA294" s="57"/>
    </row>
    <row r="295" spans="22:27">
      <c r="V295" s="54"/>
      <c r="Y295" s="56"/>
      <c r="Z295" s="56"/>
      <c r="AA295" s="57"/>
    </row>
    <row r="296" spans="22:27">
      <c r="V296" s="54"/>
      <c r="Y296" s="56"/>
      <c r="Z296" s="56"/>
      <c r="AA296" s="57"/>
    </row>
    <row r="297" spans="22:27">
      <c r="V297" s="54"/>
      <c r="Y297" s="56"/>
      <c r="Z297" s="56"/>
      <c r="AA297" s="57"/>
    </row>
    <row r="298" spans="22:27">
      <c r="V298" s="54"/>
      <c r="Y298" s="56"/>
      <c r="Z298" s="56"/>
      <c r="AA298" s="57"/>
    </row>
    <row r="299" spans="22:27">
      <c r="V299" s="54"/>
      <c r="Y299" s="56"/>
      <c r="Z299" s="56"/>
      <c r="AA299" s="57"/>
    </row>
    <row r="300" spans="22:27">
      <c r="V300" s="54"/>
      <c r="Y300" s="56"/>
      <c r="Z300" s="56"/>
      <c r="AA300" s="57"/>
    </row>
    <row r="301" spans="22:27">
      <c r="V301" s="54"/>
      <c r="Y301" s="56"/>
      <c r="Z301" s="56"/>
      <c r="AA301" s="57"/>
    </row>
    <row r="302" spans="22:27">
      <c r="V302" s="54"/>
      <c r="Y302" s="56"/>
      <c r="Z302" s="56"/>
      <c r="AA302" s="57"/>
    </row>
    <row r="303" spans="22:27">
      <c r="V303" s="54"/>
      <c r="Y303" s="56"/>
      <c r="Z303" s="56"/>
      <c r="AA303" s="57"/>
    </row>
    <row r="304" spans="22:27">
      <c r="V304" s="54"/>
      <c r="Y304" s="56"/>
      <c r="Z304" s="56"/>
      <c r="AA304" s="57"/>
    </row>
    <row r="305" spans="22:27">
      <c r="V305" s="54"/>
      <c r="Y305" s="56"/>
      <c r="Z305" s="56"/>
      <c r="AA305" s="57"/>
    </row>
    <row r="306" spans="22:27">
      <c r="V306" s="54"/>
      <c r="Y306" s="56"/>
      <c r="Z306" s="56"/>
      <c r="AA306" s="57"/>
    </row>
    <row r="307" spans="22:27">
      <c r="V307" s="54"/>
      <c r="Y307" s="56"/>
      <c r="Z307" s="56"/>
      <c r="AA307" s="57"/>
    </row>
    <row r="308" spans="22:27">
      <c r="V308" s="54"/>
      <c r="Y308" s="56"/>
      <c r="Z308" s="56"/>
      <c r="AA308" s="57"/>
    </row>
    <row r="309" spans="22:27">
      <c r="V309" s="54"/>
      <c r="Y309" s="56"/>
      <c r="Z309" s="56"/>
      <c r="AA309" s="57"/>
    </row>
    <row r="310" spans="22:27">
      <c r="V310" s="54"/>
      <c r="Y310" s="56"/>
      <c r="Z310" s="56"/>
      <c r="AA310" s="57"/>
    </row>
    <row r="311" spans="22:27">
      <c r="V311" s="54"/>
      <c r="Y311" s="56"/>
      <c r="Z311" s="56"/>
      <c r="AA311" s="57"/>
    </row>
    <row r="312" spans="22:27">
      <c r="V312" s="54"/>
      <c r="Y312" s="56"/>
      <c r="Z312" s="56"/>
      <c r="AA312" s="57"/>
    </row>
    <row r="313" spans="22:27">
      <c r="V313" s="54"/>
      <c r="Y313" s="56"/>
      <c r="Z313" s="56"/>
      <c r="AA313" s="57"/>
    </row>
    <row r="314" spans="22:27">
      <c r="V314" s="54"/>
      <c r="Y314" s="56"/>
      <c r="Z314" s="56"/>
      <c r="AA314" s="57"/>
    </row>
    <row r="315" spans="22:27">
      <c r="V315" s="54"/>
      <c r="Y315" s="56"/>
      <c r="Z315" s="56"/>
      <c r="AA315" s="57"/>
    </row>
    <row r="316" spans="22:27">
      <c r="V316" s="54"/>
      <c r="Y316" s="56"/>
      <c r="Z316" s="56"/>
      <c r="AA316" s="57"/>
    </row>
    <row r="317" spans="22:27">
      <c r="V317" s="54"/>
      <c r="Y317" s="56"/>
      <c r="Z317" s="56"/>
      <c r="AA317" s="57"/>
    </row>
    <row r="318" spans="22:27">
      <c r="V318" s="54"/>
      <c r="Y318" s="56"/>
      <c r="Z318" s="56"/>
      <c r="AA318" s="57"/>
    </row>
    <row r="319" spans="22:27">
      <c r="V319" s="54"/>
      <c r="Y319" s="56"/>
      <c r="Z319" s="56"/>
      <c r="AA319" s="57"/>
    </row>
    <row r="320" spans="22:27">
      <c r="V320" s="54"/>
      <c r="Y320" s="56"/>
      <c r="Z320" s="56"/>
      <c r="AA320" s="57"/>
    </row>
    <row r="321" spans="22:27">
      <c r="V321" s="54"/>
      <c r="Y321" s="56"/>
      <c r="Z321" s="56"/>
      <c r="AA321" s="57"/>
    </row>
    <row r="322" spans="22:27">
      <c r="V322" s="54"/>
      <c r="Y322" s="56"/>
      <c r="Z322" s="56"/>
      <c r="AA322" s="57"/>
    </row>
    <row r="323" spans="22:27">
      <c r="V323" s="54"/>
      <c r="Y323" s="56"/>
      <c r="Z323" s="56"/>
      <c r="AA323" s="57"/>
    </row>
    <row r="324" spans="22:27">
      <c r="V324" s="54"/>
      <c r="Y324" s="56"/>
      <c r="Z324" s="56"/>
      <c r="AA324" s="57"/>
    </row>
    <row r="325" spans="22:27">
      <c r="V325" s="54"/>
      <c r="Y325" s="56"/>
      <c r="Z325" s="56"/>
      <c r="AA325" s="57"/>
    </row>
    <row r="326" spans="22:27">
      <c r="V326" s="54"/>
      <c r="Y326" s="56"/>
      <c r="Z326" s="56"/>
      <c r="AA326" s="57"/>
    </row>
    <row r="327" spans="22:27">
      <c r="V327" s="54"/>
      <c r="Y327" s="56"/>
      <c r="Z327" s="56"/>
      <c r="AA327" s="57"/>
    </row>
    <row r="328" spans="22:27">
      <c r="V328" s="54"/>
      <c r="Y328" s="56"/>
      <c r="Z328" s="56"/>
      <c r="AA328" s="57"/>
    </row>
    <row r="329" spans="22:27">
      <c r="V329" s="54"/>
      <c r="Y329" s="56"/>
      <c r="Z329" s="56"/>
      <c r="AA329" s="57"/>
    </row>
    <row r="330" spans="22:27">
      <c r="V330" s="54"/>
      <c r="Y330" s="56"/>
      <c r="Z330" s="56"/>
      <c r="AA330" s="57"/>
    </row>
    <row r="331" spans="22:27">
      <c r="V331" s="54"/>
      <c r="Y331" s="56"/>
      <c r="Z331" s="56"/>
      <c r="AA331" s="57"/>
    </row>
    <row r="332" spans="22:27">
      <c r="V332" s="54"/>
      <c r="Y332" s="56"/>
      <c r="Z332" s="56"/>
      <c r="AA332" s="57"/>
    </row>
    <row r="333" spans="22:27">
      <c r="V333" s="54"/>
      <c r="Y333" s="56"/>
      <c r="Z333" s="56"/>
      <c r="AA333" s="57"/>
    </row>
    <row r="334" spans="22:27">
      <c r="V334" s="54"/>
      <c r="Y334" s="56"/>
      <c r="Z334" s="56"/>
      <c r="AA334" s="57"/>
    </row>
    <row r="335" spans="22:27">
      <c r="V335" s="54"/>
      <c r="Y335" s="56"/>
      <c r="Z335" s="56"/>
      <c r="AA335" s="57"/>
    </row>
    <row r="336" spans="22:27">
      <c r="V336" s="54"/>
      <c r="Y336" s="56"/>
      <c r="Z336" s="56"/>
      <c r="AA336" s="57"/>
    </row>
    <row r="337" spans="22:27">
      <c r="V337" s="54"/>
      <c r="Y337" s="56"/>
      <c r="Z337" s="56"/>
      <c r="AA337" s="57"/>
    </row>
    <row r="338" spans="22:27">
      <c r="V338" s="54"/>
      <c r="Y338" s="56"/>
      <c r="Z338" s="56"/>
      <c r="AA338" s="57"/>
    </row>
    <row r="339" spans="22:27">
      <c r="V339" s="54"/>
      <c r="Y339" s="56"/>
      <c r="Z339" s="56"/>
      <c r="AA339" s="57"/>
    </row>
    <row r="340" spans="22:27">
      <c r="V340" s="54"/>
      <c r="Y340" s="56"/>
      <c r="Z340" s="56"/>
      <c r="AA340" s="57"/>
    </row>
    <row r="341" spans="22:27">
      <c r="V341" s="54"/>
      <c r="Y341" s="56"/>
      <c r="Z341" s="56"/>
      <c r="AA341" s="57"/>
    </row>
    <row r="342" spans="22:27">
      <c r="V342" s="54"/>
      <c r="Y342" s="56"/>
      <c r="Z342" s="56"/>
      <c r="AA342" s="57"/>
    </row>
    <row r="343" spans="22:27">
      <c r="V343" s="54"/>
      <c r="Y343" s="56"/>
      <c r="Z343" s="56"/>
      <c r="AA343" s="57"/>
    </row>
    <row r="344" spans="22:27">
      <c r="V344" s="54"/>
      <c r="Y344" s="56"/>
      <c r="Z344" s="56"/>
      <c r="AA344" s="57"/>
    </row>
    <row r="345" spans="22:27">
      <c r="V345" s="54"/>
      <c r="Y345" s="56"/>
      <c r="Z345" s="56"/>
      <c r="AA345" s="57"/>
    </row>
    <row r="346" spans="22:27">
      <c r="V346" s="54"/>
      <c r="Y346" s="56"/>
      <c r="Z346" s="56"/>
      <c r="AA346" s="57"/>
    </row>
    <row r="347" spans="22:27">
      <c r="V347" s="54"/>
      <c r="Y347" s="56"/>
      <c r="Z347" s="56"/>
      <c r="AA347" s="57"/>
    </row>
    <row r="348" spans="22:27">
      <c r="V348" s="54"/>
      <c r="Y348" s="56"/>
      <c r="Z348" s="56"/>
      <c r="AA348" s="57"/>
    </row>
    <row r="349" spans="22:27">
      <c r="V349" s="54"/>
      <c r="Y349" s="56"/>
      <c r="Z349" s="56"/>
      <c r="AA349" s="57"/>
    </row>
    <row r="350" spans="22:27">
      <c r="V350" s="54"/>
      <c r="Y350" s="56"/>
      <c r="Z350" s="56"/>
      <c r="AA350" s="57"/>
    </row>
    <row r="351" spans="22:27">
      <c r="V351" s="54"/>
      <c r="Y351" s="56"/>
      <c r="Z351" s="56"/>
      <c r="AA351" s="57"/>
    </row>
    <row r="352" spans="22:27">
      <c r="V352" s="54"/>
      <c r="Y352" s="56"/>
      <c r="Z352" s="56"/>
      <c r="AA352" s="57"/>
    </row>
    <row r="353" spans="22:27">
      <c r="V353" s="54"/>
      <c r="Y353" s="56"/>
      <c r="Z353" s="56"/>
      <c r="AA353" s="57"/>
    </row>
    <row r="354" spans="22:27">
      <c r="V354" s="54"/>
      <c r="Y354" s="56"/>
      <c r="Z354" s="56"/>
      <c r="AA354" s="57"/>
    </row>
    <row r="355" spans="22:27">
      <c r="V355" s="54"/>
      <c r="Y355" s="56"/>
      <c r="Z355" s="56"/>
      <c r="AA355" s="57"/>
    </row>
    <row r="356" spans="22:27">
      <c r="V356" s="54"/>
      <c r="Y356" s="56"/>
      <c r="Z356" s="56"/>
      <c r="AA356" s="57"/>
    </row>
    <row r="357" spans="22:27">
      <c r="V357" s="54"/>
      <c r="Y357" s="56"/>
      <c r="Z357" s="56"/>
      <c r="AA357" s="57"/>
    </row>
    <row r="358" spans="22:27">
      <c r="V358" s="54"/>
      <c r="Y358" s="56"/>
      <c r="Z358" s="56"/>
      <c r="AA358" s="57"/>
    </row>
    <row r="359" spans="22:27">
      <c r="V359" s="54"/>
      <c r="Y359" s="56"/>
      <c r="Z359" s="56"/>
      <c r="AA359" s="57"/>
    </row>
    <row r="360" spans="22:27">
      <c r="V360" s="54"/>
      <c r="Y360" s="56"/>
      <c r="Z360" s="56"/>
      <c r="AA360" s="57"/>
    </row>
    <row r="361" spans="22:27">
      <c r="V361" s="54"/>
      <c r="Y361" s="56"/>
      <c r="Z361" s="56"/>
      <c r="AA361" s="57"/>
    </row>
    <row r="362" spans="22:27">
      <c r="V362" s="54"/>
      <c r="Y362" s="56"/>
      <c r="Z362" s="56"/>
      <c r="AA362" s="57"/>
    </row>
    <row r="363" spans="22:27">
      <c r="V363" s="54"/>
      <c r="Y363" s="56"/>
      <c r="Z363" s="56"/>
      <c r="AA363" s="57"/>
    </row>
    <row r="364" spans="22:27">
      <c r="V364" s="54"/>
      <c r="Y364" s="56"/>
      <c r="Z364" s="56"/>
      <c r="AA364" s="57"/>
    </row>
    <row r="365" spans="22:27">
      <c r="V365" s="54"/>
      <c r="Y365" s="56"/>
      <c r="Z365" s="56"/>
      <c r="AA365" s="57"/>
    </row>
    <row r="366" spans="22:27">
      <c r="V366" s="54"/>
      <c r="Y366" s="56"/>
      <c r="Z366" s="56"/>
      <c r="AA366" s="57"/>
    </row>
    <row r="367" spans="22:27">
      <c r="V367" s="54"/>
      <c r="Y367" s="56"/>
      <c r="Z367" s="56"/>
      <c r="AA367" s="57"/>
    </row>
    <row r="368" spans="22:27">
      <c r="V368" s="54"/>
      <c r="Y368" s="56"/>
      <c r="Z368" s="56"/>
      <c r="AA368" s="57"/>
    </row>
    <row r="369" spans="22:27">
      <c r="V369" s="54"/>
      <c r="Y369" s="56"/>
      <c r="Z369" s="56"/>
      <c r="AA369" s="57"/>
    </row>
    <row r="370" spans="22:27">
      <c r="V370" s="54"/>
      <c r="Y370" s="56"/>
      <c r="Z370" s="56"/>
      <c r="AA370" s="57"/>
    </row>
    <row r="371" spans="22:27">
      <c r="V371" s="54"/>
      <c r="Y371" s="56"/>
      <c r="Z371" s="56"/>
      <c r="AA371" s="57"/>
    </row>
    <row r="372" spans="22:27">
      <c r="V372" s="54"/>
      <c r="Y372" s="56"/>
      <c r="Z372" s="56"/>
      <c r="AA372" s="57"/>
    </row>
    <row r="373" spans="22:27">
      <c r="V373" s="54"/>
      <c r="Y373" s="56"/>
      <c r="Z373" s="56"/>
      <c r="AA373" s="57"/>
    </row>
    <row r="374" spans="22:27">
      <c r="V374" s="54"/>
      <c r="Y374" s="56"/>
      <c r="Z374" s="56"/>
      <c r="AA374" s="57"/>
    </row>
    <row r="375" spans="22:27">
      <c r="V375" s="54"/>
      <c r="Y375" s="56"/>
      <c r="Z375" s="56"/>
      <c r="AA375" s="57"/>
    </row>
    <row r="376" spans="22:27">
      <c r="V376" s="54"/>
      <c r="Y376" s="56"/>
      <c r="Z376" s="56"/>
      <c r="AA376" s="57"/>
    </row>
    <row r="377" spans="22:27">
      <c r="V377" s="54"/>
      <c r="Y377" s="56"/>
      <c r="Z377" s="56"/>
      <c r="AA377" s="57"/>
    </row>
    <row r="378" spans="22:27">
      <c r="V378" s="54"/>
      <c r="Y378" s="56"/>
      <c r="Z378" s="56"/>
      <c r="AA378" s="57"/>
    </row>
    <row r="379" spans="22:27">
      <c r="V379" s="54"/>
      <c r="Y379" s="56"/>
      <c r="Z379" s="56"/>
      <c r="AA379" s="57"/>
    </row>
    <row r="380" spans="22:27">
      <c r="V380" s="54"/>
      <c r="Y380" s="56"/>
      <c r="Z380" s="56"/>
      <c r="AA380" s="57"/>
    </row>
    <row r="381" spans="22:27">
      <c r="V381" s="54"/>
      <c r="Y381" s="56"/>
      <c r="Z381" s="56"/>
      <c r="AA381" s="57"/>
    </row>
    <row r="382" spans="22:27">
      <c r="V382" s="54"/>
      <c r="Y382" s="56"/>
      <c r="Z382" s="56"/>
      <c r="AA382" s="57"/>
    </row>
    <row r="383" spans="22:27">
      <c r="V383" s="54"/>
      <c r="Y383" s="56"/>
      <c r="Z383" s="56"/>
      <c r="AA383" s="57"/>
    </row>
    <row r="384" spans="22:27">
      <c r="V384" s="54"/>
      <c r="Y384" s="56"/>
      <c r="Z384" s="56"/>
      <c r="AA384" s="57"/>
    </row>
    <row r="385" spans="22:27">
      <c r="V385" s="54"/>
      <c r="Y385" s="56"/>
      <c r="Z385" s="56"/>
      <c r="AA385" s="57"/>
    </row>
    <row r="386" spans="22:27">
      <c r="V386" s="54"/>
      <c r="Y386" s="56"/>
      <c r="Z386" s="56"/>
      <c r="AA386" s="57"/>
    </row>
    <row r="387" spans="22:27">
      <c r="V387" s="54"/>
      <c r="Y387" s="56"/>
      <c r="Z387" s="56"/>
      <c r="AA387" s="57"/>
    </row>
    <row r="388" spans="22:27">
      <c r="V388" s="54"/>
      <c r="Y388" s="56"/>
      <c r="Z388" s="56"/>
      <c r="AA388" s="57"/>
    </row>
    <row r="389" spans="22:27">
      <c r="V389" s="54"/>
      <c r="Y389" s="56"/>
      <c r="Z389" s="56"/>
      <c r="AA389" s="57"/>
    </row>
    <row r="390" spans="22:27">
      <c r="V390" s="54"/>
      <c r="Y390" s="56"/>
      <c r="Z390" s="56"/>
      <c r="AA390" s="57"/>
    </row>
    <row r="391" spans="22:27">
      <c r="V391" s="54"/>
      <c r="Y391" s="56"/>
      <c r="Z391" s="56"/>
      <c r="AA391" s="57"/>
    </row>
    <row r="392" spans="22:27">
      <c r="V392" s="54"/>
      <c r="Y392" s="56"/>
      <c r="Z392" s="56"/>
      <c r="AA392" s="57"/>
    </row>
    <row r="393" spans="22:27">
      <c r="V393" s="54"/>
      <c r="Y393" s="56"/>
      <c r="Z393" s="56"/>
      <c r="AA393" s="57"/>
    </row>
    <row r="394" spans="22:27">
      <c r="V394" s="54"/>
      <c r="Y394" s="56"/>
      <c r="Z394" s="56"/>
      <c r="AA394" s="57"/>
    </row>
    <row r="395" spans="22:27">
      <c r="V395" s="54"/>
      <c r="Y395" s="56"/>
      <c r="Z395" s="56"/>
      <c r="AA395" s="57"/>
    </row>
    <row r="396" spans="22:27">
      <c r="V396" s="54"/>
      <c r="Y396" s="56"/>
      <c r="Z396" s="56"/>
      <c r="AA396" s="57"/>
    </row>
    <row r="397" spans="22:27">
      <c r="V397" s="54"/>
      <c r="Y397" s="56"/>
      <c r="Z397" s="56"/>
      <c r="AA397" s="57"/>
    </row>
    <row r="398" spans="22:27">
      <c r="V398" s="54"/>
      <c r="Y398" s="56"/>
      <c r="Z398" s="56"/>
      <c r="AA398" s="57"/>
    </row>
    <row r="399" spans="22:27">
      <c r="V399" s="54"/>
      <c r="Y399" s="56"/>
      <c r="Z399" s="56"/>
      <c r="AA399" s="57"/>
    </row>
    <row r="400" spans="22:27">
      <c r="V400" s="54"/>
      <c r="Y400" s="56"/>
      <c r="Z400" s="56"/>
      <c r="AA400" s="57"/>
    </row>
    <row r="405" spans="10:16">
      <c r="J405" s="58"/>
      <c r="K405" s="58"/>
      <c r="L405" s="58"/>
      <c r="M405" s="58"/>
      <c r="N405" s="58"/>
      <c r="O405" s="58"/>
      <c r="P405" s="58"/>
    </row>
    <row r="406" spans="10:16">
      <c r="J406" s="58"/>
      <c r="K406" s="58"/>
      <c r="L406" s="58"/>
      <c r="M406" s="58"/>
      <c r="N406" s="58"/>
      <c r="O406" s="58"/>
      <c r="P406" s="58"/>
    </row>
    <row r="407" spans="10:16">
      <c r="J407" s="58"/>
      <c r="K407" s="58"/>
      <c r="L407" s="58"/>
      <c r="M407" s="58"/>
      <c r="N407" s="58"/>
      <c r="O407" s="58"/>
      <c r="P407" s="58"/>
    </row>
    <row r="408" spans="10:16">
      <c r="J408" s="58"/>
      <c r="K408" s="58"/>
      <c r="L408" s="58"/>
      <c r="M408" s="58"/>
      <c r="N408" s="58"/>
      <c r="O408" s="58"/>
      <c r="P408" s="58"/>
    </row>
    <row r="409" spans="10:16">
      <c r="J409" s="58"/>
      <c r="K409" s="58"/>
      <c r="L409" s="58"/>
      <c r="M409" s="58"/>
      <c r="N409" s="58"/>
      <c r="O409" s="58"/>
      <c r="P409" s="58"/>
    </row>
    <row r="410" spans="10:16">
      <c r="J410" s="58"/>
      <c r="K410" s="58"/>
      <c r="L410" s="58"/>
      <c r="M410" s="58"/>
      <c r="N410" s="58"/>
      <c r="O410" s="58"/>
      <c r="P410" s="58"/>
    </row>
    <row r="411" spans="10:16">
      <c r="J411" s="58"/>
      <c r="K411" s="58"/>
      <c r="L411" s="58"/>
      <c r="M411" s="58"/>
      <c r="N411" s="58"/>
      <c r="O411" s="58"/>
      <c r="P411" s="58"/>
    </row>
    <row r="412" spans="10:16">
      <c r="J412" s="58"/>
      <c r="K412" s="58"/>
      <c r="L412" s="58"/>
      <c r="M412" s="58"/>
      <c r="N412" s="58"/>
      <c r="O412" s="58"/>
      <c r="P412" s="58"/>
    </row>
    <row r="413" spans="10:16">
      <c r="J413" s="58"/>
      <c r="K413" s="58"/>
      <c r="L413" s="58"/>
      <c r="M413" s="58"/>
      <c r="N413" s="58"/>
      <c r="O413" s="58"/>
      <c r="P413" s="58"/>
    </row>
    <row r="414" spans="10:16">
      <c r="J414" s="58"/>
      <c r="K414" s="58"/>
      <c r="L414" s="58"/>
      <c r="M414" s="58"/>
      <c r="N414" s="58"/>
      <c r="O414" s="58"/>
      <c r="P414" s="58"/>
    </row>
    <row r="415" spans="10:16">
      <c r="J415" s="58"/>
      <c r="K415" s="58"/>
      <c r="L415" s="58"/>
      <c r="M415" s="58"/>
      <c r="N415" s="58"/>
      <c r="O415" s="58"/>
      <c r="P415" s="58"/>
    </row>
    <row r="416" spans="10:16">
      <c r="J416" s="58"/>
      <c r="K416" s="58"/>
      <c r="L416" s="58"/>
      <c r="M416" s="58"/>
      <c r="N416" s="58"/>
      <c r="O416" s="58"/>
      <c r="P416" s="58"/>
    </row>
    <row r="417" spans="10:16">
      <c r="J417" s="58"/>
      <c r="K417" s="58"/>
      <c r="L417" s="58"/>
      <c r="M417" s="58"/>
      <c r="N417" s="58"/>
      <c r="O417" s="58"/>
      <c r="P417" s="58"/>
    </row>
    <row r="418" spans="10:16">
      <c r="J418" s="58"/>
      <c r="K418" s="58"/>
      <c r="L418" s="58"/>
      <c r="M418" s="58"/>
      <c r="N418" s="58"/>
      <c r="O418" s="58"/>
      <c r="P418" s="58"/>
    </row>
    <row r="419" spans="10:16">
      <c r="J419" s="58"/>
      <c r="K419" s="58"/>
      <c r="L419" s="58"/>
      <c r="M419" s="58"/>
      <c r="N419" s="58"/>
      <c r="O419" s="58"/>
      <c r="P419" s="58"/>
    </row>
    <row r="420" spans="10:16">
      <c r="J420" s="58"/>
      <c r="K420" s="58"/>
      <c r="L420" s="58"/>
      <c r="M420" s="58"/>
      <c r="N420" s="58"/>
      <c r="O420" s="58"/>
      <c r="P420" s="58"/>
    </row>
    <row r="421" spans="10:16">
      <c r="J421" s="58"/>
      <c r="K421" s="58"/>
      <c r="L421" s="58"/>
      <c r="M421" s="58"/>
      <c r="N421" s="58"/>
      <c r="O421" s="58"/>
      <c r="P421" s="58"/>
    </row>
    <row r="422" spans="10:16">
      <c r="J422" s="58"/>
      <c r="K422" s="58"/>
      <c r="L422" s="58"/>
      <c r="M422" s="58"/>
      <c r="N422" s="58"/>
      <c r="O422" s="58"/>
      <c r="P422" s="58"/>
    </row>
    <row r="423" spans="10:16">
      <c r="J423" s="58"/>
      <c r="K423" s="58"/>
      <c r="L423" s="58"/>
      <c r="M423" s="58"/>
      <c r="N423" s="58"/>
      <c r="O423" s="58"/>
      <c r="P423" s="58"/>
    </row>
    <row r="424" spans="10:16">
      <c r="J424" s="58"/>
      <c r="K424" s="58"/>
      <c r="L424" s="58"/>
      <c r="M424" s="58"/>
      <c r="N424" s="58"/>
      <c r="O424" s="58"/>
      <c r="P424" s="58"/>
    </row>
    <row r="425" spans="10:16">
      <c r="J425" s="58"/>
      <c r="K425" s="58"/>
      <c r="L425" s="58"/>
      <c r="M425" s="58"/>
      <c r="N425" s="58"/>
      <c r="O425" s="58"/>
      <c r="P425" s="58"/>
    </row>
    <row r="426" spans="10:16">
      <c r="J426" s="58"/>
      <c r="K426" s="58"/>
      <c r="L426" s="58"/>
      <c r="M426" s="58"/>
      <c r="N426" s="58"/>
      <c r="O426" s="58"/>
      <c r="P426" s="58"/>
    </row>
    <row r="427" spans="10:16">
      <c r="J427" s="58"/>
      <c r="K427" s="58"/>
      <c r="L427" s="58"/>
      <c r="M427" s="58"/>
      <c r="N427" s="58"/>
      <c r="O427" s="58"/>
      <c r="P427" s="58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3"/>
  <dimension ref="A1:AG405"/>
  <sheetViews>
    <sheetView showGridLines="0" showRowColHeaders="0" zoomScaleNormal="100" workbookViewId="0"/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3.7109375" style="50" customWidth="1"/>
    <col min="6" max="6" width="6.42578125" style="50" bestFit="1" customWidth="1"/>
    <col min="7" max="7" width="13.285156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15" width="13.7109375" style="50" customWidth="1"/>
    <col min="16" max="22" width="13.7109375" style="55" customWidth="1"/>
    <col min="23" max="264" width="11.42578125" style="55"/>
    <col min="265" max="265" width="4.42578125" style="55" customWidth="1"/>
    <col min="266" max="266" width="13.28515625" style="55" customWidth="1"/>
    <col min="267" max="271" width="11.42578125" style="55"/>
    <col min="272" max="272" width="4.7109375" style="55" customWidth="1"/>
    <col min="273" max="520" width="11.42578125" style="55"/>
    <col min="521" max="521" width="4.42578125" style="55" customWidth="1"/>
    <col min="522" max="522" width="13.28515625" style="55" customWidth="1"/>
    <col min="523" max="527" width="11.42578125" style="55"/>
    <col min="528" max="528" width="4.7109375" style="55" customWidth="1"/>
    <col min="529" max="776" width="11.42578125" style="55"/>
    <col min="777" max="777" width="4.42578125" style="55" customWidth="1"/>
    <col min="778" max="778" width="13.28515625" style="55" customWidth="1"/>
    <col min="779" max="783" width="11.42578125" style="55"/>
    <col min="784" max="784" width="4.7109375" style="55" customWidth="1"/>
    <col min="785" max="1032" width="11.42578125" style="55"/>
    <col min="1033" max="1033" width="4.42578125" style="55" customWidth="1"/>
    <col min="1034" max="1034" width="13.28515625" style="55" customWidth="1"/>
    <col min="1035" max="1039" width="11.42578125" style="55"/>
    <col min="1040" max="1040" width="4.7109375" style="55" customWidth="1"/>
    <col min="1041" max="1288" width="11.42578125" style="55"/>
    <col min="1289" max="1289" width="4.42578125" style="55" customWidth="1"/>
    <col min="1290" max="1290" width="13.28515625" style="55" customWidth="1"/>
    <col min="1291" max="1295" width="11.42578125" style="55"/>
    <col min="1296" max="1296" width="4.7109375" style="55" customWidth="1"/>
    <col min="1297" max="1544" width="11.42578125" style="55"/>
    <col min="1545" max="1545" width="4.42578125" style="55" customWidth="1"/>
    <col min="1546" max="1546" width="13.28515625" style="55" customWidth="1"/>
    <col min="1547" max="1551" width="11.42578125" style="55"/>
    <col min="1552" max="1552" width="4.7109375" style="55" customWidth="1"/>
    <col min="1553" max="1800" width="11.42578125" style="55"/>
    <col min="1801" max="1801" width="4.42578125" style="55" customWidth="1"/>
    <col min="1802" max="1802" width="13.28515625" style="55" customWidth="1"/>
    <col min="1803" max="1807" width="11.42578125" style="55"/>
    <col min="1808" max="1808" width="4.7109375" style="55" customWidth="1"/>
    <col min="1809" max="2056" width="11.42578125" style="55"/>
    <col min="2057" max="2057" width="4.42578125" style="55" customWidth="1"/>
    <col min="2058" max="2058" width="13.28515625" style="55" customWidth="1"/>
    <col min="2059" max="2063" width="11.42578125" style="55"/>
    <col min="2064" max="2064" width="4.7109375" style="55" customWidth="1"/>
    <col min="2065" max="2312" width="11.42578125" style="55"/>
    <col min="2313" max="2313" width="4.42578125" style="55" customWidth="1"/>
    <col min="2314" max="2314" width="13.28515625" style="55" customWidth="1"/>
    <col min="2315" max="2319" width="11.42578125" style="55"/>
    <col min="2320" max="2320" width="4.7109375" style="55" customWidth="1"/>
    <col min="2321" max="2568" width="11.42578125" style="55"/>
    <col min="2569" max="2569" width="4.42578125" style="55" customWidth="1"/>
    <col min="2570" max="2570" width="13.28515625" style="55" customWidth="1"/>
    <col min="2571" max="2575" width="11.42578125" style="55"/>
    <col min="2576" max="2576" width="4.7109375" style="55" customWidth="1"/>
    <col min="2577" max="2824" width="11.42578125" style="55"/>
    <col min="2825" max="2825" width="4.42578125" style="55" customWidth="1"/>
    <col min="2826" max="2826" width="13.28515625" style="55" customWidth="1"/>
    <col min="2827" max="2831" width="11.42578125" style="55"/>
    <col min="2832" max="2832" width="4.7109375" style="55" customWidth="1"/>
    <col min="2833" max="3080" width="11.42578125" style="55"/>
    <col min="3081" max="3081" width="4.42578125" style="55" customWidth="1"/>
    <col min="3082" max="3082" width="13.28515625" style="55" customWidth="1"/>
    <col min="3083" max="3087" width="11.42578125" style="55"/>
    <col min="3088" max="3088" width="4.7109375" style="55" customWidth="1"/>
    <col min="3089" max="3336" width="11.42578125" style="55"/>
    <col min="3337" max="3337" width="4.42578125" style="55" customWidth="1"/>
    <col min="3338" max="3338" width="13.28515625" style="55" customWidth="1"/>
    <col min="3339" max="3343" width="11.42578125" style="55"/>
    <col min="3344" max="3344" width="4.7109375" style="55" customWidth="1"/>
    <col min="3345" max="3592" width="11.42578125" style="55"/>
    <col min="3593" max="3593" width="4.42578125" style="55" customWidth="1"/>
    <col min="3594" max="3594" width="13.28515625" style="55" customWidth="1"/>
    <col min="3595" max="3599" width="11.42578125" style="55"/>
    <col min="3600" max="3600" width="4.7109375" style="55" customWidth="1"/>
    <col min="3601" max="3848" width="11.42578125" style="55"/>
    <col min="3849" max="3849" width="4.42578125" style="55" customWidth="1"/>
    <col min="3850" max="3850" width="13.28515625" style="55" customWidth="1"/>
    <col min="3851" max="3855" width="11.42578125" style="55"/>
    <col min="3856" max="3856" width="4.7109375" style="55" customWidth="1"/>
    <col min="3857" max="4104" width="11.42578125" style="55"/>
    <col min="4105" max="4105" width="4.42578125" style="55" customWidth="1"/>
    <col min="4106" max="4106" width="13.28515625" style="55" customWidth="1"/>
    <col min="4107" max="4111" width="11.42578125" style="55"/>
    <col min="4112" max="4112" width="4.7109375" style="55" customWidth="1"/>
    <col min="4113" max="4360" width="11.42578125" style="55"/>
    <col min="4361" max="4361" width="4.42578125" style="55" customWidth="1"/>
    <col min="4362" max="4362" width="13.28515625" style="55" customWidth="1"/>
    <col min="4363" max="4367" width="11.42578125" style="55"/>
    <col min="4368" max="4368" width="4.7109375" style="55" customWidth="1"/>
    <col min="4369" max="4616" width="11.42578125" style="55"/>
    <col min="4617" max="4617" width="4.42578125" style="55" customWidth="1"/>
    <col min="4618" max="4618" width="13.28515625" style="55" customWidth="1"/>
    <col min="4619" max="4623" width="11.42578125" style="55"/>
    <col min="4624" max="4624" width="4.7109375" style="55" customWidth="1"/>
    <col min="4625" max="4872" width="11.42578125" style="55"/>
    <col min="4873" max="4873" width="4.42578125" style="55" customWidth="1"/>
    <col min="4874" max="4874" width="13.28515625" style="55" customWidth="1"/>
    <col min="4875" max="4879" width="11.42578125" style="55"/>
    <col min="4880" max="4880" width="4.7109375" style="55" customWidth="1"/>
    <col min="4881" max="5128" width="11.42578125" style="55"/>
    <col min="5129" max="5129" width="4.42578125" style="55" customWidth="1"/>
    <col min="5130" max="5130" width="13.28515625" style="55" customWidth="1"/>
    <col min="5131" max="5135" width="11.42578125" style="55"/>
    <col min="5136" max="5136" width="4.7109375" style="55" customWidth="1"/>
    <col min="5137" max="5384" width="11.42578125" style="55"/>
    <col min="5385" max="5385" width="4.42578125" style="55" customWidth="1"/>
    <col min="5386" max="5386" width="13.28515625" style="55" customWidth="1"/>
    <col min="5387" max="5391" width="11.42578125" style="55"/>
    <col min="5392" max="5392" width="4.7109375" style="55" customWidth="1"/>
    <col min="5393" max="5640" width="11.42578125" style="55"/>
    <col min="5641" max="5641" width="4.42578125" style="55" customWidth="1"/>
    <col min="5642" max="5642" width="13.28515625" style="55" customWidth="1"/>
    <col min="5643" max="5647" width="11.42578125" style="55"/>
    <col min="5648" max="5648" width="4.7109375" style="55" customWidth="1"/>
    <col min="5649" max="5896" width="11.42578125" style="55"/>
    <col min="5897" max="5897" width="4.42578125" style="55" customWidth="1"/>
    <col min="5898" max="5898" width="13.28515625" style="55" customWidth="1"/>
    <col min="5899" max="5903" width="11.42578125" style="55"/>
    <col min="5904" max="5904" width="4.7109375" style="55" customWidth="1"/>
    <col min="5905" max="6152" width="11.42578125" style="55"/>
    <col min="6153" max="6153" width="4.42578125" style="55" customWidth="1"/>
    <col min="6154" max="6154" width="13.28515625" style="55" customWidth="1"/>
    <col min="6155" max="6159" width="11.42578125" style="55"/>
    <col min="6160" max="6160" width="4.7109375" style="55" customWidth="1"/>
    <col min="6161" max="6408" width="11.42578125" style="55"/>
    <col min="6409" max="6409" width="4.42578125" style="55" customWidth="1"/>
    <col min="6410" max="6410" width="13.28515625" style="55" customWidth="1"/>
    <col min="6411" max="6415" width="11.42578125" style="55"/>
    <col min="6416" max="6416" width="4.7109375" style="55" customWidth="1"/>
    <col min="6417" max="6664" width="11.42578125" style="55"/>
    <col min="6665" max="6665" width="4.42578125" style="55" customWidth="1"/>
    <col min="6666" max="6666" width="13.28515625" style="55" customWidth="1"/>
    <col min="6667" max="6671" width="11.42578125" style="55"/>
    <col min="6672" max="6672" width="4.7109375" style="55" customWidth="1"/>
    <col min="6673" max="6920" width="11.42578125" style="55"/>
    <col min="6921" max="6921" width="4.42578125" style="55" customWidth="1"/>
    <col min="6922" max="6922" width="13.28515625" style="55" customWidth="1"/>
    <col min="6923" max="6927" width="11.42578125" style="55"/>
    <col min="6928" max="6928" width="4.7109375" style="55" customWidth="1"/>
    <col min="6929" max="7176" width="11.42578125" style="55"/>
    <col min="7177" max="7177" width="4.42578125" style="55" customWidth="1"/>
    <col min="7178" max="7178" width="13.28515625" style="55" customWidth="1"/>
    <col min="7179" max="7183" width="11.42578125" style="55"/>
    <col min="7184" max="7184" width="4.7109375" style="55" customWidth="1"/>
    <col min="7185" max="7432" width="11.42578125" style="55"/>
    <col min="7433" max="7433" width="4.42578125" style="55" customWidth="1"/>
    <col min="7434" max="7434" width="13.28515625" style="55" customWidth="1"/>
    <col min="7435" max="7439" width="11.42578125" style="55"/>
    <col min="7440" max="7440" width="4.7109375" style="55" customWidth="1"/>
    <col min="7441" max="7688" width="11.42578125" style="55"/>
    <col min="7689" max="7689" width="4.42578125" style="55" customWidth="1"/>
    <col min="7690" max="7690" width="13.28515625" style="55" customWidth="1"/>
    <col min="7691" max="7695" width="11.42578125" style="55"/>
    <col min="7696" max="7696" width="4.7109375" style="55" customWidth="1"/>
    <col min="7697" max="7944" width="11.42578125" style="55"/>
    <col min="7945" max="7945" width="4.42578125" style="55" customWidth="1"/>
    <col min="7946" max="7946" width="13.28515625" style="55" customWidth="1"/>
    <col min="7947" max="7951" width="11.42578125" style="55"/>
    <col min="7952" max="7952" width="4.7109375" style="55" customWidth="1"/>
    <col min="7953" max="8200" width="11.42578125" style="55"/>
    <col min="8201" max="8201" width="4.42578125" style="55" customWidth="1"/>
    <col min="8202" max="8202" width="13.28515625" style="55" customWidth="1"/>
    <col min="8203" max="8207" width="11.42578125" style="55"/>
    <col min="8208" max="8208" width="4.7109375" style="55" customWidth="1"/>
    <col min="8209" max="8456" width="11.42578125" style="55"/>
    <col min="8457" max="8457" width="4.42578125" style="55" customWidth="1"/>
    <col min="8458" max="8458" width="13.28515625" style="55" customWidth="1"/>
    <col min="8459" max="8463" width="11.42578125" style="55"/>
    <col min="8464" max="8464" width="4.7109375" style="55" customWidth="1"/>
    <col min="8465" max="8712" width="11.42578125" style="55"/>
    <col min="8713" max="8713" width="4.42578125" style="55" customWidth="1"/>
    <col min="8714" max="8714" width="13.28515625" style="55" customWidth="1"/>
    <col min="8715" max="8719" width="11.42578125" style="55"/>
    <col min="8720" max="8720" width="4.7109375" style="55" customWidth="1"/>
    <col min="8721" max="8968" width="11.42578125" style="55"/>
    <col min="8969" max="8969" width="4.42578125" style="55" customWidth="1"/>
    <col min="8970" max="8970" width="13.28515625" style="55" customWidth="1"/>
    <col min="8971" max="8975" width="11.42578125" style="55"/>
    <col min="8976" max="8976" width="4.7109375" style="55" customWidth="1"/>
    <col min="8977" max="9224" width="11.42578125" style="55"/>
    <col min="9225" max="9225" width="4.42578125" style="55" customWidth="1"/>
    <col min="9226" max="9226" width="13.28515625" style="55" customWidth="1"/>
    <col min="9227" max="9231" width="11.42578125" style="55"/>
    <col min="9232" max="9232" width="4.7109375" style="55" customWidth="1"/>
    <col min="9233" max="9480" width="11.42578125" style="55"/>
    <col min="9481" max="9481" width="4.42578125" style="55" customWidth="1"/>
    <col min="9482" max="9482" width="13.28515625" style="55" customWidth="1"/>
    <col min="9483" max="9487" width="11.42578125" style="55"/>
    <col min="9488" max="9488" width="4.7109375" style="55" customWidth="1"/>
    <col min="9489" max="9736" width="11.42578125" style="55"/>
    <col min="9737" max="9737" width="4.42578125" style="55" customWidth="1"/>
    <col min="9738" max="9738" width="13.28515625" style="55" customWidth="1"/>
    <col min="9739" max="9743" width="11.42578125" style="55"/>
    <col min="9744" max="9744" width="4.7109375" style="55" customWidth="1"/>
    <col min="9745" max="9992" width="11.42578125" style="55"/>
    <col min="9993" max="9993" width="4.42578125" style="55" customWidth="1"/>
    <col min="9994" max="9994" width="13.28515625" style="55" customWidth="1"/>
    <col min="9995" max="9999" width="11.42578125" style="55"/>
    <col min="10000" max="10000" width="4.7109375" style="55" customWidth="1"/>
    <col min="10001" max="10248" width="11.42578125" style="55"/>
    <col min="10249" max="10249" width="4.42578125" style="55" customWidth="1"/>
    <col min="10250" max="10250" width="13.28515625" style="55" customWidth="1"/>
    <col min="10251" max="10255" width="11.42578125" style="55"/>
    <col min="10256" max="10256" width="4.7109375" style="55" customWidth="1"/>
    <col min="10257" max="10504" width="11.42578125" style="55"/>
    <col min="10505" max="10505" width="4.42578125" style="55" customWidth="1"/>
    <col min="10506" max="10506" width="13.28515625" style="55" customWidth="1"/>
    <col min="10507" max="10511" width="11.42578125" style="55"/>
    <col min="10512" max="10512" width="4.7109375" style="55" customWidth="1"/>
    <col min="10513" max="10760" width="11.42578125" style="55"/>
    <col min="10761" max="10761" width="4.42578125" style="55" customWidth="1"/>
    <col min="10762" max="10762" width="13.28515625" style="55" customWidth="1"/>
    <col min="10763" max="10767" width="11.42578125" style="55"/>
    <col min="10768" max="10768" width="4.7109375" style="55" customWidth="1"/>
    <col min="10769" max="11016" width="11.42578125" style="55"/>
    <col min="11017" max="11017" width="4.42578125" style="55" customWidth="1"/>
    <col min="11018" max="11018" width="13.28515625" style="55" customWidth="1"/>
    <col min="11019" max="11023" width="11.42578125" style="55"/>
    <col min="11024" max="11024" width="4.7109375" style="55" customWidth="1"/>
    <col min="11025" max="11272" width="11.42578125" style="55"/>
    <col min="11273" max="11273" width="4.42578125" style="55" customWidth="1"/>
    <col min="11274" max="11274" width="13.28515625" style="55" customWidth="1"/>
    <col min="11275" max="11279" width="11.42578125" style="55"/>
    <col min="11280" max="11280" width="4.7109375" style="55" customWidth="1"/>
    <col min="11281" max="11528" width="11.42578125" style="55"/>
    <col min="11529" max="11529" width="4.42578125" style="55" customWidth="1"/>
    <col min="11530" max="11530" width="13.28515625" style="55" customWidth="1"/>
    <col min="11531" max="11535" width="11.42578125" style="55"/>
    <col min="11536" max="11536" width="4.7109375" style="55" customWidth="1"/>
    <col min="11537" max="11784" width="11.42578125" style="55"/>
    <col min="11785" max="11785" width="4.42578125" style="55" customWidth="1"/>
    <col min="11786" max="11786" width="13.28515625" style="55" customWidth="1"/>
    <col min="11787" max="11791" width="11.42578125" style="55"/>
    <col min="11792" max="11792" width="4.7109375" style="55" customWidth="1"/>
    <col min="11793" max="12040" width="11.42578125" style="55"/>
    <col min="12041" max="12041" width="4.42578125" style="55" customWidth="1"/>
    <col min="12042" max="12042" width="13.28515625" style="55" customWidth="1"/>
    <col min="12043" max="12047" width="11.42578125" style="55"/>
    <col min="12048" max="12048" width="4.7109375" style="55" customWidth="1"/>
    <col min="12049" max="12296" width="11.42578125" style="55"/>
    <col min="12297" max="12297" width="4.42578125" style="55" customWidth="1"/>
    <col min="12298" max="12298" width="13.28515625" style="55" customWidth="1"/>
    <col min="12299" max="12303" width="11.42578125" style="55"/>
    <col min="12304" max="12304" width="4.7109375" style="55" customWidth="1"/>
    <col min="12305" max="12552" width="11.42578125" style="55"/>
    <col min="12553" max="12553" width="4.42578125" style="55" customWidth="1"/>
    <col min="12554" max="12554" width="13.28515625" style="55" customWidth="1"/>
    <col min="12555" max="12559" width="11.42578125" style="55"/>
    <col min="12560" max="12560" width="4.7109375" style="55" customWidth="1"/>
    <col min="12561" max="12808" width="11.42578125" style="55"/>
    <col min="12809" max="12809" width="4.42578125" style="55" customWidth="1"/>
    <col min="12810" max="12810" width="13.28515625" style="55" customWidth="1"/>
    <col min="12811" max="12815" width="11.42578125" style="55"/>
    <col min="12816" max="12816" width="4.7109375" style="55" customWidth="1"/>
    <col min="12817" max="13064" width="11.42578125" style="55"/>
    <col min="13065" max="13065" width="4.42578125" style="55" customWidth="1"/>
    <col min="13066" max="13066" width="13.28515625" style="55" customWidth="1"/>
    <col min="13067" max="13071" width="11.42578125" style="55"/>
    <col min="13072" max="13072" width="4.7109375" style="55" customWidth="1"/>
    <col min="13073" max="13320" width="11.42578125" style="55"/>
    <col min="13321" max="13321" width="4.42578125" style="55" customWidth="1"/>
    <col min="13322" max="13322" width="13.28515625" style="55" customWidth="1"/>
    <col min="13323" max="13327" width="11.42578125" style="55"/>
    <col min="13328" max="13328" width="4.7109375" style="55" customWidth="1"/>
    <col min="13329" max="13576" width="11.42578125" style="55"/>
    <col min="13577" max="13577" width="4.42578125" style="55" customWidth="1"/>
    <col min="13578" max="13578" width="13.28515625" style="55" customWidth="1"/>
    <col min="13579" max="13583" width="11.42578125" style="55"/>
    <col min="13584" max="13584" width="4.7109375" style="55" customWidth="1"/>
    <col min="13585" max="13832" width="11.42578125" style="55"/>
    <col min="13833" max="13833" width="4.42578125" style="55" customWidth="1"/>
    <col min="13834" max="13834" width="13.28515625" style="55" customWidth="1"/>
    <col min="13835" max="13839" width="11.42578125" style="55"/>
    <col min="13840" max="13840" width="4.7109375" style="55" customWidth="1"/>
    <col min="13841" max="14088" width="11.42578125" style="55"/>
    <col min="14089" max="14089" width="4.42578125" style="55" customWidth="1"/>
    <col min="14090" max="14090" width="13.28515625" style="55" customWidth="1"/>
    <col min="14091" max="14095" width="11.42578125" style="55"/>
    <col min="14096" max="14096" width="4.7109375" style="55" customWidth="1"/>
    <col min="14097" max="14344" width="11.42578125" style="55"/>
    <col min="14345" max="14345" width="4.42578125" style="55" customWidth="1"/>
    <col min="14346" max="14346" width="13.28515625" style="55" customWidth="1"/>
    <col min="14347" max="14351" width="11.42578125" style="55"/>
    <col min="14352" max="14352" width="4.7109375" style="55" customWidth="1"/>
    <col min="14353" max="14600" width="11.42578125" style="55"/>
    <col min="14601" max="14601" width="4.42578125" style="55" customWidth="1"/>
    <col min="14602" max="14602" width="13.28515625" style="55" customWidth="1"/>
    <col min="14603" max="14607" width="11.42578125" style="55"/>
    <col min="14608" max="14608" width="4.7109375" style="55" customWidth="1"/>
    <col min="14609" max="14856" width="11.42578125" style="55"/>
    <col min="14857" max="14857" width="4.42578125" style="55" customWidth="1"/>
    <col min="14858" max="14858" width="13.28515625" style="55" customWidth="1"/>
    <col min="14859" max="14863" width="11.42578125" style="55"/>
    <col min="14864" max="14864" width="4.7109375" style="55" customWidth="1"/>
    <col min="14865" max="15112" width="11.42578125" style="55"/>
    <col min="15113" max="15113" width="4.42578125" style="55" customWidth="1"/>
    <col min="15114" max="15114" width="13.28515625" style="55" customWidth="1"/>
    <col min="15115" max="15119" width="11.42578125" style="55"/>
    <col min="15120" max="15120" width="4.7109375" style="55" customWidth="1"/>
    <col min="15121" max="15368" width="11.42578125" style="55"/>
    <col min="15369" max="15369" width="4.42578125" style="55" customWidth="1"/>
    <col min="15370" max="15370" width="13.28515625" style="55" customWidth="1"/>
    <col min="15371" max="15375" width="11.42578125" style="55"/>
    <col min="15376" max="15376" width="4.7109375" style="55" customWidth="1"/>
    <col min="15377" max="15624" width="11.42578125" style="55"/>
    <col min="15625" max="15625" width="4.42578125" style="55" customWidth="1"/>
    <col min="15626" max="15626" width="13.28515625" style="55" customWidth="1"/>
    <col min="15627" max="15631" width="11.42578125" style="55"/>
    <col min="15632" max="15632" width="4.7109375" style="55" customWidth="1"/>
    <col min="15633" max="15880" width="11.42578125" style="55"/>
    <col min="15881" max="15881" width="4.42578125" style="55" customWidth="1"/>
    <col min="15882" max="15882" width="13.28515625" style="55" customWidth="1"/>
    <col min="15883" max="15887" width="11.42578125" style="55"/>
    <col min="15888" max="15888" width="4.7109375" style="55" customWidth="1"/>
    <col min="15889" max="16136" width="11.42578125" style="55"/>
    <col min="16137" max="16137" width="4.42578125" style="55" customWidth="1"/>
    <col min="16138" max="16138" width="13.28515625" style="55" customWidth="1"/>
    <col min="16139" max="16143" width="11.42578125" style="55"/>
    <col min="16144" max="16144" width="4.7109375" style="55" customWidth="1"/>
    <col min="16145" max="16384" width="11.42578125" style="55"/>
  </cols>
  <sheetData>
    <row r="1" spans="1:33" s="50" customFormat="1">
      <c r="A1"/>
      <c r="B1"/>
      <c r="C1"/>
      <c r="D1"/>
    </row>
    <row r="2" spans="1:33" s="50" customFormat="1">
      <c r="A2"/>
      <c r="B2"/>
      <c r="C2"/>
      <c r="D2" s="112" t="s">
        <v>1</v>
      </c>
    </row>
    <row r="3" spans="1:33" s="50" customFormat="1">
      <c r="A3"/>
      <c r="B3"/>
      <c r="C3"/>
      <c r="D3" s="112" t="str">
        <f>Indice!E3</f>
        <v>Noviembre 2020</v>
      </c>
    </row>
    <row r="4" spans="1:33" s="50" customFormat="1" ht="20.100000000000001" customHeight="1">
      <c r="A4"/>
      <c r="B4" s="102" t="s">
        <v>67</v>
      </c>
      <c r="C4"/>
      <c r="D4"/>
    </row>
    <row r="5" spans="1:33" s="50" customFormat="1">
      <c r="A5"/>
      <c r="B5"/>
      <c r="C5"/>
      <c r="D5"/>
      <c r="G5" s="52"/>
      <c r="H5" s="53"/>
      <c r="I5" s="53"/>
      <c r="J5" s="53"/>
      <c r="K5" s="53"/>
      <c r="L5" s="53"/>
    </row>
    <row r="6" spans="1:33" s="50" customFormat="1">
      <c r="A6"/>
      <c r="B6"/>
      <c r="C6"/>
      <c r="D6"/>
      <c r="AB6" s="54"/>
      <c r="AC6" s="54"/>
      <c r="AD6" s="54"/>
      <c r="AE6" s="54"/>
      <c r="AF6" s="54"/>
      <c r="AG6" s="54"/>
    </row>
    <row r="7" spans="1:33">
      <c r="B7" s="119" t="s">
        <v>41</v>
      </c>
      <c r="D7" s="4"/>
      <c r="F7" s="55"/>
      <c r="G7" s="55"/>
      <c r="H7" s="55"/>
      <c r="I7" s="55"/>
      <c r="J7" s="55"/>
      <c r="K7" s="55"/>
      <c r="L7" s="55"/>
      <c r="M7" s="55"/>
      <c r="N7" s="68"/>
      <c r="AB7" s="65"/>
      <c r="AC7" s="65"/>
      <c r="AD7" s="65"/>
      <c r="AE7" s="65"/>
      <c r="AF7" s="65"/>
      <c r="AG7" s="65"/>
    </row>
    <row r="8" spans="1:33">
      <c r="B8" s="43"/>
      <c r="D8" s="4"/>
      <c r="F8" s="55"/>
      <c r="G8" s="55"/>
      <c r="H8" s="55"/>
      <c r="I8" s="55"/>
      <c r="J8" s="55"/>
      <c r="K8" s="55"/>
      <c r="L8" s="55"/>
      <c r="M8" s="55"/>
      <c r="N8" s="135"/>
      <c r="P8" s="63"/>
      <c r="Q8" s="147"/>
      <c r="R8" s="148"/>
      <c r="S8" s="148"/>
      <c r="T8" s="148"/>
      <c r="U8" s="148"/>
      <c r="X8" s="148"/>
      <c r="Y8" s="148"/>
      <c r="Z8" s="148"/>
      <c r="AB8" s="65"/>
      <c r="AC8" s="65"/>
      <c r="AD8" s="65"/>
      <c r="AE8" s="65"/>
      <c r="AF8" s="65"/>
      <c r="AG8" s="65"/>
    </row>
    <row r="9" spans="1:33">
      <c r="B9" s="43"/>
      <c r="D9" s="4"/>
      <c r="F9" s="55"/>
      <c r="G9" s="55"/>
      <c r="H9" s="55"/>
      <c r="I9" s="55"/>
      <c r="J9" s="55"/>
      <c r="K9" s="55"/>
      <c r="L9" s="55"/>
      <c r="M9" s="55"/>
      <c r="N9" s="69"/>
      <c r="O9" s="60"/>
      <c r="P9" s="64"/>
      <c r="Q9" s="149"/>
      <c r="R9" s="149"/>
      <c r="S9" s="149"/>
      <c r="T9" s="149"/>
      <c r="U9" s="149"/>
      <c r="V9" s="150"/>
      <c r="X9" s="65"/>
      <c r="Y9" s="65"/>
      <c r="Z9" s="65"/>
      <c r="AB9" s="65"/>
      <c r="AC9" s="65"/>
      <c r="AD9" s="65"/>
      <c r="AE9" s="65"/>
      <c r="AF9" s="65"/>
      <c r="AG9" s="65"/>
    </row>
    <row r="10" spans="1:33">
      <c r="D10" s="4"/>
      <c r="F10" s="55"/>
      <c r="G10" s="55"/>
      <c r="H10" s="55"/>
      <c r="I10" s="55"/>
      <c r="J10" s="55"/>
      <c r="K10" s="55"/>
      <c r="L10" s="55"/>
      <c r="M10" s="55"/>
      <c r="N10" s="69"/>
      <c r="O10" s="60"/>
      <c r="P10" s="64"/>
      <c r="Q10" s="149"/>
      <c r="R10" s="149"/>
      <c r="S10" s="149"/>
      <c r="T10" s="149"/>
      <c r="U10" s="149"/>
      <c r="V10" s="150"/>
      <c r="X10" s="65"/>
      <c r="Y10" s="65"/>
      <c r="Z10" s="65"/>
      <c r="AB10" s="65"/>
      <c r="AC10" s="65"/>
      <c r="AD10" s="65"/>
      <c r="AE10" s="65"/>
      <c r="AF10" s="65"/>
      <c r="AG10" s="65"/>
    </row>
    <row r="11" spans="1:33">
      <c r="D11" s="4"/>
      <c r="F11" s="55"/>
      <c r="G11" s="55"/>
      <c r="H11" s="55"/>
      <c r="I11" s="55"/>
      <c r="J11" s="55"/>
      <c r="K11" s="55"/>
      <c r="L11" s="55"/>
      <c r="M11" s="55"/>
      <c r="N11" s="69"/>
      <c r="O11" s="60"/>
      <c r="P11" s="64"/>
      <c r="Q11" s="149"/>
      <c r="R11" s="149"/>
      <c r="S11" s="149"/>
      <c r="T11" s="149"/>
      <c r="U11" s="149"/>
      <c r="V11" s="150"/>
      <c r="X11" s="65"/>
      <c r="Y11" s="65"/>
      <c r="Z11" s="65"/>
      <c r="AB11" s="65"/>
      <c r="AC11" s="65"/>
      <c r="AD11" s="65"/>
      <c r="AE11" s="65"/>
      <c r="AF11" s="65"/>
      <c r="AG11" s="65"/>
    </row>
    <row r="12" spans="1:33">
      <c r="D12" s="4"/>
      <c r="F12" s="55"/>
      <c r="G12" s="55"/>
      <c r="H12" s="55"/>
      <c r="I12" s="55"/>
      <c r="J12" s="55"/>
      <c r="K12" s="55"/>
      <c r="L12" s="55"/>
      <c r="M12" s="55"/>
      <c r="N12" s="69"/>
      <c r="O12" s="60"/>
      <c r="P12" s="64"/>
      <c r="Q12" s="149"/>
      <c r="R12" s="149"/>
      <c r="S12" s="149"/>
      <c r="T12" s="149"/>
      <c r="U12" s="149"/>
      <c r="V12" s="150"/>
      <c r="X12" s="65"/>
      <c r="Y12" s="65"/>
      <c r="Z12" s="65"/>
      <c r="AB12" s="65"/>
      <c r="AC12" s="65"/>
      <c r="AD12" s="65"/>
      <c r="AE12" s="65"/>
      <c r="AF12" s="65"/>
      <c r="AG12" s="65"/>
    </row>
    <row r="13" spans="1:33">
      <c r="D13" s="4"/>
      <c r="F13" s="55"/>
      <c r="G13" s="55"/>
      <c r="H13" s="55"/>
      <c r="I13" s="55"/>
      <c r="J13" s="55"/>
      <c r="K13" s="55"/>
      <c r="L13" s="55"/>
      <c r="M13" s="55"/>
      <c r="N13" s="69"/>
      <c r="O13" s="60"/>
      <c r="P13" s="64"/>
      <c r="Q13" s="149"/>
      <c r="R13" s="149"/>
      <c r="S13" s="149"/>
      <c r="T13" s="149"/>
      <c r="U13" s="149"/>
      <c r="V13" s="150"/>
      <c r="X13" s="65"/>
      <c r="Y13" s="65"/>
      <c r="Z13" s="65"/>
      <c r="AB13" s="65"/>
      <c r="AC13" s="65"/>
      <c r="AD13" s="65"/>
      <c r="AE13" s="65"/>
      <c r="AF13" s="65"/>
      <c r="AG13" s="65"/>
    </row>
    <row r="14" spans="1:33">
      <c r="D14" s="4"/>
      <c r="F14" s="55"/>
      <c r="G14" s="55"/>
      <c r="H14" s="55"/>
      <c r="I14" s="55"/>
      <c r="J14" s="55"/>
      <c r="K14" s="55"/>
      <c r="L14" s="55"/>
      <c r="M14" s="55"/>
      <c r="N14" s="69"/>
      <c r="O14" s="60"/>
      <c r="P14" s="64"/>
      <c r="Q14" s="149"/>
      <c r="R14" s="149"/>
      <c r="S14" s="149"/>
      <c r="T14" s="149"/>
      <c r="U14" s="149"/>
      <c r="V14" s="150"/>
      <c r="X14" s="65"/>
      <c r="Y14" s="65"/>
      <c r="Z14" s="65"/>
      <c r="AB14" s="65"/>
      <c r="AC14" s="65"/>
      <c r="AD14" s="65"/>
      <c r="AE14" s="65"/>
      <c r="AF14" s="65"/>
      <c r="AG14" s="65"/>
    </row>
    <row r="15" spans="1:33">
      <c r="D15" s="4"/>
      <c r="F15" s="55"/>
      <c r="G15" s="55"/>
      <c r="H15" s="55"/>
      <c r="I15" s="55"/>
      <c r="J15" s="55"/>
      <c r="K15" s="55"/>
      <c r="L15" s="55"/>
      <c r="M15" s="55"/>
      <c r="N15" s="69"/>
      <c r="O15" s="60"/>
      <c r="P15" s="64"/>
      <c r="Q15" s="149"/>
      <c r="R15" s="149"/>
      <c r="S15" s="149"/>
      <c r="T15" s="149"/>
      <c r="U15" s="149"/>
      <c r="V15" s="150"/>
      <c r="X15" s="65"/>
      <c r="Y15" s="65"/>
      <c r="Z15" s="65"/>
      <c r="AB15" s="65"/>
      <c r="AC15" s="65"/>
      <c r="AD15" s="65"/>
      <c r="AE15" s="65"/>
      <c r="AF15" s="65"/>
      <c r="AG15" s="65"/>
    </row>
    <row r="16" spans="1:33">
      <c r="D16" s="4"/>
      <c r="F16" s="55"/>
      <c r="G16" s="55"/>
      <c r="H16" s="55"/>
      <c r="I16" s="55"/>
      <c r="J16" s="55"/>
      <c r="K16" s="55"/>
      <c r="L16" s="55"/>
      <c r="M16" s="55"/>
      <c r="N16" s="69"/>
      <c r="O16" s="60"/>
      <c r="P16" s="64"/>
      <c r="Q16" s="149"/>
      <c r="R16" s="149"/>
      <c r="S16" s="149"/>
      <c r="T16" s="149"/>
      <c r="U16" s="149"/>
      <c r="V16" s="150"/>
      <c r="X16" s="65"/>
      <c r="Y16" s="65"/>
      <c r="Z16" s="65"/>
      <c r="AB16" s="65"/>
      <c r="AC16" s="65"/>
      <c r="AD16" s="65"/>
      <c r="AE16" s="65"/>
      <c r="AF16" s="65"/>
      <c r="AG16" s="65"/>
    </row>
    <row r="17" spans="4:33">
      <c r="D17" s="4"/>
      <c r="F17" s="55"/>
      <c r="G17" s="55"/>
      <c r="H17" s="55"/>
      <c r="I17" s="55"/>
      <c r="J17" s="55"/>
      <c r="K17" s="55"/>
      <c r="L17" s="55"/>
      <c r="M17" s="55"/>
      <c r="N17" s="69"/>
      <c r="O17" s="60"/>
      <c r="P17" s="64"/>
      <c r="Q17" s="149"/>
      <c r="R17" s="149"/>
      <c r="S17" s="149"/>
      <c r="T17" s="149"/>
      <c r="U17" s="149"/>
      <c r="V17" s="150"/>
      <c r="X17" s="65"/>
      <c r="Y17" s="65"/>
      <c r="Z17" s="65"/>
      <c r="AB17" s="65"/>
      <c r="AC17" s="65"/>
      <c r="AD17" s="65"/>
      <c r="AE17" s="65"/>
      <c r="AF17" s="65"/>
      <c r="AG17" s="65"/>
    </row>
    <row r="18" spans="4:33">
      <c r="D18" s="4"/>
      <c r="F18" s="55"/>
      <c r="G18" s="55"/>
      <c r="H18" s="55"/>
      <c r="I18" s="55"/>
      <c r="J18" s="55"/>
      <c r="K18" s="55"/>
      <c r="L18" s="55"/>
      <c r="M18" s="55"/>
      <c r="N18" s="69"/>
      <c r="O18" s="60"/>
      <c r="P18" s="64"/>
      <c r="Q18" s="149"/>
      <c r="R18" s="149"/>
      <c r="S18" s="149"/>
      <c r="T18" s="149"/>
      <c r="U18" s="149"/>
      <c r="V18" s="150"/>
      <c r="X18" s="65"/>
      <c r="Y18" s="65"/>
      <c r="Z18" s="65"/>
      <c r="AB18" s="65"/>
      <c r="AC18" s="65"/>
      <c r="AD18" s="65"/>
      <c r="AE18" s="65"/>
      <c r="AF18" s="65"/>
      <c r="AG18" s="65"/>
    </row>
    <row r="19" spans="4:33" ht="11.25" customHeight="1">
      <c r="D19" s="4"/>
      <c r="F19" s="55"/>
      <c r="G19" s="55"/>
      <c r="H19" s="55"/>
      <c r="I19" s="55"/>
      <c r="J19" s="55"/>
      <c r="K19" s="55"/>
      <c r="L19" s="55"/>
      <c r="M19" s="55"/>
      <c r="N19" s="69"/>
      <c r="O19" s="60"/>
      <c r="P19" s="64"/>
      <c r="Q19" s="149"/>
      <c r="R19" s="149"/>
      <c r="S19" s="149"/>
      <c r="T19" s="149"/>
      <c r="U19" s="149"/>
      <c r="V19" s="150"/>
      <c r="X19" s="65"/>
      <c r="Y19" s="65"/>
      <c r="Z19" s="65"/>
      <c r="AB19" s="65"/>
      <c r="AC19" s="65"/>
      <c r="AD19" s="65"/>
      <c r="AE19" s="65"/>
      <c r="AF19" s="65"/>
      <c r="AG19" s="65"/>
    </row>
    <row r="20" spans="4:33">
      <c r="D20" s="4"/>
      <c r="F20" s="55"/>
      <c r="G20" s="55"/>
      <c r="H20" s="55"/>
      <c r="I20" s="55"/>
      <c r="J20" s="55"/>
      <c r="K20" s="55"/>
      <c r="L20" s="55"/>
      <c r="M20" s="55"/>
      <c r="N20" s="69"/>
      <c r="O20" s="60"/>
      <c r="P20" s="64"/>
      <c r="Q20" s="149"/>
      <c r="R20" s="149"/>
      <c r="S20" s="149"/>
      <c r="T20" s="149"/>
      <c r="U20" s="149"/>
      <c r="V20" s="150"/>
      <c r="X20" s="65"/>
      <c r="Y20" s="65"/>
      <c r="Z20" s="65"/>
      <c r="AB20" s="65"/>
      <c r="AC20" s="65"/>
      <c r="AD20" s="65"/>
      <c r="AE20" s="65"/>
      <c r="AF20" s="65"/>
      <c r="AG20" s="65"/>
    </row>
    <row r="21" spans="4:33">
      <c r="D21" s="4"/>
      <c r="F21" s="55"/>
      <c r="G21" s="55"/>
      <c r="H21" s="55"/>
      <c r="I21" s="55"/>
      <c r="J21" s="55"/>
      <c r="K21" s="55"/>
      <c r="L21" s="55"/>
      <c r="M21" s="55"/>
      <c r="N21" s="69"/>
      <c r="O21" s="60"/>
      <c r="P21" s="64"/>
      <c r="Q21" s="149"/>
      <c r="R21" s="149"/>
      <c r="S21" s="149"/>
      <c r="T21" s="149"/>
      <c r="U21" s="149"/>
      <c r="V21" s="150"/>
      <c r="X21" s="65"/>
      <c r="Y21" s="65"/>
      <c r="Z21" s="65"/>
      <c r="AB21" s="65"/>
      <c r="AC21" s="65"/>
      <c r="AD21" s="65"/>
      <c r="AE21" s="65"/>
      <c r="AF21" s="65"/>
      <c r="AG21" s="65"/>
    </row>
    <row r="22" spans="4:33">
      <c r="D22" s="41"/>
      <c r="F22" s="55"/>
      <c r="G22" s="55"/>
      <c r="H22" s="55"/>
      <c r="I22" s="55"/>
      <c r="J22" s="55"/>
      <c r="K22" s="55"/>
      <c r="L22" s="55"/>
      <c r="M22" s="55"/>
      <c r="N22" s="69"/>
      <c r="O22" s="60"/>
      <c r="P22" s="64"/>
      <c r="Q22" s="149"/>
      <c r="R22" s="149"/>
      <c r="S22" s="149"/>
      <c r="T22" s="149"/>
      <c r="U22" s="149"/>
      <c r="V22" s="150"/>
      <c r="X22" s="65"/>
      <c r="Y22" s="65"/>
      <c r="Z22" s="65"/>
      <c r="AB22" s="65"/>
      <c r="AC22" s="65"/>
      <c r="AD22" s="65"/>
      <c r="AE22" s="65"/>
      <c r="AF22" s="65"/>
      <c r="AG22" s="65"/>
    </row>
    <row r="23" spans="4:33">
      <c r="E23" s="55"/>
      <c r="F23" s="55"/>
      <c r="G23" s="55"/>
      <c r="H23" s="55"/>
      <c r="I23" s="55"/>
      <c r="J23" s="55"/>
      <c r="K23" s="55"/>
      <c r="L23" s="55"/>
      <c r="M23" s="55"/>
      <c r="N23" s="69"/>
      <c r="O23" s="61"/>
      <c r="P23" s="64"/>
      <c r="Q23" s="149"/>
      <c r="R23" s="149"/>
      <c r="S23" s="149"/>
      <c r="T23" s="149"/>
      <c r="U23" s="149"/>
      <c r="V23" s="150"/>
      <c r="X23" s="65"/>
      <c r="Y23" s="65"/>
      <c r="Z23" s="65"/>
      <c r="AB23" s="65"/>
      <c r="AC23" s="65"/>
      <c r="AD23" s="65"/>
      <c r="AE23" s="65"/>
      <c r="AF23" s="65"/>
      <c r="AG23" s="65"/>
    </row>
    <row r="24" spans="4:33">
      <c r="F24" s="55"/>
      <c r="G24" s="55"/>
      <c r="H24" s="55"/>
      <c r="I24" s="55"/>
      <c r="J24" s="55"/>
      <c r="K24" s="55"/>
      <c r="L24" s="55"/>
      <c r="M24" s="55"/>
      <c r="N24" s="70"/>
      <c r="O24" s="61"/>
      <c r="P24" s="64"/>
      <c r="Q24" s="149"/>
      <c r="R24" s="149"/>
      <c r="S24" s="149"/>
      <c r="T24" s="149"/>
      <c r="U24" s="149"/>
      <c r="V24" s="150"/>
      <c r="X24" s="65"/>
      <c r="Y24" s="65"/>
      <c r="Z24" s="65"/>
      <c r="AB24" s="65"/>
      <c r="AC24" s="65"/>
      <c r="AD24" s="65"/>
      <c r="AE24" s="65"/>
      <c r="AF24" s="65"/>
      <c r="AG24" s="65"/>
    </row>
    <row r="25" spans="4:33">
      <c r="F25" s="55"/>
      <c r="G25" s="55"/>
      <c r="H25" s="55"/>
      <c r="I25" s="55"/>
      <c r="J25" s="55"/>
      <c r="K25" s="55"/>
      <c r="L25" s="55"/>
      <c r="M25" s="55"/>
      <c r="N25" s="69"/>
      <c r="O25" s="60"/>
      <c r="P25" s="64"/>
      <c r="Q25" s="149"/>
      <c r="R25" s="149"/>
      <c r="S25" s="149"/>
      <c r="T25" s="149"/>
      <c r="U25" s="149"/>
      <c r="V25" s="150"/>
      <c r="X25" s="65"/>
      <c r="Y25" s="65"/>
      <c r="Z25" s="65"/>
      <c r="AB25" s="65"/>
      <c r="AC25" s="65"/>
      <c r="AD25" s="65"/>
      <c r="AE25" s="65"/>
      <c r="AF25" s="65"/>
      <c r="AG25" s="65"/>
    </row>
    <row r="26" spans="4:33">
      <c r="F26" s="55"/>
      <c r="G26" s="55"/>
      <c r="H26" s="55"/>
      <c r="I26" s="55"/>
      <c r="J26" s="55"/>
      <c r="K26" s="55"/>
      <c r="L26" s="55"/>
      <c r="M26" s="55"/>
      <c r="N26" s="69"/>
      <c r="O26" s="60"/>
      <c r="P26" s="64"/>
      <c r="Q26" s="149"/>
      <c r="R26" s="149"/>
      <c r="S26" s="149"/>
      <c r="T26" s="149"/>
      <c r="U26" s="149"/>
      <c r="V26" s="150"/>
      <c r="X26" s="65"/>
      <c r="Y26" s="65"/>
      <c r="Z26" s="65"/>
      <c r="AB26" s="65"/>
      <c r="AC26" s="65"/>
      <c r="AD26" s="65"/>
      <c r="AE26" s="65"/>
      <c r="AF26" s="65"/>
      <c r="AG26" s="65"/>
    </row>
    <row r="27" spans="4:33">
      <c r="F27" s="55"/>
      <c r="G27" s="55"/>
      <c r="H27" s="55"/>
      <c r="I27" s="55"/>
      <c r="J27" s="55"/>
      <c r="K27" s="55"/>
      <c r="L27" s="55"/>
      <c r="M27" s="55"/>
      <c r="N27" s="69"/>
      <c r="O27" s="60"/>
      <c r="P27" s="64"/>
      <c r="Q27" s="149"/>
      <c r="R27" s="149"/>
      <c r="S27" s="149"/>
      <c r="T27" s="149"/>
      <c r="U27" s="149"/>
      <c r="V27" s="150"/>
      <c r="X27" s="65"/>
      <c r="Y27" s="65"/>
      <c r="Z27" s="65"/>
      <c r="AB27" s="65"/>
      <c r="AC27" s="65"/>
      <c r="AD27" s="65"/>
      <c r="AE27" s="65"/>
      <c r="AF27" s="65"/>
      <c r="AG27" s="65"/>
    </row>
    <row r="28" spans="4:33">
      <c r="F28" s="55"/>
      <c r="G28" s="55"/>
      <c r="H28" s="55"/>
      <c r="I28" s="55"/>
      <c r="J28" s="55"/>
      <c r="K28" s="55"/>
      <c r="L28" s="55"/>
      <c r="M28" s="55"/>
      <c r="N28" s="69"/>
      <c r="O28" s="60"/>
      <c r="P28" s="64"/>
      <c r="Q28" s="149"/>
      <c r="R28" s="149"/>
      <c r="S28" s="149"/>
      <c r="T28" s="149"/>
      <c r="U28" s="149"/>
      <c r="V28" s="150"/>
      <c r="X28" s="65"/>
      <c r="Y28" s="65"/>
      <c r="Z28" s="65"/>
      <c r="AB28" s="65"/>
      <c r="AC28" s="65"/>
      <c r="AD28" s="65"/>
      <c r="AE28" s="65"/>
      <c r="AF28" s="65"/>
      <c r="AG28" s="65"/>
    </row>
    <row r="29" spans="4:33">
      <c r="F29" s="55"/>
      <c r="G29" s="55"/>
      <c r="H29" s="55"/>
      <c r="I29" s="55"/>
      <c r="J29" s="55"/>
      <c r="K29" s="55"/>
      <c r="L29" s="55"/>
      <c r="M29" s="55"/>
      <c r="N29" s="69"/>
      <c r="O29" s="60"/>
      <c r="P29" s="64"/>
      <c r="Q29" s="149"/>
      <c r="R29" s="149"/>
      <c r="S29" s="149"/>
      <c r="T29" s="149"/>
      <c r="U29" s="149"/>
      <c r="V29" s="150"/>
      <c r="X29" s="65"/>
      <c r="Y29" s="65"/>
      <c r="Z29" s="65"/>
      <c r="AB29" s="65"/>
      <c r="AC29" s="65"/>
      <c r="AD29" s="65"/>
      <c r="AE29" s="65"/>
      <c r="AF29" s="65"/>
      <c r="AG29" s="65"/>
    </row>
    <row r="30" spans="4:33">
      <c r="E30" s="67"/>
      <c r="F30" s="55"/>
      <c r="G30" s="55"/>
      <c r="H30" s="55"/>
      <c r="I30" s="55"/>
      <c r="J30" s="55"/>
      <c r="K30" s="55"/>
      <c r="L30" s="55"/>
      <c r="M30" s="55"/>
      <c r="N30" s="69"/>
      <c r="O30" s="60"/>
      <c r="P30" s="64"/>
      <c r="Q30" s="149"/>
      <c r="R30" s="149"/>
      <c r="S30" s="149"/>
      <c r="T30" s="149"/>
      <c r="U30" s="149"/>
      <c r="V30" s="150"/>
      <c r="X30" s="65"/>
      <c r="Y30" s="65"/>
      <c r="Z30" s="65"/>
      <c r="AA30" s="65"/>
      <c r="AB30" s="65"/>
      <c r="AC30" s="65"/>
      <c r="AD30" s="65"/>
      <c r="AE30" s="65"/>
      <c r="AF30" s="65"/>
      <c r="AG30" s="65"/>
    </row>
    <row r="31" spans="4:33">
      <c r="F31" s="55"/>
      <c r="G31" s="55"/>
      <c r="H31" s="55"/>
      <c r="I31" s="55"/>
      <c r="J31" s="55"/>
      <c r="K31" s="55"/>
      <c r="L31" s="55"/>
      <c r="M31" s="55"/>
      <c r="N31" s="69"/>
      <c r="O31" s="60"/>
      <c r="P31" s="64"/>
      <c r="Q31" s="149"/>
      <c r="R31" s="149"/>
      <c r="S31" s="149"/>
      <c r="T31" s="149"/>
      <c r="U31" s="149"/>
      <c r="V31" s="150"/>
      <c r="X31" s="65"/>
      <c r="Y31" s="65"/>
      <c r="Z31" s="65"/>
      <c r="AA31" s="65"/>
      <c r="AB31" s="65"/>
      <c r="AC31" s="65"/>
      <c r="AD31" s="65"/>
      <c r="AE31" s="65"/>
      <c r="AF31" s="65"/>
      <c r="AG31" s="65"/>
    </row>
    <row r="32" spans="4:33">
      <c r="F32" s="55"/>
      <c r="G32" s="55"/>
      <c r="H32" s="55"/>
      <c r="I32" s="55"/>
      <c r="J32" s="55"/>
      <c r="K32" s="55"/>
      <c r="L32" s="55"/>
      <c r="M32" s="55"/>
      <c r="N32" s="69"/>
      <c r="O32" s="60"/>
      <c r="P32" s="64"/>
      <c r="Q32" s="149"/>
      <c r="R32" s="149"/>
      <c r="S32" s="149"/>
      <c r="T32" s="149"/>
      <c r="U32" s="149"/>
      <c r="V32" s="150"/>
      <c r="X32" s="65"/>
      <c r="Y32" s="65"/>
      <c r="Z32" s="65"/>
      <c r="AA32" s="65"/>
      <c r="AB32" s="65"/>
      <c r="AC32" s="65"/>
      <c r="AD32" s="65"/>
      <c r="AE32" s="65"/>
      <c r="AF32" s="65"/>
      <c r="AG32" s="65"/>
    </row>
    <row r="33" spans="4:33">
      <c r="E33" s="54"/>
      <c r="F33" s="55"/>
      <c r="G33" s="55"/>
      <c r="H33" s="55"/>
      <c r="I33" s="55"/>
      <c r="J33" s="55"/>
      <c r="K33" s="55"/>
      <c r="L33" s="55"/>
      <c r="M33" s="55"/>
      <c r="N33" s="69"/>
      <c r="O33" s="60"/>
      <c r="P33" s="64"/>
      <c r="Q33" s="149"/>
      <c r="R33" s="149"/>
      <c r="S33" s="149"/>
      <c r="T33" s="149"/>
      <c r="U33" s="149"/>
      <c r="V33" s="150"/>
      <c r="X33" s="65"/>
      <c r="Y33" s="65"/>
      <c r="Z33" s="65"/>
      <c r="AA33" s="65"/>
      <c r="AB33" s="65"/>
      <c r="AC33" s="65"/>
      <c r="AD33" s="65"/>
      <c r="AE33" s="65"/>
      <c r="AF33" s="65"/>
      <c r="AG33" s="65"/>
    </row>
    <row r="34" spans="4:33">
      <c r="E34" s="54"/>
      <c r="F34" s="55"/>
      <c r="G34" s="55"/>
      <c r="H34" s="55"/>
      <c r="I34" s="55"/>
      <c r="J34" s="55"/>
      <c r="K34" s="55"/>
      <c r="L34" s="55"/>
      <c r="M34" s="55"/>
      <c r="N34" s="69"/>
      <c r="O34" s="60"/>
      <c r="P34" s="64"/>
      <c r="Q34" s="149"/>
      <c r="R34" s="149"/>
      <c r="S34" s="149"/>
      <c r="T34" s="149"/>
      <c r="U34" s="149"/>
      <c r="V34" s="150"/>
      <c r="X34" s="65"/>
      <c r="Y34" s="65"/>
      <c r="Z34" s="65"/>
      <c r="AA34" s="65"/>
      <c r="AB34" s="65"/>
      <c r="AC34" s="65"/>
      <c r="AD34" s="65"/>
      <c r="AE34" s="65"/>
      <c r="AF34" s="65"/>
      <c r="AG34" s="65"/>
    </row>
    <row r="35" spans="4:33">
      <c r="E35" s="54"/>
      <c r="F35" s="55"/>
      <c r="G35" s="55"/>
      <c r="H35" s="55"/>
      <c r="I35" s="55"/>
      <c r="J35" s="55"/>
      <c r="K35" s="55"/>
      <c r="L35" s="55"/>
      <c r="M35" s="55"/>
      <c r="N35" s="69"/>
      <c r="O35" s="60"/>
      <c r="P35" s="64"/>
      <c r="Q35" s="149"/>
      <c r="R35" s="149"/>
      <c r="S35" s="149"/>
      <c r="T35" s="149"/>
      <c r="U35" s="149"/>
      <c r="V35" s="150"/>
      <c r="X35" s="65"/>
      <c r="Y35" s="65"/>
      <c r="Z35" s="65"/>
      <c r="AA35" s="65"/>
      <c r="AB35" s="65"/>
      <c r="AC35" s="65"/>
      <c r="AD35" s="65"/>
      <c r="AE35" s="65"/>
      <c r="AF35" s="65"/>
      <c r="AG35" s="65"/>
    </row>
    <row r="36" spans="4:33">
      <c r="E36" s="54"/>
      <c r="F36" s="55"/>
      <c r="G36" s="55"/>
      <c r="H36" s="55"/>
      <c r="I36" s="55"/>
      <c r="J36" s="55"/>
      <c r="K36" s="55"/>
      <c r="L36" s="55"/>
      <c r="M36" s="55"/>
      <c r="N36" s="69"/>
      <c r="O36" s="60"/>
      <c r="P36" s="64"/>
      <c r="Q36" s="149"/>
      <c r="R36" s="149"/>
      <c r="S36" s="149"/>
      <c r="T36" s="149"/>
      <c r="U36" s="149"/>
      <c r="V36" s="150"/>
      <c r="X36" s="65"/>
      <c r="Y36" s="65"/>
      <c r="Z36" s="65"/>
      <c r="AA36" s="65"/>
      <c r="AB36" s="65"/>
      <c r="AC36" s="65"/>
      <c r="AD36" s="65"/>
      <c r="AE36" s="65"/>
      <c r="AF36" s="65"/>
      <c r="AG36" s="65"/>
    </row>
    <row r="37" spans="4:33">
      <c r="E37" s="54"/>
      <c r="F37" s="55"/>
      <c r="G37" s="55"/>
      <c r="H37" s="55"/>
      <c r="I37" s="55"/>
      <c r="J37" s="55"/>
      <c r="K37" s="55"/>
      <c r="L37" s="55"/>
      <c r="M37" s="55"/>
      <c r="N37" s="69"/>
      <c r="O37" s="60"/>
      <c r="P37" s="64"/>
      <c r="Q37" s="149"/>
      <c r="R37" s="149"/>
      <c r="S37" s="149"/>
      <c r="T37" s="149"/>
      <c r="U37" s="149"/>
      <c r="V37" s="150"/>
      <c r="X37" s="65"/>
      <c r="Y37" s="65"/>
      <c r="Z37" s="65"/>
      <c r="AA37" s="65"/>
      <c r="AB37" s="65"/>
      <c r="AC37" s="65"/>
      <c r="AD37" s="65"/>
      <c r="AE37" s="65"/>
      <c r="AF37" s="65"/>
      <c r="AG37" s="65"/>
    </row>
    <row r="38" spans="4:33">
      <c r="E38" s="54"/>
      <c r="F38" s="55"/>
      <c r="G38" s="55"/>
      <c r="H38" s="55"/>
      <c r="I38" s="55"/>
      <c r="J38" s="55"/>
      <c r="K38" s="55"/>
      <c r="L38" s="55"/>
      <c r="M38" s="55"/>
      <c r="N38" s="69"/>
      <c r="O38" s="60"/>
      <c r="P38" s="64"/>
      <c r="Q38" s="149"/>
      <c r="R38" s="149"/>
      <c r="S38" s="149"/>
      <c r="T38" s="149"/>
      <c r="U38" s="149"/>
      <c r="V38" s="150"/>
      <c r="X38" s="65"/>
      <c r="Y38" s="65"/>
      <c r="Z38" s="65"/>
      <c r="AA38" s="65"/>
      <c r="AB38" s="65"/>
      <c r="AC38" s="65"/>
      <c r="AD38" s="65"/>
      <c r="AE38" s="65"/>
      <c r="AF38" s="65"/>
      <c r="AG38" s="65"/>
    </row>
    <row r="39" spans="4:33">
      <c r="D39" s="41"/>
      <c r="E39" s="54"/>
      <c r="F39" s="55"/>
      <c r="G39" s="55"/>
      <c r="H39" s="55"/>
      <c r="I39" s="55"/>
      <c r="J39" s="55"/>
      <c r="K39" s="55"/>
      <c r="L39" s="55"/>
      <c r="M39" s="55"/>
      <c r="N39" s="69"/>
      <c r="O39" s="60"/>
      <c r="P39" s="64"/>
      <c r="Q39" s="149"/>
      <c r="R39" s="149"/>
      <c r="S39" s="149"/>
      <c r="T39" s="149"/>
      <c r="U39" s="149"/>
      <c r="V39" s="150"/>
      <c r="X39" s="65"/>
      <c r="Y39" s="65"/>
      <c r="Z39" s="65"/>
      <c r="AA39" s="65"/>
      <c r="AB39" s="65"/>
      <c r="AC39" s="65"/>
      <c r="AD39" s="65"/>
      <c r="AE39" s="65"/>
      <c r="AF39" s="65"/>
      <c r="AG39" s="65"/>
    </row>
    <row r="40" spans="4:33">
      <c r="E40" s="54"/>
      <c r="F40" s="55"/>
      <c r="G40" s="55"/>
      <c r="H40" s="55"/>
      <c r="I40" s="55"/>
      <c r="J40" s="55"/>
      <c r="K40" s="55"/>
      <c r="L40" s="55"/>
      <c r="M40" s="55"/>
      <c r="N40" s="69"/>
      <c r="O40" s="60"/>
      <c r="P40" s="64"/>
      <c r="Q40" s="149"/>
      <c r="R40" s="149"/>
      <c r="S40" s="149"/>
      <c r="T40" s="149"/>
      <c r="U40" s="149"/>
      <c r="V40" s="150"/>
      <c r="X40" s="65"/>
      <c r="Y40" s="65"/>
      <c r="Z40" s="65"/>
      <c r="AA40" s="65"/>
      <c r="AB40" s="65"/>
      <c r="AC40" s="65"/>
      <c r="AD40" s="65"/>
      <c r="AE40" s="65"/>
      <c r="AF40" s="65"/>
      <c r="AG40" s="65"/>
    </row>
    <row r="41" spans="4:33">
      <c r="E41" s="54"/>
      <c r="F41" s="55"/>
      <c r="G41" s="55"/>
      <c r="H41" s="55"/>
      <c r="I41" s="55"/>
      <c r="J41" s="55"/>
      <c r="K41" s="55"/>
      <c r="L41" s="55"/>
      <c r="M41" s="55"/>
      <c r="N41" s="69"/>
      <c r="O41" s="60"/>
      <c r="P41" s="64"/>
      <c r="Q41" s="149"/>
      <c r="R41" s="149"/>
      <c r="S41" s="149"/>
      <c r="T41" s="149"/>
      <c r="U41" s="149"/>
      <c r="V41" s="150"/>
      <c r="X41" s="65"/>
      <c r="Y41" s="65"/>
      <c r="Z41" s="65"/>
      <c r="AA41" s="65"/>
      <c r="AB41" s="65"/>
      <c r="AC41" s="65"/>
      <c r="AD41" s="65"/>
      <c r="AE41" s="65"/>
      <c r="AF41" s="65"/>
      <c r="AG41" s="65"/>
    </row>
    <row r="42" spans="4:33">
      <c r="E42" s="54"/>
      <c r="F42" s="55"/>
      <c r="G42" s="55"/>
      <c r="H42" s="55"/>
      <c r="I42" s="55"/>
      <c r="J42" s="55"/>
      <c r="K42" s="55"/>
      <c r="L42" s="55"/>
      <c r="M42" s="55"/>
      <c r="N42" s="69"/>
      <c r="O42" s="60"/>
      <c r="P42" s="64"/>
      <c r="Q42" s="149"/>
      <c r="R42" s="149"/>
      <c r="S42" s="149"/>
      <c r="T42" s="149"/>
      <c r="U42" s="149"/>
      <c r="V42" s="150"/>
      <c r="X42" s="65"/>
      <c r="Y42" s="65"/>
      <c r="Z42" s="65"/>
      <c r="AA42" s="65"/>
      <c r="AB42" s="65"/>
      <c r="AC42" s="65"/>
      <c r="AD42" s="65"/>
      <c r="AE42" s="65"/>
      <c r="AF42" s="65"/>
      <c r="AG42" s="65"/>
    </row>
    <row r="43" spans="4:33">
      <c r="E43" s="54"/>
      <c r="F43" s="55"/>
      <c r="G43" s="55"/>
      <c r="H43" s="55"/>
      <c r="I43" s="55"/>
      <c r="J43" s="55"/>
      <c r="K43" s="55"/>
      <c r="L43" s="55"/>
      <c r="M43" s="55"/>
      <c r="N43" s="69"/>
      <c r="O43" s="60"/>
      <c r="P43" s="64"/>
      <c r="Q43" s="149"/>
      <c r="R43" s="149"/>
      <c r="S43" s="149"/>
      <c r="T43" s="149"/>
      <c r="U43" s="149"/>
      <c r="V43" s="150"/>
      <c r="X43" s="65"/>
      <c r="Y43" s="65"/>
      <c r="Z43" s="65"/>
      <c r="AA43" s="65"/>
      <c r="AB43" s="65"/>
      <c r="AC43" s="65"/>
      <c r="AD43" s="65"/>
      <c r="AE43" s="65"/>
      <c r="AF43" s="65"/>
      <c r="AG43" s="65"/>
    </row>
    <row r="44" spans="4:33">
      <c r="E44" s="54"/>
      <c r="F44" s="55"/>
      <c r="G44" s="55"/>
      <c r="H44" s="55"/>
      <c r="I44" s="55"/>
      <c r="J44" s="55"/>
      <c r="K44" s="55"/>
      <c r="L44" s="55"/>
      <c r="M44" s="55"/>
      <c r="N44" s="69"/>
      <c r="O44" s="60"/>
      <c r="P44" s="64"/>
      <c r="Q44" s="149"/>
      <c r="R44" s="149"/>
      <c r="S44" s="149"/>
      <c r="T44" s="149"/>
      <c r="U44" s="149"/>
      <c r="V44" s="150"/>
      <c r="X44" s="65"/>
      <c r="Y44" s="65"/>
      <c r="Z44" s="65"/>
      <c r="AA44" s="65"/>
      <c r="AB44" s="65"/>
      <c r="AC44" s="65"/>
      <c r="AD44" s="65"/>
      <c r="AE44" s="65"/>
      <c r="AF44" s="65"/>
      <c r="AG44" s="65"/>
    </row>
    <row r="45" spans="4:33">
      <c r="E45" s="59"/>
      <c r="F45" s="55"/>
      <c r="G45" s="55"/>
      <c r="H45" s="55"/>
      <c r="I45" s="55"/>
      <c r="J45" s="55"/>
      <c r="K45" s="55"/>
      <c r="L45" s="55"/>
      <c r="M45" s="55"/>
      <c r="N45" s="69"/>
      <c r="O45" s="60"/>
      <c r="P45" s="64"/>
      <c r="Q45" s="149"/>
      <c r="R45" s="149"/>
      <c r="S45" s="149"/>
      <c r="T45" s="149"/>
      <c r="U45" s="149"/>
      <c r="V45" s="150"/>
      <c r="X45" s="65"/>
      <c r="Y45" s="65"/>
      <c r="Z45" s="65"/>
      <c r="AA45" s="65"/>
      <c r="AB45" s="65"/>
      <c r="AC45" s="65"/>
      <c r="AD45" s="65"/>
      <c r="AE45" s="65"/>
      <c r="AF45" s="65"/>
      <c r="AG45" s="65"/>
    </row>
    <row r="46" spans="4:33">
      <c r="E46" s="59"/>
      <c r="F46" s="55"/>
      <c r="G46" s="55"/>
      <c r="H46" s="55"/>
      <c r="I46" s="55"/>
      <c r="J46" s="55"/>
      <c r="K46" s="55"/>
      <c r="L46" s="55"/>
      <c r="M46" s="55"/>
      <c r="N46" s="69"/>
      <c r="O46" s="60"/>
      <c r="P46" s="64"/>
      <c r="Q46" s="149"/>
      <c r="R46" s="149"/>
      <c r="S46" s="149"/>
      <c r="T46" s="149"/>
      <c r="U46" s="149"/>
      <c r="V46" s="150"/>
      <c r="X46" s="65"/>
      <c r="Y46" s="65"/>
      <c r="Z46" s="65"/>
      <c r="AA46" s="65"/>
      <c r="AB46" s="65"/>
      <c r="AC46" s="65"/>
      <c r="AD46" s="65"/>
      <c r="AE46" s="65"/>
      <c r="AF46" s="65"/>
      <c r="AG46" s="65"/>
    </row>
    <row r="47" spans="4:33">
      <c r="E47" s="59"/>
      <c r="F47" s="55"/>
      <c r="G47" s="55"/>
      <c r="H47" s="55"/>
      <c r="I47" s="55"/>
      <c r="J47" s="55"/>
      <c r="K47" s="55"/>
      <c r="L47" s="55"/>
      <c r="M47" s="55"/>
      <c r="N47" s="69"/>
      <c r="O47" s="60"/>
      <c r="P47" s="64"/>
      <c r="Q47" s="149"/>
      <c r="R47" s="149"/>
      <c r="S47" s="149"/>
      <c r="T47" s="149"/>
      <c r="U47" s="149"/>
      <c r="V47" s="150"/>
      <c r="X47" s="65"/>
      <c r="Y47" s="65"/>
      <c r="Z47" s="65"/>
      <c r="AA47" s="65"/>
      <c r="AB47" s="65"/>
      <c r="AC47" s="65"/>
      <c r="AD47" s="65"/>
      <c r="AE47" s="65"/>
      <c r="AF47" s="65"/>
      <c r="AG47" s="65"/>
    </row>
    <row r="48" spans="4:33">
      <c r="E48" s="59"/>
      <c r="F48" s="55"/>
      <c r="G48" s="55"/>
      <c r="H48" s="55"/>
      <c r="I48" s="55"/>
      <c r="J48" s="55"/>
      <c r="K48" s="55"/>
      <c r="L48" s="55"/>
      <c r="M48" s="55"/>
      <c r="N48" s="69"/>
      <c r="O48" s="60"/>
      <c r="P48" s="64"/>
      <c r="Q48" s="149"/>
      <c r="R48" s="149"/>
      <c r="S48" s="149"/>
      <c r="T48" s="149"/>
      <c r="U48" s="149"/>
      <c r="V48" s="150"/>
      <c r="X48" s="65"/>
      <c r="Y48" s="65"/>
      <c r="Z48" s="65"/>
      <c r="AA48" s="65"/>
      <c r="AB48" s="65"/>
      <c r="AC48" s="65"/>
      <c r="AD48" s="65"/>
      <c r="AE48" s="65"/>
      <c r="AF48" s="65"/>
      <c r="AG48" s="65"/>
    </row>
    <row r="49" spans="5:33">
      <c r="E49" s="59"/>
      <c r="F49" s="55"/>
      <c r="G49" s="55"/>
      <c r="H49" s="55"/>
      <c r="I49" s="55"/>
      <c r="J49" s="55"/>
      <c r="K49" s="55"/>
      <c r="L49" s="55"/>
      <c r="M49" s="55"/>
      <c r="N49" s="69"/>
      <c r="O49" s="60"/>
      <c r="P49" s="64"/>
      <c r="Q49" s="149"/>
      <c r="R49" s="149"/>
      <c r="S49" s="149"/>
      <c r="T49" s="149"/>
      <c r="U49" s="149"/>
      <c r="V49" s="150"/>
      <c r="X49" s="65"/>
      <c r="Y49" s="65"/>
      <c r="Z49" s="65"/>
      <c r="AA49" s="65"/>
      <c r="AB49" s="65"/>
      <c r="AC49" s="65"/>
      <c r="AD49" s="65"/>
      <c r="AE49" s="65"/>
      <c r="AF49" s="65"/>
      <c r="AG49" s="65"/>
    </row>
    <row r="50" spans="5:33">
      <c r="E50" s="59"/>
      <c r="F50" s="55"/>
      <c r="G50" s="55"/>
      <c r="H50" s="55"/>
      <c r="I50" s="55"/>
      <c r="J50" s="55"/>
      <c r="K50" s="55"/>
      <c r="L50" s="55"/>
      <c r="M50" s="55"/>
      <c r="N50" s="69"/>
      <c r="O50" s="60"/>
      <c r="P50" s="64"/>
      <c r="Q50" s="149"/>
      <c r="R50" s="149"/>
      <c r="S50" s="149"/>
      <c r="T50" s="149"/>
      <c r="U50" s="149"/>
      <c r="V50" s="150"/>
      <c r="X50" s="65"/>
      <c r="Y50" s="65"/>
      <c r="Z50" s="65"/>
      <c r="AA50" s="65"/>
      <c r="AB50" s="65"/>
      <c r="AC50" s="65"/>
      <c r="AD50" s="65"/>
      <c r="AE50" s="65"/>
      <c r="AF50" s="65"/>
      <c r="AG50" s="65"/>
    </row>
    <row r="51" spans="5:33">
      <c r="E51" s="59"/>
      <c r="F51" s="55"/>
      <c r="G51" s="55"/>
      <c r="H51" s="55"/>
      <c r="I51" s="55"/>
      <c r="J51" s="55"/>
      <c r="K51" s="55"/>
      <c r="L51" s="55"/>
      <c r="M51" s="55"/>
      <c r="N51" s="69"/>
      <c r="O51" s="60"/>
      <c r="P51" s="64"/>
      <c r="Q51" s="149"/>
      <c r="R51" s="149"/>
      <c r="S51" s="149"/>
      <c r="T51" s="149"/>
      <c r="U51" s="149"/>
      <c r="V51" s="150"/>
      <c r="X51" s="65"/>
      <c r="Y51" s="65"/>
      <c r="Z51" s="65"/>
      <c r="AA51" s="65"/>
      <c r="AB51" s="65"/>
      <c r="AC51" s="65"/>
      <c r="AD51" s="65"/>
      <c r="AE51" s="65"/>
      <c r="AF51" s="65"/>
      <c r="AG51" s="65"/>
    </row>
    <row r="52" spans="5:33">
      <c r="E52" s="54"/>
      <c r="F52" s="55"/>
      <c r="G52" s="55"/>
      <c r="H52" s="55"/>
      <c r="I52" s="55"/>
      <c r="J52" s="55"/>
      <c r="K52" s="55"/>
      <c r="L52" s="55"/>
      <c r="M52" s="55"/>
      <c r="N52" s="69"/>
      <c r="O52" s="60"/>
      <c r="P52" s="64"/>
      <c r="Q52" s="149"/>
      <c r="R52" s="149"/>
      <c r="S52" s="149"/>
      <c r="T52" s="149"/>
      <c r="U52" s="149"/>
      <c r="V52" s="150"/>
      <c r="X52" s="65"/>
      <c r="Y52" s="65"/>
      <c r="Z52" s="65"/>
      <c r="AA52" s="65"/>
      <c r="AB52" s="65"/>
      <c r="AC52" s="65"/>
      <c r="AD52" s="65"/>
      <c r="AE52" s="65"/>
      <c r="AF52" s="65"/>
      <c r="AG52" s="65"/>
    </row>
    <row r="53" spans="5:33">
      <c r="E53" s="54"/>
      <c r="F53" s="55"/>
      <c r="G53" s="55"/>
      <c r="H53" s="55"/>
      <c r="I53" s="55"/>
      <c r="J53" s="55"/>
      <c r="K53" s="55"/>
      <c r="L53" s="55"/>
      <c r="M53" s="55"/>
      <c r="N53" s="69"/>
      <c r="O53" s="60"/>
      <c r="P53" s="64"/>
      <c r="Q53" s="149"/>
      <c r="R53" s="149"/>
      <c r="S53" s="149"/>
      <c r="T53" s="149"/>
      <c r="U53" s="149"/>
      <c r="V53" s="150"/>
      <c r="X53" s="65"/>
      <c r="Y53" s="65"/>
      <c r="Z53" s="65"/>
      <c r="AA53" s="65"/>
      <c r="AB53" s="65"/>
      <c r="AC53" s="65"/>
      <c r="AD53" s="65"/>
      <c r="AE53" s="65"/>
      <c r="AF53" s="65"/>
      <c r="AG53" s="65"/>
    </row>
    <row r="54" spans="5:33">
      <c r="E54" s="54"/>
      <c r="F54" s="55"/>
      <c r="G54" s="55"/>
      <c r="H54" s="55"/>
      <c r="I54" s="55"/>
      <c r="J54" s="55"/>
      <c r="K54" s="55"/>
      <c r="L54" s="55"/>
      <c r="M54" s="55"/>
      <c r="N54" s="69"/>
      <c r="O54" s="61">
        <v>42217</v>
      </c>
      <c r="P54" s="64"/>
      <c r="Q54" s="149"/>
      <c r="R54" s="149"/>
      <c r="S54" s="149"/>
      <c r="T54" s="149"/>
      <c r="U54" s="149"/>
      <c r="V54" s="150"/>
      <c r="X54" s="65"/>
      <c r="Y54" s="65"/>
      <c r="Z54" s="65"/>
      <c r="AA54" s="65"/>
      <c r="AB54" s="65"/>
    </row>
    <row r="55" spans="5:33">
      <c r="E55" s="54"/>
      <c r="F55" s="55"/>
      <c r="G55" s="55"/>
      <c r="H55" s="55"/>
      <c r="I55" s="55"/>
      <c r="J55" s="55"/>
      <c r="K55" s="55"/>
      <c r="L55" s="55"/>
      <c r="M55" s="55"/>
      <c r="N55" s="69"/>
      <c r="O55" s="61"/>
      <c r="P55" s="64"/>
      <c r="Q55" s="149"/>
      <c r="R55" s="149"/>
      <c r="S55" s="149"/>
      <c r="T55" s="149"/>
      <c r="U55" s="149"/>
      <c r="V55" s="150"/>
      <c r="X55" s="65"/>
      <c r="Y55" s="65"/>
      <c r="Z55" s="65"/>
      <c r="AA55" s="65"/>
      <c r="AB55" s="65"/>
    </row>
    <row r="56" spans="5:33">
      <c r="E56" s="54"/>
      <c r="F56" s="55"/>
      <c r="G56" s="55"/>
      <c r="H56" s="55"/>
      <c r="I56" s="55"/>
      <c r="J56" s="55"/>
      <c r="K56" s="55"/>
      <c r="L56" s="55"/>
      <c r="M56" s="55"/>
      <c r="N56" s="69"/>
      <c r="O56" s="60"/>
      <c r="P56" s="64"/>
      <c r="Q56" s="149"/>
      <c r="R56" s="149"/>
      <c r="S56" s="149"/>
      <c r="T56" s="149"/>
      <c r="U56" s="149"/>
      <c r="V56" s="150"/>
      <c r="X56" s="65"/>
      <c r="Y56" s="65"/>
      <c r="Z56" s="65"/>
      <c r="AA56" s="65"/>
      <c r="AB56" s="65"/>
    </row>
    <row r="57" spans="5:33">
      <c r="E57" s="66"/>
      <c r="F57" s="55"/>
      <c r="G57" s="55"/>
      <c r="H57" s="55"/>
      <c r="I57" s="55"/>
      <c r="J57" s="55"/>
      <c r="K57" s="55"/>
      <c r="L57" s="55"/>
      <c r="M57" s="55"/>
      <c r="N57" s="69"/>
      <c r="O57" s="60"/>
      <c r="P57" s="64"/>
      <c r="Q57" s="149"/>
      <c r="R57" s="149"/>
      <c r="S57" s="149"/>
      <c r="T57" s="149"/>
      <c r="U57" s="149"/>
      <c r="V57" s="150"/>
      <c r="X57" s="65"/>
      <c r="Y57" s="65"/>
      <c r="Z57" s="65"/>
      <c r="AA57" s="65"/>
      <c r="AB57" s="65"/>
    </row>
    <row r="58" spans="5:33">
      <c r="E58" s="66"/>
      <c r="F58" s="55"/>
      <c r="G58" s="55"/>
      <c r="H58" s="55"/>
      <c r="I58" s="55"/>
      <c r="J58" s="55"/>
      <c r="K58" s="55"/>
      <c r="L58" s="55"/>
      <c r="M58" s="55"/>
      <c r="N58" s="69"/>
      <c r="O58" s="60"/>
      <c r="P58" s="64"/>
      <c r="Q58" s="149"/>
      <c r="R58" s="149"/>
      <c r="S58" s="149"/>
      <c r="T58" s="149"/>
      <c r="U58" s="149"/>
      <c r="V58" s="150"/>
      <c r="X58" s="65"/>
      <c r="Y58" s="65"/>
      <c r="Z58" s="65"/>
      <c r="AA58" s="65"/>
      <c r="AB58" s="65"/>
    </row>
    <row r="59" spans="5:33">
      <c r="E59" s="66"/>
      <c r="F59" s="55"/>
      <c r="G59" s="55"/>
      <c r="H59" s="55"/>
      <c r="I59" s="55"/>
      <c r="J59" s="55"/>
      <c r="K59" s="55"/>
      <c r="L59" s="55"/>
      <c r="M59" s="55"/>
      <c r="N59" s="69"/>
      <c r="O59" s="60"/>
      <c r="P59" s="64"/>
      <c r="Q59" s="149"/>
      <c r="R59" s="149"/>
      <c r="S59" s="149"/>
      <c r="T59" s="149"/>
      <c r="U59" s="149"/>
      <c r="V59" s="150"/>
      <c r="X59" s="65"/>
      <c r="Y59" s="65"/>
      <c r="Z59" s="65"/>
      <c r="AA59" s="65"/>
      <c r="AB59" s="65"/>
    </row>
    <row r="60" spans="5:33">
      <c r="E60" s="66"/>
      <c r="F60" s="55"/>
      <c r="G60" s="55"/>
      <c r="H60" s="55"/>
      <c r="I60" s="55"/>
      <c r="J60" s="55"/>
      <c r="K60" s="55"/>
      <c r="L60" s="55"/>
      <c r="M60" s="55"/>
      <c r="N60" s="69"/>
      <c r="O60" s="60"/>
      <c r="P60" s="64"/>
      <c r="Q60" s="149"/>
      <c r="R60" s="149"/>
      <c r="S60" s="149"/>
      <c r="T60" s="149"/>
      <c r="U60" s="149"/>
      <c r="V60" s="150"/>
      <c r="X60" s="65"/>
      <c r="Y60" s="65"/>
      <c r="Z60" s="65"/>
      <c r="AB60" s="65"/>
    </row>
    <row r="61" spans="5:33">
      <c r="E61" s="66"/>
      <c r="F61" s="55"/>
      <c r="G61" s="55"/>
      <c r="H61" s="55"/>
      <c r="I61" s="55"/>
      <c r="J61" s="55"/>
      <c r="K61" s="55"/>
      <c r="L61" s="55"/>
      <c r="M61" s="55"/>
      <c r="N61" s="69"/>
      <c r="O61" s="60"/>
      <c r="P61" s="64"/>
      <c r="Q61" s="149"/>
      <c r="R61" s="149"/>
      <c r="S61" s="149"/>
      <c r="T61" s="149"/>
      <c r="U61" s="149"/>
      <c r="V61" s="150"/>
      <c r="X61" s="65"/>
      <c r="Y61" s="65"/>
      <c r="Z61" s="65"/>
    </row>
    <row r="62" spans="5:33">
      <c r="E62" s="66"/>
      <c r="F62" s="55"/>
      <c r="G62" s="55"/>
      <c r="H62" s="55"/>
      <c r="I62" s="55"/>
      <c r="J62" s="55"/>
      <c r="K62" s="55"/>
      <c r="L62" s="55"/>
      <c r="M62" s="55"/>
      <c r="N62" s="69"/>
      <c r="O62" s="60"/>
      <c r="P62" s="64"/>
      <c r="Q62" s="149"/>
      <c r="R62" s="149"/>
      <c r="S62" s="149"/>
      <c r="T62" s="149"/>
      <c r="U62" s="149"/>
      <c r="V62" s="150"/>
      <c r="X62" s="65"/>
      <c r="Y62" s="65"/>
      <c r="Z62" s="65"/>
    </row>
    <row r="63" spans="5:33">
      <c r="E63" s="66"/>
      <c r="F63" s="55"/>
      <c r="G63" s="55"/>
      <c r="H63" s="55"/>
      <c r="I63" s="55"/>
      <c r="J63" s="55"/>
      <c r="K63" s="55"/>
      <c r="L63" s="55"/>
      <c r="M63" s="55"/>
      <c r="N63" s="69"/>
      <c r="O63" s="60"/>
      <c r="P63" s="64"/>
      <c r="Q63" s="149"/>
      <c r="R63" s="149"/>
      <c r="S63" s="149"/>
      <c r="T63" s="149"/>
      <c r="U63" s="149"/>
      <c r="V63" s="150"/>
      <c r="X63" s="65"/>
      <c r="Y63" s="65"/>
      <c r="Z63" s="65"/>
    </row>
    <row r="64" spans="5:33">
      <c r="E64" s="66"/>
      <c r="F64" s="55"/>
      <c r="G64" s="55"/>
      <c r="H64" s="55"/>
      <c r="I64" s="55"/>
      <c r="J64" s="55"/>
      <c r="K64" s="55"/>
      <c r="L64" s="55"/>
      <c r="M64" s="55"/>
      <c r="N64" s="69">
        <f>'Data 3'!I60-'Data 3'!I59</f>
        <v>-8.5483344445498588</v>
      </c>
      <c r="O64" s="62">
        <f>'Data 3'!I60-'Data 3'!I48</f>
        <v>12.028760393951018</v>
      </c>
      <c r="P64" s="64"/>
      <c r="Q64" s="149"/>
      <c r="R64" s="149"/>
      <c r="S64" s="149"/>
      <c r="T64" s="149"/>
      <c r="U64" s="149"/>
      <c r="V64" s="150"/>
      <c r="X64" s="65"/>
      <c r="Y64" s="65"/>
      <c r="Z64" s="65"/>
    </row>
    <row r="65" spans="5:26">
      <c r="E65" s="66"/>
      <c r="F65" s="55"/>
      <c r="G65" s="55"/>
      <c r="H65" s="55"/>
      <c r="I65" s="55"/>
      <c r="J65" s="55"/>
      <c r="K65" s="55"/>
      <c r="L65" s="55"/>
      <c r="M65" s="55"/>
      <c r="N65" s="69"/>
      <c r="O65" s="60"/>
      <c r="P65" s="64"/>
      <c r="Q65" s="149"/>
      <c r="R65" s="149"/>
      <c r="S65" s="149"/>
      <c r="T65" s="149"/>
      <c r="U65" s="149"/>
      <c r="V65" s="150"/>
      <c r="X65" s="65"/>
      <c r="Y65" s="65"/>
      <c r="Z65" s="65"/>
    </row>
    <row r="66" spans="5:26">
      <c r="E66" s="66"/>
      <c r="F66" s="55"/>
      <c r="G66" s="55"/>
      <c r="H66" s="55"/>
      <c r="I66" s="55"/>
      <c r="J66" s="55"/>
      <c r="K66" s="55"/>
      <c r="L66" s="55"/>
      <c r="M66" s="55"/>
      <c r="N66" s="69"/>
      <c r="O66" s="60"/>
      <c r="P66" s="64"/>
      <c r="Q66" s="149"/>
      <c r="R66" s="149"/>
      <c r="S66" s="149"/>
      <c r="T66" s="149"/>
      <c r="U66" s="149"/>
      <c r="V66" s="150"/>
      <c r="X66" s="65"/>
      <c r="Y66" s="65"/>
      <c r="Z66" s="65"/>
    </row>
    <row r="67" spans="5:26">
      <c r="E67" s="66"/>
      <c r="F67" s="55"/>
      <c r="G67" s="55"/>
      <c r="H67" s="55"/>
      <c r="I67" s="55"/>
      <c r="J67" s="55"/>
      <c r="K67" s="55"/>
      <c r="L67" s="55"/>
      <c r="M67" s="55"/>
      <c r="N67" s="69"/>
      <c r="O67" s="60"/>
      <c r="P67" s="64"/>
      <c r="Q67" s="149"/>
      <c r="R67" s="149"/>
      <c r="S67" s="149"/>
      <c r="T67" s="149"/>
      <c r="U67" s="149"/>
      <c r="V67" s="150"/>
      <c r="X67" s="65"/>
      <c r="Y67" s="65"/>
      <c r="Z67" s="65"/>
    </row>
    <row r="68" spans="5:26">
      <c r="E68" s="66"/>
      <c r="F68" s="55"/>
      <c r="G68" s="55"/>
      <c r="H68" s="55"/>
      <c r="I68" s="55"/>
      <c r="J68" s="55"/>
      <c r="K68" s="55"/>
      <c r="L68" s="55"/>
      <c r="M68" s="55"/>
      <c r="N68" s="69"/>
      <c r="O68" s="60"/>
      <c r="P68" s="64"/>
      <c r="Q68" s="149"/>
      <c r="R68" s="149"/>
      <c r="S68" s="149"/>
      <c r="T68" s="149"/>
      <c r="U68" s="149"/>
      <c r="V68" s="150"/>
      <c r="X68" s="65"/>
      <c r="Y68" s="65"/>
      <c r="Z68" s="65"/>
    </row>
    <row r="69" spans="5:26">
      <c r="F69" s="55"/>
      <c r="G69" s="55"/>
      <c r="H69" s="55"/>
      <c r="I69" s="55"/>
      <c r="J69" s="55"/>
      <c r="K69" s="55"/>
      <c r="L69" s="55"/>
      <c r="M69" s="55"/>
      <c r="N69" s="71"/>
      <c r="O69" s="60"/>
      <c r="P69" s="64"/>
      <c r="Q69" s="149"/>
      <c r="R69" s="149"/>
      <c r="S69" s="149"/>
      <c r="T69" s="149"/>
      <c r="U69" s="149"/>
      <c r="V69" s="150"/>
      <c r="X69" s="65"/>
      <c r="Y69" s="65"/>
      <c r="Z69" s="65"/>
    </row>
    <row r="70" spans="5:26">
      <c r="O70" s="60"/>
      <c r="P70" s="64"/>
      <c r="Q70" s="149"/>
      <c r="R70" s="149"/>
      <c r="S70" s="149"/>
      <c r="T70" s="149"/>
      <c r="U70" s="149"/>
      <c r="V70" s="150"/>
      <c r="X70" s="65"/>
      <c r="Y70" s="65"/>
      <c r="Z70" s="65"/>
    </row>
    <row r="71" spans="5:26">
      <c r="O71" s="60"/>
      <c r="P71" s="64"/>
      <c r="Q71" s="149"/>
      <c r="R71" s="149"/>
      <c r="S71" s="149"/>
      <c r="T71" s="149"/>
      <c r="U71" s="149"/>
      <c r="V71" s="150"/>
      <c r="X71" s="65"/>
      <c r="Y71" s="65"/>
      <c r="Z71" s="65"/>
    </row>
    <row r="72" spans="5:26">
      <c r="O72" s="60"/>
      <c r="P72" s="64"/>
      <c r="Q72" s="149"/>
      <c r="R72" s="149"/>
      <c r="S72" s="149"/>
      <c r="T72" s="149"/>
      <c r="U72" s="149"/>
      <c r="V72" s="150"/>
      <c r="X72" s="65"/>
      <c r="Y72" s="65"/>
      <c r="Z72" s="65"/>
    </row>
    <row r="73" spans="5:26">
      <c r="O73" s="60"/>
      <c r="P73" s="64"/>
      <c r="Q73" s="149"/>
      <c r="R73" s="149"/>
      <c r="S73" s="149"/>
      <c r="T73" s="149"/>
      <c r="U73" s="149"/>
      <c r="V73" s="150"/>
      <c r="X73" s="65"/>
      <c r="Y73" s="65"/>
      <c r="Z73" s="65"/>
    </row>
    <row r="74" spans="5:26">
      <c r="O74" s="60"/>
      <c r="P74" s="64"/>
      <c r="Q74" s="149"/>
      <c r="R74" s="149"/>
      <c r="S74" s="149"/>
      <c r="T74" s="149"/>
      <c r="U74" s="149"/>
      <c r="V74" s="150"/>
      <c r="X74" s="65"/>
      <c r="Y74" s="65"/>
      <c r="Z74" s="65"/>
    </row>
    <row r="75" spans="5:26">
      <c r="O75" s="60"/>
      <c r="P75" s="64"/>
      <c r="Q75" s="149"/>
      <c r="R75" s="149"/>
      <c r="S75" s="149"/>
      <c r="T75" s="149"/>
      <c r="U75" s="149"/>
      <c r="V75" s="150"/>
      <c r="X75" s="65"/>
      <c r="Y75" s="65"/>
      <c r="Z75" s="65"/>
    </row>
    <row r="76" spans="5:26">
      <c r="O76" s="60"/>
      <c r="P76" s="64"/>
      <c r="Q76" s="149"/>
      <c r="R76" s="149"/>
      <c r="S76" s="149"/>
      <c r="T76" s="149"/>
      <c r="U76" s="149"/>
      <c r="V76" s="150"/>
      <c r="X76" s="65"/>
      <c r="Y76" s="65"/>
      <c r="Z76" s="65"/>
    </row>
    <row r="77" spans="5:26">
      <c r="O77" s="60"/>
      <c r="P77" s="64"/>
      <c r="Q77" s="149"/>
      <c r="R77" s="149"/>
      <c r="S77" s="149"/>
      <c r="T77" s="149"/>
      <c r="U77" s="149"/>
      <c r="V77" s="150"/>
      <c r="X77" s="65"/>
      <c r="Y77" s="65"/>
      <c r="Z77" s="65"/>
    </row>
    <row r="78" spans="5:26">
      <c r="O78" s="60"/>
      <c r="P78" s="64"/>
      <c r="Q78" s="149"/>
      <c r="R78" s="149"/>
      <c r="S78" s="149"/>
      <c r="T78" s="149"/>
      <c r="U78" s="149"/>
      <c r="V78" s="150"/>
      <c r="X78" s="65"/>
      <c r="Y78" s="65"/>
      <c r="Z78" s="65"/>
    </row>
    <row r="79" spans="5:26">
      <c r="O79" s="60"/>
      <c r="P79" s="64"/>
      <c r="Q79" s="149"/>
      <c r="R79" s="149"/>
      <c r="S79" s="149"/>
      <c r="T79" s="149"/>
      <c r="U79" s="149"/>
      <c r="V79" s="150"/>
      <c r="X79" s="65"/>
      <c r="Y79" s="65"/>
      <c r="Z79" s="65"/>
    </row>
    <row r="80" spans="5:26">
      <c r="O80" s="60"/>
      <c r="P80" s="64"/>
      <c r="Q80" s="149"/>
      <c r="R80" s="149"/>
      <c r="S80" s="149"/>
      <c r="T80" s="149"/>
      <c r="U80" s="149"/>
      <c r="V80" s="150"/>
      <c r="X80" s="65"/>
      <c r="Y80" s="65"/>
      <c r="Z80" s="65"/>
    </row>
    <row r="81" spans="15:26">
      <c r="O81" s="60"/>
      <c r="P81" s="64"/>
      <c r="Q81" s="149"/>
      <c r="R81" s="149"/>
      <c r="S81" s="149"/>
      <c r="T81" s="149"/>
      <c r="U81" s="149"/>
      <c r="V81" s="150"/>
      <c r="X81" s="65"/>
      <c r="Y81" s="65"/>
      <c r="Z81" s="65"/>
    </row>
    <row r="82" spans="15:26">
      <c r="O82" s="60"/>
      <c r="P82" s="64"/>
      <c r="Q82" s="149"/>
      <c r="R82" s="149"/>
      <c r="S82" s="149"/>
      <c r="T82" s="149"/>
      <c r="U82" s="149"/>
      <c r="V82" s="150"/>
      <c r="X82" s="65"/>
      <c r="Y82" s="65"/>
      <c r="Z82" s="65"/>
    </row>
    <row r="83" spans="15:26">
      <c r="O83" s="60"/>
      <c r="P83" s="64"/>
      <c r="Q83" s="149"/>
      <c r="R83" s="149"/>
      <c r="S83" s="149"/>
      <c r="T83" s="149"/>
      <c r="U83" s="149"/>
      <c r="V83" s="150"/>
      <c r="X83" s="65"/>
      <c r="Y83" s="65"/>
      <c r="Z83" s="65"/>
    </row>
    <row r="84" spans="15:26">
      <c r="O84" s="61"/>
      <c r="P84" s="64"/>
      <c r="Q84" s="149"/>
      <c r="R84" s="149"/>
      <c r="S84" s="149"/>
      <c r="T84" s="149"/>
      <c r="U84" s="149"/>
      <c r="V84" s="150"/>
      <c r="X84" s="65"/>
      <c r="Y84" s="65"/>
      <c r="Z84" s="65"/>
    </row>
    <row r="85" spans="15:26">
      <c r="O85" s="61">
        <v>42248</v>
      </c>
      <c r="P85" s="64"/>
      <c r="Q85" s="149"/>
      <c r="R85" s="149"/>
      <c r="S85" s="149"/>
      <c r="T85" s="149"/>
      <c r="U85" s="149"/>
      <c r="V85" s="150"/>
      <c r="X85" s="65"/>
      <c r="Y85" s="65"/>
      <c r="Z85" s="65"/>
    </row>
    <row r="86" spans="15:26">
      <c r="O86" s="60"/>
      <c r="P86" s="64"/>
      <c r="Q86" s="149"/>
      <c r="R86" s="149"/>
      <c r="S86" s="149"/>
      <c r="T86" s="149"/>
      <c r="U86" s="149"/>
      <c r="V86" s="150"/>
      <c r="X86" s="65"/>
      <c r="Y86" s="65"/>
      <c r="Z86" s="65"/>
    </row>
    <row r="87" spans="15:26">
      <c r="O87" s="60"/>
      <c r="P87" s="64"/>
      <c r="Q87" s="149"/>
      <c r="R87" s="149"/>
      <c r="S87" s="149"/>
      <c r="T87" s="149"/>
      <c r="U87" s="149"/>
      <c r="V87" s="150"/>
      <c r="X87" s="65"/>
      <c r="Y87" s="65"/>
      <c r="Z87" s="65"/>
    </row>
    <row r="88" spans="15:26">
      <c r="O88" s="60"/>
      <c r="P88" s="64"/>
      <c r="Q88" s="149"/>
      <c r="R88" s="149"/>
      <c r="S88" s="149"/>
      <c r="T88" s="149"/>
      <c r="U88" s="149"/>
      <c r="V88" s="150"/>
      <c r="X88" s="65"/>
      <c r="Y88" s="65"/>
      <c r="Z88" s="65"/>
    </row>
    <row r="89" spans="15:26">
      <c r="O89" s="60"/>
      <c r="P89" s="64"/>
      <c r="Q89" s="149"/>
      <c r="R89" s="149"/>
      <c r="S89" s="149"/>
      <c r="T89" s="149"/>
      <c r="U89" s="149"/>
      <c r="V89" s="150"/>
      <c r="X89" s="65"/>
      <c r="Y89" s="65"/>
      <c r="Z89" s="65"/>
    </row>
    <row r="90" spans="15:26">
      <c r="O90" s="60"/>
      <c r="P90" s="64"/>
      <c r="Q90" s="149"/>
      <c r="R90" s="149"/>
      <c r="S90" s="149"/>
      <c r="T90" s="149"/>
      <c r="U90" s="149"/>
      <c r="V90" s="150"/>
      <c r="X90" s="65"/>
      <c r="Y90" s="65"/>
      <c r="Z90" s="65"/>
    </row>
    <row r="91" spans="15:26">
      <c r="O91" s="60"/>
      <c r="P91" s="64"/>
      <c r="Q91" s="149"/>
      <c r="R91" s="149"/>
      <c r="S91" s="149"/>
      <c r="T91" s="149"/>
      <c r="U91" s="149"/>
      <c r="V91" s="150"/>
      <c r="X91" s="65"/>
      <c r="Y91" s="65"/>
      <c r="Z91" s="65"/>
    </row>
    <row r="92" spans="15:26">
      <c r="O92" s="60"/>
      <c r="P92" s="64"/>
      <c r="Q92" s="149"/>
      <c r="R92" s="149"/>
      <c r="S92" s="149"/>
      <c r="T92" s="149"/>
      <c r="U92" s="149"/>
      <c r="V92" s="150"/>
      <c r="X92" s="65"/>
      <c r="Y92" s="65"/>
      <c r="Z92" s="65"/>
    </row>
    <row r="93" spans="15:26">
      <c r="O93" s="60"/>
      <c r="P93" s="64"/>
      <c r="Q93" s="149"/>
      <c r="R93" s="149"/>
      <c r="S93" s="149"/>
      <c r="T93" s="149"/>
      <c r="U93" s="149"/>
      <c r="V93" s="150"/>
      <c r="X93" s="65"/>
      <c r="Y93" s="65"/>
      <c r="Z93" s="65"/>
    </row>
    <row r="94" spans="15:26">
      <c r="O94" s="60"/>
      <c r="P94" s="64"/>
      <c r="Q94" s="149"/>
      <c r="R94" s="149"/>
      <c r="S94" s="149"/>
      <c r="T94" s="149"/>
      <c r="U94" s="149"/>
      <c r="V94" s="150"/>
      <c r="X94" s="65"/>
      <c r="Y94" s="65"/>
      <c r="Z94" s="65"/>
    </row>
    <row r="95" spans="15:26">
      <c r="O95" s="60"/>
      <c r="P95" s="64"/>
      <c r="Q95" s="149"/>
      <c r="R95" s="149"/>
      <c r="S95" s="149"/>
      <c r="T95" s="149"/>
      <c r="U95" s="149"/>
      <c r="V95" s="150"/>
      <c r="X95" s="65"/>
      <c r="Y95" s="65"/>
      <c r="Z95" s="65"/>
    </row>
    <row r="96" spans="15:26">
      <c r="O96" s="60"/>
      <c r="P96" s="64"/>
      <c r="Q96" s="149"/>
      <c r="R96" s="149"/>
      <c r="S96" s="149"/>
      <c r="T96" s="149"/>
      <c r="U96" s="149"/>
      <c r="V96" s="150"/>
      <c r="X96" s="65"/>
      <c r="Y96" s="65"/>
      <c r="Z96" s="65"/>
    </row>
    <row r="97" spans="15:26">
      <c r="O97" s="60"/>
      <c r="P97" s="64"/>
      <c r="Q97" s="149"/>
      <c r="R97" s="149"/>
      <c r="S97" s="149"/>
      <c r="T97" s="149"/>
      <c r="U97" s="149"/>
      <c r="V97" s="150"/>
      <c r="X97" s="65"/>
      <c r="Y97" s="65"/>
      <c r="Z97" s="65"/>
    </row>
    <row r="98" spans="15:26">
      <c r="O98" s="60"/>
      <c r="P98" s="64"/>
      <c r="Q98" s="149"/>
      <c r="R98" s="149"/>
      <c r="S98" s="149"/>
      <c r="T98" s="149"/>
      <c r="U98" s="149"/>
      <c r="V98" s="150"/>
      <c r="X98" s="65"/>
      <c r="Y98" s="65"/>
      <c r="Z98" s="65"/>
    </row>
    <row r="99" spans="15:26">
      <c r="O99" s="60"/>
      <c r="P99" s="64"/>
      <c r="Q99" s="149"/>
      <c r="R99" s="149"/>
      <c r="S99" s="149"/>
      <c r="T99" s="149"/>
      <c r="U99" s="149"/>
      <c r="V99" s="150"/>
      <c r="X99" s="65"/>
      <c r="Y99" s="65"/>
      <c r="Z99" s="65"/>
    </row>
    <row r="100" spans="15:26">
      <c r="O100" s="60"/>
      <c r="P100" s="64"/>
      <c r="Q100" s="149"/>
      <c r="R100" s="149"/>
      <c r="S100" s="149"/>
      <c r="T100" s="149"/>
      <c r="U100" s="149"/>
      <c r="V100" s="150"/>
      <c r="X100" s="65"/>
      <c r="Y100" s="65"/>
      <c r="Z100" s="65"/>
    </row>
    <row r="101" spans="15:26">
      <c r="O101" s="60"/>
      <c r="P101" s="64"/>
      <c r="Q101" s="149"/>
      <c r="R101" s="149"/>
      <c r="S101" s="149"/>
      <c r="T101" s="149"/>
      <c r="U101" s="149"/>
      <c r="V101" s="150"/>
      <c r="X101" s="65"/>
      <c r="Y101" s="65"/>
      <c r="Z101" s="65"/>
    </row>
    <row r="102" spans="15:26">
      <c r="O102" s="60"/>
      <c r="P102" s="64"/>
      <c r="Q102" s="149"/>
      <c r="R102" s="149"/>
      <c r="S102" s="149"/>
      <c r="T102" s="149"/>
      <c r="U102" s="149"/>
      <c r="V102" s="150"/>
      <c r="X102" s="65"/>
      <c r="Y102" s="65"/>
      <c r="Z102" s="65"/>
    </row>
    <row r="103" spans="15:26">
      <c r="O103" s="60"/>
      <c r="P103" s="64"/>
      <c r="Q103" s="149"/>
      <c r="R103" s="149"/>
      <c r="S103" s="149"/>
      <c r="T103" s="149"/>
      <c r="U103" s="149"/>
      <c r="V103" s="150"/>
      <c r="X103" s="65"/>
      <c r="Y103" s="65"/>
      <c r="Z103" s="65"/>
    </row>
    <row r="104" spans="15:26">
      <c r="O104" s="60"/>
      <c r="P104" s="64"/>
      <c r="Q104" s="149"/>
      <c r="R104" s="149"/>
      <c r="S104" s="149"/>
      <c r="T104" s="149"/>
      <c r="U104" s="149"/>
      <c r="V104" s="150"/>
      <c r="X104" s="65"/>
      <c r="Y104" s="65"/>
      <c r="Z104" s="65"/>
    </row>
    <row r="105" spans="15:26">
      <c r="O105" s="60"/>
      <c r="P105" s="64"/>
      <c r="Q105" s="149"/>
      <c r="R105" s="149"/>
      <c r="S105" s="149"/>
      <c r="T105" s="149"/>
      <c r="U105" s="149"/>
      <c r="V105" s="150"/>
      <c r="X105" s="65"/>
      <c r="Y105" s="65"/>
      <c r="Z105" s="65"/>
    </row>
    <row r="106" spans="15:26">
      <c r="O106" s="60"/>
      <c r="P106" s="64"/>
      <c r="Q106" s="149"/>
      <c r="R106" s="149"/>
      <c r="S106" s="149"/>
      <c r="T106" s="149"/>
      <c r="U106" s="149"/>
      <c r="V106" s="150"/>
      <c r="X106" s="65"/>
      <c r="Y106" s="65"/>
      <c r="Z106" s="65"/>
    </row>
    <row r="107" spans="15:26">
      <c r="O107" s="60"/>
      <c r="P107" s="64"/>
      <c r="Q107" s="149"/>
      <c r="R107" s="149"/>
      <c r="S107" s="149"/>
      <c r="T107" s="149"/>
      <c r="U107" s="149"/>
      <c r="V107" s="150"/>
      <c r="X107" s="65"/>
      <c r="Y107" s="65"/>
      <c r="Z107" s="65"/>
    </row>
    <row r="108" spans="15:26">
      <c r="O108" s="60"/>
      <c r="P108" s="64"/>
      <c r="Q108" s="149"/>
      <c r="R108" s="149"/>
      <c r="S108" s="149"/>
      <c r="T108" s="149"/>
      <c r="U108" s="149"/>
      <c r="V108" s="150"/>
      <c r="X108" s="65"/>
      <c r="Y108" s="65"/>
      <c r="Z108" s="65"/>
    </row>
    <row r="109" spans="15:26">
      <c r="O109" s="60"/>
      <c r="P109" s="64"/>
      <c r="Q109" s="149"/>
      <c r="R109" s="149"/>
      <c r="S109" s="149"/>
      <c r="T109" s="149"/>
      <c r="U109" s="149"/>
      <c r="V109" s="150"/>
      <c r="X109" s="65"/>
      <c r="Y109" s="65"/>
      <c r="Z109" s="65"/>
    </row>
    <row r="110" spans="15:26">
      <c r="O110" s="60"/>
      <c r="P110" s="64"/>
      <c r="Q110" s="149"/>
      <c r="R110" s="149"/>
      <c r="S110" s="149"/>
      <c r="T110" s="149"/>
      <c r="U110" s="149"/>
      <c r="V110" s="150"/>
      <c r="X110" s="65"/>
      <c r="Y110" s="65"/>
      <c r="Z110" s="65"/>
    </row>
    <row r="111" spans="15:26">
      <c r="O111" s="60"/>
      <c r="P111" s="64"/>
      <c r="Q111" s="149"/>
      <c r="R111" s="149"/>
      <c r="S111" s="149"/>
      <c r="T111" s="149"/>
      <c r="U111" s="149"/>
      <c r="V111" s="150"/>
      <c r="X111" s="65"/>
      <c r="Y111" s="65"/>
      <c r="Z111" s="65"/>
    </row>
    <row r="112" spans="15:26">
      <c r="O112" s="60"/>
      <c r="P112" s="64"/>
      <c r="Q112" s="149"/>
      <c r="R112" s="149"/>
      <c r="S112" s="149"/>
      <c r="T112" s="149"/>
      <c r="U112" s="149"/>
      <c r="V112" s="150"/>
      <c r="X112" s="65"/>
      <c r="Y112" s="65"/>
      <c r="Z112" s="65"/>
    </row>
    <row r="113" spans="15:26">
      <c r="O113" s="60"/>
      <c r="P113" s="64"/>
      <c r="Q113" s="149"/>
      <c r="R113" s="149"/>
      <c r="S113" s="149"/>
      <c r="T113" s="149"/>
      <c r="U113" s="149"/>
      <c r="V113" s="150"/>
      <c r="X113" s="65"/>
      <c r="Y113" s="65"/>
      <c r="Z113" s="65"/>
    </row>
    <row r="114" spans="15:26">
      <c r="O114" s="60"/>
      <c r="P114" s="64"/>
      <c r="Q114" s="149"/>
      <c r="R114" s="149"/>
      <c r="S114" s="149"/>
      <c r="T114" s="149"/>
      <c r="U114" s="149"/>
      <c r="V114" s="150"/>
      <c r="X114" s="65"/>
      <c r="Y114" s="65"/>
      <c r="Z114" s="65"/>
    </row>
    <row r="115" spans="15:26">
      <c r="O115" s="61">
        <v>42278</v>
      </c>
      <c r="P115" s="64"/>
      <c r="Q115" s="149"/>
      <c r="R115" s="149"/>
      <c r="S115" s="149"/>
      <c r="T115" s="149"/>
      <c r="U115" s="149"/>
      <c r="V115" s="150"/>
      <c r="X115" s="65"/>
      <c r="Y115" s="65"/>
      <c r="Z115" s="65"/>
    </row>
    <row r="116" spans="15:26">
      <c r="O116" s="61"/>
      <c r="P116" s="64"/>
      <c r="Q116" s="149"/>
      <c r="R116" s="149"/>
      <c r="S116" s="149"/>
      <c r="T116" s="149"/>
      <c r="U116" s="149"/>
      <c r="V116" s="150"/>
      <c r="X116" s="65"/>
      <c r="Y116" s="65"/>
      <c r="Z116" s="65"/>
    </row>
    <row r="117" spans="15:26">
      <c r="O117" s="60"/>
      <c r="P117" s="64"/>
      <c r="Q117" s="149"/>
      <c r="R117" s="149"/>
      <c r="S117" s="149"/>
      <c r="T117" s="149"/>
      <c r="U117" s="149"/>
      <c r="V117" s="150"/>
      <c r="X117" s="65"/>
      <c r="Y117" s="65"/>
      <c r="Z117" s="65"/>
    </row>
    <row r="118" spans="15:26">
      <c r="O118" s="60"/>
      <c r="P118" s="64"/>
      <c r="Q118" s="149"/>
      <c r="R118" s="149"/>
      <c r="S118" s="149"/>
      <c r="T118" s="149"/>
      <c r="U118" s="149"/>
      <c r="V118" s="150"/>
      <c r="X118" s="65"/>
      <c r="Y118" s="65"/>
      <c r="Z118" s="65"/>
    </row>
    <row r="119" spans="15:26">
      <c r="O119" s="60"/>
      <c r="P119" s="64"/>
      <c r="Q119" s="149"/>
      <c r="R119" s="149"/>
      <c r="S119" s="149"/>
      <c r="T119" s="149"/>
      <c r="U119" s="149"/>
      <c r="V119" s="150"/>
      <c r="X119" s="65"/>
      <c r="Y119" s="65"/>
      <c r="Z119" s="65"/>
    </row>
    <row r="120" spans="15:26">
      <c r="O120" s="60"/>
      <c r="P120" s="64"/>
      <c r="Q120" s="149"/>
      <c r="R120" s="149"/>
      <c r="S120" s="149"/>
      <c r="T120" s="149"/>
      <c r="U120" s="149"/>
      <c r="V120" s="150"/>
      <c r="X120" s="65"/>
      <c r="Y120" s="65"/>
      <c r="Z120" s="65"/>
    </row>
    <row r="121" spans="15:26">
      <c r="O121" s="60"/>
      <c r="P121" s="64"/>
      <c r="Q121" s="149"/>
      <c r="R121" s="149"/>
      <c r="S121" s="149"/>
      <c r="T121" s="149"/>
      <c r="U121" s="149"/>
      <c r="V121" s="150"/>
      <c r="X121" s="65"/>
      <c r="Y121" s="65"/>
      <c r="Z121" s="65"/>
    </row>
    <row r="122" spans="15:26">
      <c r="O122" s="60"/>
      <c r="P122" s="64"/>
      <c r="Q122" s="149"/>
      <c r="R122" s="149"/>
      <c r="S122" s="149"/>
      <c r="T122" s="149"/>
      <c r="U122" s="149"/>
      <c r="V122" s="150"/>
      <c r="X122" s="65"/>
      <c r="Y122" s="65"/>
      <c r="Z122" s="65"/>
    </row>
    <row r="123" spans="15:26">
      <c r="O123" s="60"/>
      <c r="P123" s="64"/>
      <c r="Q123" s="149"/>
      <c r="R123" s="149"/>
      <c r="S123" s="149"/>
      <c r="T123" s="149"/>
      <c r="U123" s="149"/>
      <c r="V123" s="150"/>
      <c r="X123" s="65"/>
      <c r="Y123" s="65"/>
      <c r="Z123" s="65"/>
    </row>
    <row r="124" spans="15:26">
      <c r="O124" s="60"/>
      <c r="P124" s="64"/>
      <c r="Q124" s="149"/>
      <c r="R124" s="149"/>
      <c r="S124" s="149"/>
      <c r="T124" s="149"/>
      <c r="U124" s="149"/>
      <c r="V124" s="150"/>
      <c r="X124" s="65"/>
      <c r="Y124" s="65"/>
      <c r="Z124" s="65"/>
    </row>
    <row r="125" spans="15:26">
      <c r="O125" s="60"/>
      <c r="P125" s="64"/>
      <c r="Q125" s="149"/>
      <c r="R125" s="149"/>
      <c r="S125" s="149"/>
      <c r="T125" s="149"/>
      <c r="U125" s="149"/>
      <c r="V125" s="150"/>
      <c r="X125" s="65"/>
      <c r="Y125" s="65"/>
      <c r="Z125" s="65"/>
    </row>
    <row r="126" spans="15:26">
      <c r="O126" s="60"/>
      <c r="P126" s="64"/>
      <c r="Q126" s="149"/>
      <c r="R126" s="149"/>
      <c r="S126" s="149"/>
      <c r="T126" s="149"/>
      <c r="U126" s="149"/>
      <c r="V126" s="150"/>
      <c r="X126" s="65"/>
      <c r="Y126" s="65"/>
      <c r="Z126" s="65"/>
    </row>
    <row r="127" spans="15:26">
      <c r="O127" s="60"/>
      <c r="P127" s="64"/>
      <c r="Q127" s="149"/>
      <c r="R127" s="149"/>
      <c r="S127" s="149"/>
      <c r="T127" s="149"/>
      <c r="U127" s="149"/>
      <c r="V127" s="150"/>
      <c r="X127" s="65"/>
      <c r="Y127" s="65"/>
      <c r="Z127" s="65"/>
    </row>
    <row r="128" spans="15:26">
      <c r="O128" s="60"/>
      <c r="P128" s="64"/>
      <c r="Q128" s="149"/>
      <c r="R128" s="149"/>
      <c r="S128" s="149"/>
      <c r="T128" s="149"/>
      <c r="U128" s="149"/>
      <c r="V128" s="150"/>
      <c r="X128" s="65"/>
      <c r="Y128" s="65"/>
      <c r="Z128" s="65"/>
    </row>
    <row r="129" spans="15:26">
      <c r="O129" s="60"/>
      <c r="P129" s="64"/>
      <c r="Q129" s="149"/>
      <c r="R129" s="149"/>
      <c r="S129" s="149"/>
      <c r="T129" s="149"/>
      <c r="U129" s="149"/>
      <c r="V129" s="150"/>
      <c r="X129" s="65"/>
      <c r="Y129" s="65"/>
      <c r="Z129" s="65"/>
    </row>
    <row r="130" spans="15:26">
      <c r="O130" s="60"/>
      <c r="P130" s="64"/>
      <c r="Q130" s="149"/>
      <c r="R130" s="149"/>
      <c r="S130" s="149"/>
      <c r="T130" s="149"/>
      <c r="U130" s="149"/>
      <c r="V130" s="150"/>
      <c r="X130" s="65"/>
      <c r="Y130" s="65"/>
      <c r="Z130" s="65"/>
    </row>
    <row r="131" spans="15:26">
      <c r="O131" s="60"/>
      <c r="P131" s="64"/>
      <c r="Q131" s="149"/>
      <c r="R131" s="149"/>
      <c r="S131" s="149"/>
      <c r="T131" s="149"/>
      <c r="U131" s="149"/>
      <c r="V131" s="150"/>
      <c r="X131" s="65"/>
      <c r="Y131" s="65"/>
      <c r="Z131" s="65"/>
    </row>
    <row r="132" spans="15:26">
      <c r="O132" s="60"/>
      <c r="P132" s="64"/>
      <c r="Q132" s="149"/>
      <c r="R132" s="149"/>
      <c r="S132" s="149"/>
      <c r="T132" s="149"/>
      <c r="U132" s="149"/>
      <c r="V132" s="150"/>
      <c r="X132" s="65"/>
      <c r="Y132" s="65"/>
      <c r="Z132" s="65"/>
    </row>
    <row r="133" spans="15:26">
      <c r="O133" s="60"/>
      <c r="P133" s="64"/>
      <c r="Q133" s="149"/>
      <c r="R133" s="149"/>
      <c r="S133" s="149"/>
      <c r="T133" s="149"/>
      <c r="U133" s="149"/>
      <c r="V133" s="150"/>
      <c r="X133" s="65"/>
      <c r="Y133" s="65"/>
      <c r="Z133" s="65"/>
    </row>
    <row r="134" spans="15:26">
      <c r="O134" s="60"/>
      <c r="P134" s="64"/>
      <c r="Q134" s="149"/>
      <c r="R134" s="149"/>
      <c r="S134" s="149"/>
      <c r="T134" s="149"/>
      <c r="U134" s="149"/>
      <c r="V134" s="150"/>
      <c r="X134" s="65"/>
      <c r="Y134" s="65"/>
      <c r="Z134" s="65"/>
    </row>
    <row r="135" spans="15:26">
      <c r="O135" s="60"/>
      <c r="P135" s="64"/>
      <c r="Q135" s="149"/>
      <c r="R135" s="149"/>
      <c r="S135" s="149"/>
      <c r="T135" s="149"/>
      <c r="U135" s="149"/>
      <c r="V135" s="150"/>
      <c r="X135" s="65"/>
      <c r="Y135" s="65"/>
      <c r="Z135" s="65"/>
    </row>
    <row r="136" spans="15:26">
      <c r="O136" s="60"/>
      <c r="P136" s="64"/>
      <c r="Q136" s="149"/>
      <c r="R136" s="149"/>
      <c r="S136" s="149"/>
      <c r="T136" s="149"/>
      <c r="U136" s="149"/>
      <c r="V136" s="150"/>
      <c r="X136" s="65"/>
      <c r="Y136" s="65"/>
      <c r="Z136" s="65"/>
    </row>
    <row r="137" spans="15:26">
      <c r="O137" s="60"/>
      <c r="P137" s="64"/>
      <c r="Q137" s="149"/>
      <c r="R137" s="149"/>
      <c r="S137" s="149"/>
      <c r="T137" s="149"/>
      <c r="U137" s="149"/>
      <c r="V137" s="150"/>
      <c r="X137" s="65"/>
      <c r="Y137" s="65"/>
      <c r="Z137" s="65"/>
    </row>
    <row r="138" spans="15:26">
      <c r="O138" s="60"/>
      <c r="P138" s="64"/>
      <c r="Q138" s="149"/>
      <c r="R138" s="149"/>
      <c r="S138" s="149"/>
      <c r="T138" s="149"/>
      <c r="U138" s="149"/>
      <c r="V138" s="150"/>
      <c r="X138" s="65"/>
      <c r="Y138" s="65"/>
      <c r="Z138" s="65"/>
    </row>
    <row r="139" spans="15:26">
      <c r="O139" s="60"/>
      <c r="P139" s="64"/>
      <c r="Q139" s="149"/>
      <c r="R139" s="149"/>
      <c r="S139" s="149"/>
      <c r="T139" s="149"/>
      <c r="U139" s="149"/>
      <c r="V139" s="150"/>
      <c r="X139" s="65"/>
      <c r="Y139" s="65"/>
      <c r="Z139" s="65"/>
    </row>
    <row r="140" spans="15:26">
      <c r="O140" s="60"/>
      <c r="P140" s="64"/>
      <c r="Q140" s="149"/>
      <c r="R140" s="149"/>
      <c r="S140" s="149"/>
      <c r="T140" s="149"/>
      <c r="U140" s="149"/>
      <c r="V140" s="150"/>
      <c r="X140" s="65"/>
      <c r="Y140" s="65"/>
      <c r="Z140" s="65"/>
    </row>
    <row r="141" spans="15:26">
      <c r="O141" s="60"/>
      <c r="P141" s="64"/>
      <c r="Q141" s="149"/>
      <c r="R141" s="149"/>
      <c r="S141" s="149"/>
      <c r="T141" s="149"/>
      <c r="U141" s="149"/>
      <c r="V141" s="150"/>
      <c r="X141" s="65"/>
      <c r="Y141" s="65"/>
      <c r="Z141" s="65"/>
    </row>
    <row r="142" spans="15:26">
      <c r="O142" s="60"/>
      <c r="P142" s="64"/>
      <c r="Q142" s="149"/>
      <c r="R142" s="149"/>
      <c r="S142" s="149"/>
      <c r="T142" s="149"/>
      <c r="U142" s="149"/>
      <c r="V142" s="150"/>
      <c r="X142" s="65"/>
      <c r="Y142" s="65"/>
      <c r="Z142" s="65"/>
    </row>
    <row r="143" spans="15:26">
      <c r="O143" s="60"/>
      <c r="P143" s="64"/>
      <c r="Q143" s="149"/>
      <c r="R143" s="149"/>
      <c r="S143" s="149"/>
      <c r="T143" s="149"/>
      <c r="U143" s="149"/>
      <c r="V143" s="150"/>
      <c r="X143" s="65"/>
      <c r="Y143" s="65"/>
      <c r="Z143" s="65"/>
    </row>
    <row r="144" spans="15:26">
      <c r="O144" s="60"/>
      <c r="P144" s="64"/>
      <c r="Q144" s="149"/>
      <c r="R144" s="149"/>
      <c r="S144" s="149"/>
      <c r="T144" s="149"/>
      <c r="U144" s="149"/>
      <c r="V144" s="150"/>
      <c r="X144" s="65"/>
      <c r="Y144" s="65"/>
      <c r="Z144" s="65"/>
    </row>
    <row r="145" spans="15:26">
      <c r="O145" s="60"/>
      <c r="P145" s="64"/>
      <c r="Q145" s="149"/>
      <c r="R145" s="149"/>
      <c r="S145" s="149"/>
      <c r="T145" s="149"/>
      <c r="U145" s="149"/>
      <c r="V145" s="150"/>
      <c r="X145" s="65"/>
      <c r="Y145" s="65"/>
      <c r="Z145" s="65"/>
    </row>
    <row r="146" spans="15:26">
      <c r="O146" s="61">
        <v>42309</v>
      </c>
      <c r="P146" s="64"/>
      <c r="Q146" s="149"/>
      <c r="R146" s="149"/>
      <c r="S146" s="149"/>
      <c r="T146" s="149"/>
      <c r="U146" s="149"/>
      <c r="V146" s="150"/>
      <c r="X146" s="65"/>
      <c r="Y146" s="65"/>
      <c r="Z146" s="65"/>
    </row>
    <row r="147" spans="15:26">
      <c r="O147" s="61"/>
      <c r="P147" s="64"/>
      <c r="Q147" s="149"/>
      <c r="R147" s="149"/>
      <c r="S147" s="149"/>
      <c r="T147" s="149"/>
      <c r="U147" s="149"/>
      <c r="V147" s="150"/>
      <c r="X147" s="65"/>
      <c r="Y147" s="65"/>
      <c r="Z147" s="65"/>
    </row>
    <row r="148" spans="15:26">
      <c r="O148" s="60"/>
      <c r="P148" s="64"/>
      <c r="Q148" s="149"/>
      <c r="R148" s="149"/>
      <c r="S148" s="149"/>
      <c r="T148" s="149"/>
      <c r="U148" s="149"/>
      <c r="V148" s="150"/>
      <c r="X148" s="65"/>
      <c r="Y148" s="65"/>
      <c r="Z148" s="65"/>
    </row>
    <row r="149" spans="15:26">
      <c r="O149" s="60"/>
      <c r="P149" s="64"/>
      <c r="Q149" s="149"/>
      <c r="R149" s="149"/>
      <c r="S149" s="149"/>
      <c r="T149" s="149"/>
      <c r="U149" s="149"/>
      <c r="V149" s="150"/>
      <c r="X149" s="65"/>
      <c r="Y149" s="65"/>
      <c r="Z149" s="65"/>
    </row>
    <row r="150" spans="15:26">
      <c r="O150" s="60"/>
      <c r="P150" s="64"/>
      <c r="Q150" s="149"/>
      <c r="R150" s="149"/>
      <c r="S150" s="149"/>
      <c r="T150" s="149"/>
      <c r="U150" s="149"/>
      <c r="V150" s="150"/>
      <c r="X150" s="65"/>
      <c r="Y150" s="65"/>
      <c r="Z150" s="65"/>
    </row>
    <row r="151" spans="15:26">
      <c r="O151" s="60"/>
      <c r="P151" s="64"/>
      <c r="Q151" s="149"/>
      <c r="R151" s="149"/>
      <c r="S151" s="149"/>
      <c r="T151" s="149"/>
      <c r="U151" s="149"/>
      <c r="V151" s="150"/>
      <c r="X151" s="65"/>
      <c r="Y151" s="65"/>
      <c r="Z151" s="65"/>
    </row>
    <row r="152" spans="15:26">
      <c r="O152" s="60"/>
      <c r="P152" s="64"/>
      <c r="Q152" s="149"/>
      <c r="R152" s="149"/>
      <c r="S152" s="149"/>
      <c r="T152" s="149"/>
      <c r="U152" s="149"/>
      <c r="V152" s="150"/>
      <c r="X152" s="65"/>
      <c r="Y152" s="65"/>
      <c r="Z152" s="65"/>
    </row>
    <row r="153" spans="15:26">
      <c r="O153" s="60"/>
      <c r="P153" s="64"/>
      <c r="Q153" s="149"/>
      <c r="R153" s="149"/>
      <c r="S153" s="149"/>
      <c r="T153" s="149"/>
      <c r="U153" s="149"/>
      <c r="V153" s="150"/>
      <c r="X153" s="65"/>
      <c r="Y153" s="65"/>
      <c r="Z153" s="65"/>
    </row>
    <row r="154" spans="15:26">
      <c r="O154" s="60"/>
      <c r="P154" s="64"/>
      <c r="Q154" s="149"/>
      <c r="R154" s="149"/>
      <c r="S154" s="149"/>
      <c r="T154" s="149"/>
      <c r="U154" s="149"/>
      <c r="V154" s="150"/>
      <c r="X154" s="65"/>
      <c r="Y154" s="65"/>
      <c r="Z154" s="65"/>
    </row>
    <row r="155" spans="15:26">
      <c r="O155" s="60"/>
      <c r="P155" s="64"/>
      <c r="Q155" s="149"/>
      <c r="R155" s="149"/>
      <c r="S155" s="149"/>
      <c r="T155" s="149"/>
      <c r="U155" s="149"/>
      <c r="V155" s="150"/>
      <c r="X155" s="65"/>
      <c r="Y155" s="65"/>
      <c r="Z155" s="65"/>
    </row>
    <row r="156" spans="15:26">
      <c r="O156" s="60"/>
      <c r="P156" s="64"/>
      <c r="Q156" s="149"/>
      <c r="R156" s="149"/>
      <c r="S156" s="149"/>
      <c r="T156" s="149"/>
      <c r="U156" s="149"/>
      <c r="V156" s="150"/>
      <c r="X156" s="65"/>
      <c r="Y156" s="65"/>
      <c r="Z156" s="65"/>
    </row>
    <row r="157" spans="15:26">
      <c r="O157" s="60"/>
      <c r="P157" s="64"/>
      <c r="Q157" s="149"/>
      <c r="R157" s="149"/>
      <c r="S157" s="149"/>
      <c r="T157" s="149"/>
      <c r="U157" s="149"/>
      <c r="V157" s="150"/>
      <c r="X157" s="65"/>
      <c r="Y157" s="65"/>
      <c r="Z157" s="65"/>
    </row>
    <row r="158" spans="15:26">
      <c r="O158" s="60"/>
      <c r="P158" s="64"/>
      <c r="Q158" s="149"/>
      <c r="R158" s="149"/>
      <c r="S158" s="149"/>
      <c r="T158" s="149"/>
      <c r="U158" s="149"/>
      <c r="V158" s="150"/>
      <c r="X158" s="65"/>
      <c r="Y158" s="65"/>
      <c r="Z158" s="65"/>
    </row>
    <row r="159" spans="15:26">
      <c r="O159" s="60"/>
      <c r="P159" s="64"/>
      <c r="Q159" s="149"/>
      <c r="R159" s="149"/>
      <c r="S159" s="149"/>
      <c r="T159" s="149"/>
      <c r="U159" s="149"/>
      <c r="V159" s="150"/>
      <c r="X159" s="65"/>
      <c r="Y159" s="65"/>
      <c r="Z159" s="65"/>
    </row>
    <row r="160" spans="15:26">
      <c r="O160" s="60"/>
      <c r="P160" s="64"/>
      <c r="Q160" s="149"/>
      <c r="R160" s="149"/>
      <c r="S160" s="149"/>
      <c r="T160" s="149"/>
      <c r="U160" s="149"/>
      <c r="V160" s="150"/>
      <c r="X160" s="65"/>
      <c r="Y160" s="65"/>
      <c r="Z160" s="65"/>
    </row>
    <row r="161" spans="15:26">
      <c r="O161" s="60"/>
      <c r="P161" s="64"/>
      <c r="Q161" s="149"/>
      <c r="R161" s="149"/>
      <c r="S161" s="149"/>
      <c r="T161" s="149"/>
      <c r="U161" s="149"/>
      <c r="V161" s="150"/>
      <c r="X161" s="65"/>
      <c r="Y161" s="65"/>
      <c r="Z161" s="65"/>
    </row>
    <row r="162" spans="15:26">
      <c r="O162" s="60"/>
      <c r="P162" s="64"/>
      <c r="Q162" s="149"/>
      <c r="R162" s="149"/>
      <c r="S162" s="149"/>
      <c r="T162" s="149"/>
      <c r="U162" s="149"/>
      <c r="V162" s="150"/>
      <c r="X162" s="65"/>
      <c r="Y162" s="65"/>
      <c r="Z162" s="65"/>
    </row>
    <row r="163" spans="15:26">
      <c r="O163" s="60"/>
      <c r="P163" s="64"/>
      <c r="Q163" s="149"/>
      <c r="R163" s="149"/>
      <c r="S163" s="149"/>
      <c r="T163" s="149"/>
      <c r="U163" s="149"/>
      <c r="V163" s="150"/>
      <c r="X163" s="65"/>
      <c r="Y163" s="65"/>
      <c r="Z163" s="65"/>
    </row>
    <row r="164" spans="15:26">
      <c r="O164" s="60"/>
      <c r="P164" s="64"/>
      <c r="Q164" s="149"/>
      <c r="R164" s="149"/>
      <c r="S164" s="149"/>
      <c r="T164" s="149"/>
      <c r="U164" s="149"/>
      <c r="V164" s="150"/>
      <c r="X164" s="65"/>
      <c r="Y164" s="65"/>
      <c r="Z164" s="65"/>
    </row>
    <row r="165" spans="15:26">
      <c r="O165" s="60"/>
      <c r="P165" s="64"/>
      <c r="Q165" s="149"/>
      <c r="R165" s="149"/>
      <c r="S165" s="149"/>
      <c r="T165" s="149"/>
      <c r="U165" s="149"/>
      <c r="V165" s="150"/>
      <c r="X165" s="65"/>
      <c r="Y165" s="65"/>
      <c r="Z165" s="65"/>
    </row>
    <row r="166" spans="15:26">
      <c r="O166" s="60"/>
      <c r="P166" s="64"/>
      <c r="Q166" s="149"/>
      <c r="R166" s="149"/>
      <c r="S166" s="149"/>
      <c r="T166" s="149"/>
      <c r="U166" s="149"/>
      <c r="V166" s="150"/>
      <c r="X166" s="65"/>
      <c r="Y166" s="65"/>
      <c r="Z166" s="65"/>
    </row>
    <row r="167" spans="15:26">
      <c r="O167" s="60"/>
      <c r="P167" s="64"/>
      <c r="Q167" s="149"/>
      <c r="R167" s="149"/>
      <c r="S167" s="149"/>
      <c r="T167" s="149"/>
      <c r="U167" s="149"/>
      <c r="V167" s="150"/>
      <c r="X167" s="65"/>
      <c r="Y167" s="65"/>
      <c r="Z167" s="65"/>
    </row>
    <row r="168" spans="15:26">
      <c r="O168" s="60"/>
      <c r="P168" s="64"/>
      <c r="Q168" s="149"/>
      <c r="R168" s="149"/>
      <c r="S168" s="149"/>
      <c r="T168" s="149"/>
      <c r="U168" s="149"/>
      <c r="V168" s="150"/>
      <c r="X168" s="65"/>
      <c r="Y168" s="65"/>
      <c r="Z168" s="65"/>
    </row>
    <row r="169" spans="15:26">
      <c r="O169" s="60"/>
      <c r="P169" s="64"/>
      <c r="Q169" s="149"/>
      <c r="R169" s="149"/>
      <c r="S169" s="149"/>
      <c r="T169" s="149"/>
      <c r="U169" s="149"/>
      <c r="V169" s="150"/>
      <c r="X169" s="65"/>
      <c r="Y169" s="65"/>
      <c r="Z169" s="65"/>
    </row>
    <row r="170" spans="15:26">
      <c r="O170" s="60"/>
      <c r="P170" s="64"/>
      <c r="Q170" s="149"/>
      <c r="R170" s="149"/>
      <c r="S170" s="149"/>
      <c r="T170" s="149"/>
      <c r="U170" s="149"/>
      <c r="V170" s="150"/>
      <c r="X170" s="65"/>
      <c r="Y170" s="65"/>
      <c r="Z170" s="65"/>
    </row>
    <row r="171" spans="15:26">
      <c r="O171" s="60"/>
      <c r="P171" s="64"/>
      <c r="Q171" s="149"/>
      <c r="R171" s="149"/>
      <c r="S171" s="149"/>
      <c r="T171" s="149"/>
      <c r="U171" s="149"/>
      <c r="V171" s="150"/>
      <c r="X171" s="65"/>
      <c r="Y171" s="65"/>
      <c r="Z171" s="65"/>
    </row>
    <row r="172" spans="15:26">
      <c r="O172" s="60"/>
      <c r="P172" s="64"/>
      <c r="Q172" s="149"/>
      <c r="R172" s="149"/>
      <c r="S172" s="149"/>
      <c r="T172" s="149"/>
      <c r="U172" s="149"/>
      <c r="V172" s="150"/>
      <c r="X172" s="65"/>
      <c r="Y172" s="65"/>
      <c r="Z172" s="65"/>
    </row>
    <row r="173" spans="15:26">
      <c r="O173" s="60"/>
      <c r="P173" s="64"/>
      <c r="Q173" s="149"/>
      <c r="R173" s="149"/>
      <c r="S173" s="149"/>
      <c r="T173" s="149"/>
      <c r="U173" s="149"/>
      <c r="V173" s="150"/>
      <c r="X173" s="65"/>
      <c r="Y173" s="65"/>
      <c r="Z173" s="65"/>
    </row>
    <row r="174" spans="15:26">
      <c r="O174" s="60"/>
      <c r="P174" s="64"/>
      <c r="Q174" s="149"/>
      <c r="R174" s="149"/>
      <c r="S174" s="149"/>
      <c r="T174" s="149"/>
      <c r="U174" s="149"/>
      <c r="V174" s="150"/>
      <c r="X174" s="65"/>
      <c r="Y174" s="65"/>
      <c r="Z174" s="65"/>
    </row>
    <row r="175" spans="15:26">
      <c r="O175" s="60"/>
      <c r="P175" s="64"/>
      <c r="Q175" s="149"/>
      <c r="R175" s="149"/>
      <c r="S175" s="149"/>
      <c r="T175" s="149"/>
      <c r="U175" s="149"/>
      <c r="V175" s="150"/>
      <c r="X175" s="65"/>
      <c r="Y175" s="65"/>
      <c r="Z175" s="65"/>
    </row>
    <row r="176" spans="15:26">
      <c r="O176" s="61">
        <v>42339</v>
      </c>
      <c r="P176" s="64"/>
      <c r="Q176" s="149"/>
      <c r="R176" s="149"/>
      <c r="S176" s="149"/>
      <c r="T176" s="149"/>
      <c r="U176" s="149"/>
      <c r="V176" s="150"/>
      <c r="X176" s="65"/>
      <c r="Y176" s="65"/>
      <c r="Z176" s="65"/>
    </row>
    <row r="177" spans="15:26">
      <c r="O177" s="61"/>
      <c r="P177" s="64"/>
      <c r="Q177" s="149"/>
      <c r="R177" s="149"/>
      <c r="S177" s="149"/>
      <c r="T177" s="149"/>
      <c r="U177" s="149"/>
      <c r="V177" s="150"/>
      <c r="X177" s="65"/>
      <c r="Y177" s="65"/>
      <c r="Z177" s="65"/>
    </row>
    <row r="178" spans="15:26">
      <c r="O178" s="60"/>
      <c r="P178" s="64"/>
      <c r="Q178" s="149"/>
      <c r="R178" s="149"/>
      <c r="S178" s="149"/>
      <c r="T178" s="149"/>
      <c r="U178" s="149"/>
      <c r="V178" s="150"/>
      <c r="X178" s="65"/>
      <c r="Y178" s="65"/>
      <c r="Z178" s="65"/>
    </row>
    <row r="179" spans="15:26">
      <c r="O179" s="60"/>
      <c r="P179" s="64"/>
      <c r="Q179" s="149"/>
      <c r="R179" s="149"/>
      <c r="S179" s="149"/>
      <c r="T179" s="149"/>
      <c r="U179" s="149"/>
      <c r="V179" s="150"/>
      <c r="X179" s="65"/>
      <c r="Y179" s="65"/>
      <c r="Z179" s="65"/>
    </row>
    <row r="180" spans="15:26">
      <c r="O180" s="60"/>
      <c r="P180" s="64"/>
      <c r="Q180" s="149"/>
      <c r="R180" s="149"/>
      <c r="S180" s="149"/>
      <c r="T180" s="149"/>
      <c r="U180" s="149"/>
      <c r="V180" s="150"/>
      <c r="X180" s="65"/>
      <c r="Y180" s="65"/>
      <c r="Z180" s="65"/>
    </row>
    <row r="181" spans="15:26">
      <c r="O181" s="60"/>
      <c r="P181" s="64"/>
      <c r="Q181" s="149"/>
      <c r="R181" s="149"/>
      <c r="S181" s="149"/>
      <c r="T181" s="149"/>
      <c r="U181" s="149"/>
      <c r="V181" s="150"/>
      <c r="X181" s="65"/>
      <c r="Y181" s="65"/>
      <c r="Z181" s="65"/>
    </row>
    <row r="182" spans="15:26">
      <c r="O182" s="60"/>
      <c r="P182" s="64"/>
      <c r="Q182" s="149"/>
      <c r="R182" s="149"/>
      <c r="S182" s="149"/>
      <c r="T182" s="149"/>
      <c r="U182" s="149"/>
      <c r="V182" s="150"/>
      <c r="X182" s="65"/>
      <c r="Y182" s="65"/>
      <c r="Z182" s="65"/>
    </row>
    <row r="183" spans="15:26">
      <c r="O183" s="60"/>
      <c r="P183" s="64"/>
      <c r="Q183" s="149"/>
      <c r="R183" s="149"/>
      <c r="S183" s="149"/>
      <c r="T183" s="149"/>
      <c r="U183" s="149"/>
      <c r="V183" s="150"/>
      <c r="X183" s="65"/>
      <c r="Y183" s="65"/>
      <c r="Z183" s="65"/>
    </row>
    <row r="184" spans="15:26">
      <c r="O184" s="60"/>
      <c r="P184" s="64"/>
      <c r="Q184" s="149"/>
      <c r="R184" s="149"/>
      <c r="S184" s="149"/>
      <c r="T184" s="149"/>
      <c r="U184" s="149"/>
      <c r="V184" s="150"/>
      <c r="X184" s="65"/>
      <c r="Y184" s="65"/>
      <c r="Z184" s="65"/>
    </row>
    <row r="185" spans="15:26">
      <c r="O185" s="60"/>
      <c r="P185" s="64"/>
      <c r="Q185" s="149"/>
      <c r="R185" s="149"/>
      <c r="S185" s="149"/>
      <c r="T185" s="149"/>
      <c r="U185" s="149"/>
      <c r="V185" s="150"/>
      <c r="X185" s="65"/>
      <c r="Y185" s="65"/>
      <c r="Z185" s="65"/>
    </row>
    <row r="186" spans="15:26">
      <c r="O186" s="60"/>
      <c r="P186" s="64"/>
      <c r="Q186" s="149"/>
      <c r="R186" s="149"/>
      <c r="S186" s="149"/>
      <c r="T186" s="149"/>
      <c r="U186" s="149"/>
      <c r="V186" s="150"/>
      <c r="X186" s="65"/>
      <c r="Y186" s="65"/>
      <c r="Z186" s="65"/>
    </row>
    <row r="187" spans="15:26">
      <c r="O187" s="60"/>
      <c r="P187" s="64"/>
      <c r="Q187" s="149"/>
      <c r="R187" s="149"/>
      <c r="S187" s="149"/>
      <c r="T187" s="149"/>
      <c r="U187" s="149"/>
      <c r="V187" s="150"/>
      <c r="X187" s="65"/>
      <c r="Y187" s="65"/>
      <c r="Z187" s="65"/>
    </row>
    <row r="188" spans="15:26">
      <c r="O188" s="60"/>
      <c r="P188" s="64"/>
      <c r="Q188" s="149"/>
      <c r="R188" s="149"/>
      <c r="S188" s="149"/>
      <c r="T188" s="149"/>
      <c r="U188" s="149"/>
      <c r="V188" s="150"/>
      <c r="X188" s="65"/>
      <c r="Y188" s="65"/>
      <c r="Z188" s="65"/>
    </row>
    <row r="189" spans="15:26">
      <c r="O189" s="60"/>
      <c r="P189" s="64"/>
      <c r="Q189" s="149"/>
      <c r="R189" s="149"/>
      <c r="S189" s="149"/>
      <c r="T189" s="149"/>
      <c r="U189" s="149"/>
      <c r="V189" s="150"/>
      <c r="X189" s="65"/>
      <c r="Y189" s="65"/>
      <c r="Z189" s="65"/>
    </row>
    <row r="190" spans="15:26">
      <c r="O190" s="60"/>
      <c r="P190" s="64"/>
      <c r="Q190" s="149"/>
      <c r="R190" s="149"/>
      <c r="S190" s="149"/>
      <c r="T190" s="149"/>
      <c r="U190" s="149"/>
      <c r="V190" s="150"/>
      <c r="X190" s="65"/>
      <c r="Y190" s="65"/>
      <c r="Z190" s="65"/>
    </row>
    <row r="191" spans="15:26">
      <c r="O191" s="60"/>
      <c r="P191" s="64"/>
      <c r="Q191" s="149"/>
      <c r="R191" s="149"/>
      <c r="S191" s="149"/>
      <c r="T191" s="149"/>
      <c r="U191" s="149"/>
      <c r="V191" s="150"/>
      <c r="X191" s="65"/>
      <c r="Y191" s="65"/>
      <c r="Z191" s="65"/>
    </row>
    <row r="192" spans="15:26">
      <c r="O192" s="60"/>
      <c r="P192" s="64"/>
      <c r="Q192" s="149"/>
      <c r="R192" s="149"/>
      <c r="S192" s="149"/>
      <c r="T192" s="149"/>
      <c r="U192" s="149"/>
      <c r="V192" s="150"/>
      <c r="X192" s="65"/>
      <c r="Y192" s="65"/>
      <c r="Z192" s="65"/>
    </row>
    <row r="193" spans="15:26">
      <c r="O193" s="60"/>
      <c r="P193" s="64"/>
      <c r="Q193" s="149"/>
      <c r="R193" s="149"/>
      <c r="S193" s="149"/>
      <c r="T193" s="149"/>
      <c r="U193" s="149"/>
      <c r="V193" s="150"/>
      <c r="X193" s="65"/>
      <c r="Y193" s="65"/>
      <c r="Z193" s="65"/>
    </row>
    <row r="194" spans="15:26">
      <c r="O194" s="60"/>
      <c r="P194" s="64"/>
      <c r="Q194" s="149"/>
      <c r="R194" s="149"/>
      <c r="S194" s="149"/>
      <c r="T194" s="149"/>
      <c r="U194" s="149"/>
      <c r="V194" s="150"/>
      <c r="X194" s="65"/>
      <c r="Y194" s="65"/>
      <c r="Z194" s="65"/>
    </row>
    <row r="195" spans="15:26">
      <c r="O195" s="60"/>
      <c r="P195" s="64"/>
      <c r="Q195" s="149"/>
      <c r="R195" s="149"/>
      <c r="S195" s="149"/>
      <c r="T195" s="149"/>
      <c r="U195" s="149"/>
      <c r="V195" s="150"/>
      <c r="X195" s="65"/>
      <c r="Y195" s="65"/>
      <c r="Z195" s="65"/>
    </row>
    <row r="196" spans="15:26">
      <c r="O196" s="60"/>
      <c r="P196" s="64"/>
      <c r="Q196" s="149"/>
      <c r="R196" s="149"/>
      <c r="S196" s="149"/>
      <c r="T196" s="149"/>
      <c r="U196" s="149"/>
      <c r="V196" s="150"/>
      <c r="X196" s="65"/>
      <c r="Y196" s="65"/>
      <c r="Z196" s="65"/>
    </row>
    <row r="197" spans="15:26">
      <c r="O197" s="60"/>
      <c r="P197" s="64"/>
      <c r="Q197" s="149"/>
      <c r="R197" s="149"/>
      <c r="S197" s="149"/>
      <c r="T197" s="149"/>
      <c r="U197" s="149"/>
      <c r="V197" s="150"/>
      <c r="X197" s="65"/>
      <c r="Y197" s="65"/>
      <c r="Z197" s="65"/>
    </row>
    <row r="198" spans="15:26">
      <c r="O198" s="60"/>
      <c r="P198" s="64"/>
      <c r="Q198" s="149"/>
      <c r="R198" s="149"/>
      <c r="S198" s="149"/>
      <c r="T198" s="149"/>
      <c r="U198" s="149"/>
      <c r="V198" s="150"/>
      <c r="X198" s="65"/>
      <c r="Y198" s="65"/>
      <c r="Z198" s="65"/>
    </row>
    <row r="199" spans="15:26">
      <c r="O199" s="60"/>
      <c r="P199" s="64"/>
      <c r="Q199" s="149"/>
      <c r="R199" s="149"/>
      <c r="S199" s="149"/>
      <c r="T199" s="149"/>
      <c r="U199" s="149"/>
      <c r="V199" s="150"/>
      <c r="X199" s="65"/>
      <c r="Y199" s="65"/>
      <c r="Z199" s="65"/>
    </row>
    <row r="200" spans="15:26">
      <c r="O200" s="60"/>
      <c r="P200" s="64"/>
      <c r="Q200" s="149"/>
      <c r="R200" s="149"/>
      <c r="S200" s="149"/>
      <c r="T200" s="149"/>
      <c r="U200" s="149"/>
      <c r="V200" s="150"/>
      <c r="X200" s="65"/>
      <c r="Y200" s="65"/>
      <c r="Z200" s="65"/>
    </row>
    <row r="201" spans="15:26">
      <c r="O201" s="60"/>
      <c r="P201" s="64"/>
      <c r="Q201" s="149"/>
      <c r="R201" s="149"/>
      <c r="S201" s="149"/>
      <c r="T201" s="149"/>
      <c r="U201" s="149"/>
      <c r="V201" s="150"/>
      <c r="X201" s="65"/>
      <c r="Y201" s="65"/>
      <c r="Z201" s="65"/>
    </row>
    <row r="202" spans="15:26">
      <c r="O202" s="60"/>
      <c r="P202" s="64"/>
      <c r="Q202" s="149"/>
      <c r="R202" s="149"/>
      <c r="S202" s="149"/>
      <c r="T202" s="149"/>
      <c r="U202" s="149"/>
      <c r="V202" s="150"/>
      <c r="X202" s="65"/>
      <c r="Y202" s="65"/>
      <c r="Z202" s="65"/>
    </row>
    <row r="203" spans="15:26">
      <c r="O203" s="60"/>
      <c r="P203" s="64"/>
      <c r="Q203" s="149"/>
      <c r="R203" s="149"/>
      <c r="S203" s="149"/>
      <c r="T203" s="149"/>
      <c r="U203" s="149"/>
      <c r="V203" s="150"/>
      <c r="X203" s="65"/>
      <c r="Y203" s="65"/>
      <c r="Z203" s="65"/>
    </row>
    <row r="204" spans="15:26">
      <c r="O204" s="60"/>
      <c r="P204" s="64"/>
      <c r="Q204" s="149"/>
      <c r="R204" s="149"/>
      <c r="S204" s="149"/>
      <c r="T204" s="149"/>
      <c r="U204" s="149"/>
      <c r="V204" s="150"/>
      <c r="X204" s="65"/>
      <c r="Y204" s="65"/>
      <c r="Z204" s="65"/>
    </row>
    <row r="205" spans="15:26">
      <c r="O205" s="60"/>
      <c r="P205" s="64"/>
      <c r="Q205" s="149"/>
      <c r="R205" s="149"/>
      <c r="S205" s="149"/>
      <c r="T205" s="149"/>
      <c r="U205" s="149"/>
      <c r="V205" s="150"/>
      <c r="X205" s="65"/>
      <c r="Y205" s="65"/>
      <c r="Z205" s="65"/>
    </row>
    <row r="206" spans="15:26">
      <c r="O206" s="60"/>
      <c r="P206" s="64"/>
      <c r="Q206" s="149"/>
      <c r="R206" s="149"/>
      <c r="S206" s="149"/>
      <c r="T206" s="149"/>
      <c r="U206" s="149"/>
      <c r="V206" s="150"/>
      <c r="X206" s="65"/>
      <c r="Y206" s="65"/>
      <c r="Z206" s="65"/>
    </row>
    <row r="207" spans="15:26">
      <c r="O207" s="61">
        <v>42370</v>
      </c>
      <c r="P207" s="64"/>
      <c r="Q207" s="149"/>
      <c r="R207" s="149"/>
      <c r="S207" s="149"/>
      <c r="T207" s="149"/>
      <c r="U207" s="149"/>
      <c r="V207" s="150"/>
      <c r="X207" s="65"/>
      <c r="Y207" s="65"/>
      <c r="Z207" s="65"/>
    </row>
    <row r="208" spans="15:26">
      <c r="O208" s="61"/>
      <c r="P208" s="64"/>
      <c r="Q208" s="149"/>
      <c r="R208" s="149"/>
      <c r="S208" s="149"/>
      <c r="T208" s="149"/>
      <c r="U208" s="149"/>
      <c r="V208" s="150"/>
      <c r="X208" s="65"/>
      <c r="Y208" s="65"/>
      <c r="Z208" s="65"/>
    </row>
    <row r="209" spans="15:26">
      <c r="O209" s="60"/>
      <c r="P209" s="64"/>
      <c r="Q209" s="149"/>
      <c r="R209" s="149"/>
      <c r="S209" s="149"/>
      <c r="T209" s="149"/>
      <c r="U209" s="149"/>
      <c r="V209" s="150"/>
      <c r="X209" s="65"/>
      <c r="Y209" s="65"/>
      <c r="Z209" s="65"/>
    </row>
    <row r="210" spans="15:26">
      <c r="O210" s="60"/>
      <c r="P210" s="64"/>
      <c r="Q210" s="149"/>
      <c r="R210" s="149"/>
      <c r="S210" s="149"/>
      <c r="T210" s="149"/>
      <c r="U210" s="149"/>
      <c r="V210" s="150"/>
      <c r="X210" s="65"/>
      <c r="Y210" s="65"/>
      <c r="Z210" s="65"/>
    </row>
    <row r="211" spans="15:26">
      <c r="O211" s="60"/>
      <c r="P211" s="64"/>
      <c r="Q211" s="149"/>
      <c r="R211" s="149"/>
      <c r="S211" s="149"/>
      <c r="T211" s="149"/>
      <c r="U211" s="149"/>
      <c r="V211" s="150"/>
      <c r="X211" s="65"/>
      <c r="Y211" s="65"/>
      <c r="Z211" s="65"/>
    </row>
    <row r="212" spans="15:26">
      <c r="O212" s="60"/>
      <c r="P212" s="64"/>
      <c r="Q212" s="149"/>
      <c r="R212" s="149"/>
      <c r="S212" s="149"/>
      <c r="T212" s="149"/>
      <c r="U212" s="149"/>
      <c r="V212" s="150"/>
      <c r="X212" s="65"/>
      <c r="Y212" s="65"/>
      <c r="Z212" s="65"/>
    </row>
    <row r="213" spans="15:26">
      <c r="O213" s="60"/>
      <c r="P213" s="64"/>
      <c r="Q213" s="149"/>
      <c r="R213" s="149"/>
      <c r="S213" s="149"/>
      <c r="T213" s="149"/>
      <c r="U213" s="149"/>
      <c r="V213" s="150"/>
      <c r="X213" s="65"/>
      <c r="Y213" s="65"/>
      <c r="Z213" s="65"/>
    </row>
    <row r="214" spans="15:26">
      <c r="O214" s="60"/>
      <c r="P214" s="64"/>
      <c r="Q214" s="149"/>
      <c r="R214" s="149"/>
      <c r="S214" s="149"/>
      <c r="T214" s="149"/>
      <c r="U214" s="149"/>
      <c r="V214" s="150"/>
      <c r="X214" s="65"/>
      <c r="Y214" s="65"/>
      <c r="Z214" s="65"/>
    </row>
    <row r="215" spans="15:26">
      <c r="O215" s="60"/>
      <c r="P215" s="64"/>
      <c r="Q215" s="149"/>
      <c r="R215" s="149"/>
      <c r="S215" s="149"/>
      <c r="T215" s="149"/>
      <c r="U215" s="149"/>
      <c r="V215" s="150"/>
      <c r="X215" s="65"/>
      <c r="Y215" s="65"/>
      <c r="Z215" s="65"/>
    </row>
    <row r="216" spans="15:26">
      <c r="O216" s="60"/>
      <c r="P216" s="64"/>
      <c r="Q216" s="149"/>
      <c r="R216" s="149"/>
      <c r="S216" s="149"/>
      <c r="T216" s="149"/>
      <c r="U216" s="149"/>
      <c r="V216" s="150"/>
      <c r="X216" s="65"/>
      <c r="Y216" s="65"/>
      <c r="Z216" s="65"/>
    </row>
    <row r="217" spans="15:26">
      <c r="O217" s="60"/>
      <c r="P217" s="64"/>
      <c r="Q217" s="149"/>
      <c r="R217" s="149"/>
      <c r="S217" s="149"/>
      <c r="T217" s="149"/>
      <c r="U217" s="149"/>
      <c r="V217" s="150"/>
      <c r="X217" s="65"/>
      <c r="Y217" s="65"/>
      <c r="Z217" s="65"/>
    </row>
    <row r="218" spans="15:26">
      <c r="O218" s="60"/>
      <c r="P218" s="64"/>
      <c r="Q218" s="149"/>
      <c r="R218" s="149"/>
      <c r="S218" s="149"/>
      <c r="T218" s="149"/>
      <c r="U218" s="149"/>
      <c r="V218" s="150"/>
      <c r="X218" s="65"/>
      <c r="Y218" s="65"/>
      <c r="Z218" s="65"/>
    </row>
    <row r="219" spans="15:26">
      <c r="O219" s="60"/>
      <c r="P219" s="64"/>
      <c r="Q219" s="149"/>
      <c r="R219" s="149"/>
      <c r="S219" s="149"/>
      <c r="T219" s="149"/>
      <c r="U219" s="149"/>
      <c r="V219" s="150"/>
      <c r="X219" s="65"/>
      <c r="Y219" s="65"/>
      <c r="Z219" s="65"/>
    </row>
    <row r="220" spans="15:26">
      <c r="O220" s="60"/>
      <c r="P220" s="64"/>
      <c r="Q220" s="149"/>
      <c r="R220" s="149"/>
      <c r="S220" s="149"/>
      <c r="T220" s="149"/>
      <c r="U220" s="149"/>
      <c r="V220" s="150"/>
      <c r="X220" s="65"/>
      <c r="Y220" s="65"/>
      <c r="Z220" s="65"/>
    </row>
    <row r="221" spans="15:26">
      <c r="O221" s="60"/>
      <c r="P221" s="64"/>
      <c r="Q221" s="149"/>
      <c r="R221" s="149"/>
      <c r="S221" s="149"/>
      <c r="T221" s="149"/>
      <c r="U221" s="149"/>
      <c r="V221" s="150"/>
      <c r="X221" s="65"/>
      <c r="Y221" s="65"/>
      <c r="Z221" s="65"/>
    </row>
    <row r="222" spans="15:26">
      <c r="O222" s="60"/>
      <c r="P222" s="64"/>
      <c r="Q222" s="149"/>
      <c r="R222" s="149"/>
      <c r="S222" s="149"/>
      <c r="T222" s="149"/>
      <c r="U222" s="149"/>
      <c r="V222" s="150"/>
      <c r="X222" s="65"/>
      <c r="Y222" s="65"/>
      <c r="Z222" s="65"/>
    </row>
    <row r="223" spans="15:26">
      <c r="O223" s="60"/>
      <c r="P223" s="64"/>
      <c r="Q223" s="149"/>
      <c r="R223" s="149"/>
      <c r="S223" s="149"/>
      <c r="T223" s="149"/>
      <c r="U223" s="149"/>
      <c r="V223" s="150"/>
      <c r="X223" s="65"/>
      <c r="Y223" s="65"/>
      <c r="Z223" s="65"/>
    </row>
    <row r="224" spans="15:26">
      <c r="O224" s="60"/>
      <c r="P224" s="64"/>
      <c r="Q224" s="149"/>
      <c r="R224" s="149"/>
      <c r="S224" s="149"/>
      <c r="T224" s="149"/>
      <c r="U224" s="149"/>
      <c r="V224" s="150"/>
      <c r="X224" s="65"/>
      <c r="Y224" s="65"/>
      <c r="Z224" s="65"/>
    </row>
    <row r="225" spans="15:26">
      <c r="O225" s="60"/>
      <c r="P225" s="64"/>
      <c r="Q225" s="149"/>
      <c r="R225" s="149"/>
      <c r="S225" s="149"/>
      <c r="T225" s="149"/>
      <c r="U225" s="149"/>
      <c r="V225" s="150"/>
      <c r="X225" s="65"/>
      <c r="Y225" s="65"/>
      <c r="Z225" s="65"/>
    </row>
    <row r="226" spans="15:26">
      <c r="O226" s="60"/>
      <c r="P226" s="64"/>
      <c r="Q226" s="149"/>
      <c r="R226" s="149"/>
      <c r="S226" s="149"/>
      <c r="T226" s="149"/>
      <c r="U226" s="149"/>
      <c r="V226" s="150"/>
      <c r="X226" s="65"/>
      <c r="Y226" s="65"/>
      <c r="Z226" s="65"/>
    </row>
    <row r="227" spans="15:26">
      <c r="O227" s="60"/>
      <c r="P227" s="64"/>
      <c r="Q227" s="149"/>
      <c r="R227" s="149"/>
      <c r="S227" s="149"/>
      <c r="T227" s="149"/>
      <c r="U227" s="149"/>
      <c r="V227" s="150"/>
      <c r="X227" s="65"/>
      <c r="Y227" s="65"/>
      <c r="Z227" s="65"/>
    </row>
    <row r="228" spans="15:26">
      <c r="O228" s="60"/>
      <c r="P228" s="64"/>
      <c r="Q228" s="149"/>
      <c r="R228" s="149"/>
      <c r="S228" s="149"/>
      <c r="T228" s="149"/>
      <c r="U228" s="149"/>
      <c r="V228" s="150"/>
      <c r="X228" s="65"/>
      <c r="Y228" s="65"/>
      <c r="Z228" s="65"/>
    </row>
    <row r="229" spans="15:26">
      <c r="O229" s="60"/>
      <c r="P229" s="64"/>
      <c r="Q229" s="149"/>
      <c r="R229" s="149"/>
      <c r="S229" s="149"/>
      <c r="T229" s="149"/>
      <c r="U229" s="149"/>
      <c r="V229" s="150"/>
      <c r="X229" s="65"/>
      <c r="Y229" s="65"/>
      <c r="Z229" s="65"/>
    </row>
    <row r="230" spans="15:26">
      <c r="O230" s="60"/>
      <c r="P230" s="64"/>
      <c r="Q230" s="149"/>
      <c r="R230" s="149"/>
      <c r="S230" s="149"/>
      <c r="T230" s="149"/>
      <c r="U230" s="149"/>
      <c r="V230" s="150"/>
      <c r="X230" s="65"/>
      <c r="Y230" s="65"/>
      <c r="Z230" s="65"/>
    </row>
    <row r="231" spans="15:26">
      <c r="O231" s="60"/>
      <c r="P231" s="64"/>
      <c r="Q231" s="149"/>
      <c r="R231" s="149"/>
      <c r="S231" s="149"/>
      <c r="T231" s="149"/>
      <c r="U231" s="149"/>
      <c r="V231" s="150"/>
      <c r="X231" s="65"/>
      <c r="Y231" s="65"/>
      <c r="Z231" s="65"/>
    </row>
    <row r="232" spans="15:26">
      <c r="O232" s="60"/>
      <c r="P232" s="64"/>
      <c r="Q232" s="149"/>
      <c r="R232" s="149"/>
      <c r="S232" s="149"/>
      <c r="T232" s="149"/>
      <c r="U232" s="149"/>
      <c r="V232" s="150"/>
      <c r="X232" s="65"/>
      <c r="Y232" s="65"/>
      <c r="Z232" s="65"/>
    </row>
    <row r="233" spans="15:26">
      <c r="O233" s="60"/>
      <c r="P233" s="64"/>
      <c r="Q233" s="149"/>
      <c r="R233" s="149"/>
      <c r="S233" s="149"/>
      <c r="T233" s="149"/>
      <c r="U233" s="149"/>
      <c r="V233" s="150"/>
      <c r="X233" s="65"/>
      <c r="Y233" s="65"/>
      <c r="Z233" s="65"/>
    </row>
    <row r="234" spans="15:26">
      <c r="O234" s="60"/>
      <c r="P234" s="64"/>
      <c r="Q234" s="149"/>
      <c r="R234" s="149"/>
      <c r="S234" s="149"/>
      <c r="T234" s="149"/>
      <c r="U234" s="149"/>
      <c r="V234" s="150"/>
      <c r="X234" s="65"/>
      <c r="Y234" s="65"/>
      <c r="Z234" s="65"/>
    </row>
    <row r="235" spans="15:26">
      <c r="O235" s="60"/>
      <c r="P235" s="64"/>
      <c r="Q235" s="149"/>
      <c r="R235" s="149"/>
      <c r="S235" s="149"/>
      <c r="T235" s="149"/>
      <c r="U235" s="149"/>
      <c r="V235" s="150"/>
      <c r="X235" s="65"/>
      <c r="Y235" s="65"/>
      <c r="Z235" s="65"/>
    </row>
    <row r="236" spans="15:26">
      <c r="O236" s="60"/>
      <c r="P236" s="64"/>
      <c r="Q236" s="149"/>
      <c r="R236" s="149"/>
      <c r="S236" s="149"/>
      <c r="T236" s="149"/>
      <c r="U236" s="149"/>
      <c r="V236" s="150"/>
      <c r="X236" s="65"/>
      <c r="Y236" s="65"/>
      <c r="Z236" s="65"/>
    </row>
    <row r="237" spans="15:26">
      <c r="O237" s="60"/>
      <c r="P237" s="64"/>
      <c r="Q237" s="149"/>
      <c r="R237" s="149"/>
      <c r="S237" s="149"/>
      <c r="T237" s="149"/>
      <c r="U237" s="149"/>
      <c r="V237" s="150"/>
      <c r="X237" s="65"/>
      <c r="Y237" s="65"/>
      <c r="Z237" s="65"/>
    </row>
    <row r="238" spans="15:26">
      <c r="O238" s="61">
        <v>42401</v>
      </c>
      <c r="P238" s="64"/>
      <c r="Q238" s="149"/>
      <c r="R238" s="149"/>
      <c r="S238" s="149"/>
      <c r="T238" s="149"/>
      <c r="U238" s="149"/>
      <c r="V238" s="150"/>
      <c r="X238" s="65"/>
      <c r="Y238" s="65"/>
      <c r="Z238" s="65"/>
    </row>
    <row r="239" spans="15:26">
      <c r="O239" s="61"/>
      <c r="P239" s="64"/>
      <c r="Q239" s="149"/>
      <c r="R239" s="149"/>
      <c r="S239" s="149"/>
      <c r="T239" s="149"/>
      <c r="U239" s="149"/>
      <c r="V239" s="150"/>
      <c r="X239" s="65"/>
      <c r="Y239" s="65"/>
      <c r="Z239" s="65"/>
    </row>
    <row r="240" spans="15:26">
      <c r="O240" s="60"/>
      <c r="P240" s="64"/>
      <c r="Q240" s="149"/>
      <c r="R240" s="149"/>
      <c r="S240" s="149"/>
      <c r="T240" s="149"/>
      <c r="U240" s="149"/>
      <c r="V240" s="150"/>
      <c r="X240" s="65"/>
      <c r="Y240" s="65"/>
      <c r="Z240" s="65"/>
    </row>
    <row r="241" spans="15:26">
      <c r="O241" s="60"/>
      <c r="P241" s="64"/>
      <c r="Q241" s="149"/>
      <c r="R241" s="149"/>
      <c r="S241" s="149"/>
      <c r="T241" s="149"/>
      <c r="U241" s="149"/>
      <c r="V241" s="150"/>
      <c r="X241" s="65"/>
      <c r="Y241" s="65"/>
      <c r="Z241" s="65"/>
    </row>
    <row r="242" spans="15:26">
      <c r="O242" s="60"/>
      <c r="P242" s="64"/>
      <c r="Q242" s="149"/>
      <c r="R242" s="149"/>
      <c r="S242" s="149"/>
      <c r="T242" s="149"/>
      <c r="U242" s="149"/>
      <c r="V242" s="150"/>
      <c r="X242" s="65"/>
      <c r="Y242" s="65"/>
      <c r="Z242" s="65"/>
    </row>
    <row r="243" spans="15:26">
      <c r="O243" s="60"/>
      <c r="P243" s="64"/>
      <c r="Q243" s="149"/>
      <c r="R243" s="149"/>
      <c r="S243" s="149"/>
      <c r="T243" s="149"/>
      <c r="U243" s="149"/>
      <c r="V243" s="150"/>
      <c r="X243" s="65"/>
      <c r="Y243" s="65"/>
      <c r="Z243" s="65"/>
    </row>
    <row r="244" spans="15:26">
      <c r="O244" s="60"/>
      <c r="P244" s="64"/>
      <c r="Q244" s="149"/>
      <c r="R244" s="149"/>
      <c r="S244" s="149"/>
      <c r="T244" s="149"/>
      <c r="U244" s="149"/>
      <c r="V244" s="150"/>
      <c r="X244" s="65"/>
      <c r="Y244" s="65"/>
      <c r="Z244" s="65"/>
    </row>
    <row r="245" spans="15:26">
      <c r="O245" s="60"/>
      <c r="P245" s="64"/>
      <c r="Q245" s="149"/>
      <c r="R245" s="149"/>
      <c r="S245" s="149"/>
      <c r="T245" s="149"/>
      <c r="U245" s="149"/>
      <c r="V245" s="150"/>
      <c r="X245" s="65"/>
      <c r="Y245" s="65"/>
      <c r="Z245" s="65"/>
    </row>
    <row r="246" spans="15:26">
      <c r="O246" s="60"/>
      <c r="P246" s="64"/>
      <c r="Q246" s="149"/>
      <c r="R246" s="149"/>
      <c r="S246" s="149"/>
      <c r="T246" s="149"/>
      <c r="U246" s="149"/>
      <c r="V246" s="150"/>
      <c r="X246" s="65"/>
      <c r="Y246" s="65"/>
      <c r="Z246" s="65"/>
    </row>
    <row r="247" spans="15:26">
      <c r="O247" s="60"/>
      <c r="P247" s="64"/>
      <c r="Q247" s="149"/>
      <c r="R247" s="149"/>
      <c r="S247" s="149"/>
      <c r="T247" s="149"/>
      <c r="U247" s="149"/>
      <c r="V247" s="150"/>
      <c r="X247" s="65"/>
      <c r="Y247" s="65"/>
      <c r="Z247" s="65"/>
    </row>
    <row r="248" spans="15:26">
      <c r="O248" s="60"/>
      <c r="P248" s="64"/>
      <c r="Q248" s="149"/>
      <c r="R248" s="149"/>
      <c r="S248" s="149"/>
      <c r="T248" s="149"/>
      <c r="U248" s="149"/>
      <c r="V248" s="150"/>
      <c r="X248" s="65"/>
      <c r="Y248" s="65"/>
      <c r="Z248" s="65"/>
    </row>
    <row r="249" spans="15:26">
      <c r="O249" s="60"/>
      <c r="P249" s="64"/>
      <c r="Q249" s="149"/>
      <c r="R249" s="149"/>
      <c r="S249" s="149"/>
      <c r="T249" s="149"/>
      <c r="U249" s="149"/>
      <c r="V249" s="150"/>
      <c r="X249" s="65"/>
      <c r="Y249" s="65"/>
      <c r="Z249" s="65"/>
    </row>
    <row r="250" spans="15:26">
      <c r="O250" s="60"/>
      <c r="P250" s="64"/>
      <c r="Q250" s="149"/>
      <c r="R250" s="149"/>
      <c r="S250" s="149"/>
      <c r="T250" s="149"/>
      <c r="U250" s="149"/>
      <c r="V250" s="150"/>
      <c r="X250" s="65"/>
      <c r="Y250" s="65"/>
      <c r="Z250" s="65"/>
    </row>
    <row r="251" spans="15:26">
      <c r="O251" s="60"/>
      <c r="P251" s="64"/>
      <c r="Q251" s="149"/>
      <c r="R251" s="149"/>
      <c r="S251" s="149"/>
      <c r="T251" s="149"/>
      <c r="U251" s="149"/>
      <c r="V251" s="150"/>
      <c r="X251" s="65"/>
      <c r="Y251" s="65"/>
      <c r="Z251" s="65"/>
    </row>
    <row r="252" spans="15:26">
      <c r="O252" s="60"/>
      <c r="P252" s="64"/>
      <c r="Q252" s="149"/>
      <c r="R252" s="149"/>
      <c r="S252" s="149"/>
      <c r="T252" s="149"/>
      <c r="U252" s="149"/>
      <c r="V252" s="150"/>
      <c r="X252" s="65"/>
      <c r="Y252" s="65"/>
      <c r="Z252" s="65"/>
    </row>
    <row r="253" spans="15:26">
      <c r="O253" s="60"/>
      <c r="P253" s="64"/>
      <c r="Q253" s="149"/>
      <c r="R253" s="149"/>
      <c r="S253" s="149"/>
      <c r="T253" s="149"/>
      <c r="U253" s="149"/>
      <c r="V253" s="150"/>
      <c r="X253" s="65"/>
      <c r="Y253" s="65"/>
      <c r="Z253" s="65"/>
    </row>
    <row r="254" spans="15:26">
      <c r="O254" s="60"/>
      <c r="P254" s="64"/>
      <c r="Q254" s="149"/>
      <c r="R254" s="149"/>
      <c r="S254" s="149"/>
      <c r="T254" s="149"/>
      <c r="U254" s="149"/>
      <c r="V254" s="150"/>
      <c r="X254" s="65"/>
      <c r="Y254" s="65"/>
      <c r="Z254" s="65"/>
    </row>
    <row r="255" spans="15:26">
      <c r="O255" s="60"/>
      <c r="P255" s="64"/>
      <c r="Q255" s="149"/>
      <c r="R255" s="149"/>
      <c r="S255" s="149"/>
      <c r="T255" s="149"/>
      <c r="U255" s="149"/>
      <c r="V255" s="150"/>
      <c r="X255" s="65"/>
      <c r="Y255" s="65"/>
      <c r="Z255" s="65"/>
    </row>
    <row r="256" spans="15:26">
      <c r="O256" s="60"/>
      <c r="P256" s="64"/>
      <c r="Q256" s="149"/>
      <c r="R256" s="149"/>
      <c r="S256" s="149"/>
      <c r="T256" s="149"/>
      <c r="U256" s="149"/>
      <c r="V256" s="150"/>
      <c r="X256" s="65"/>
      <c r="Y256" s="65"/>
      <c r="Z256" s="65"/>
    </row>
    <row r="257" spans="15:26">
      <c r="O257" s="60"/>
      <c r="P257" s="64"/>
      <c r="Q257" s="149"/>
      <c r="R257" s="149"/>
      <c r="S257" s="149"/>
      <c r="T257" s="149"/>
      <c r="U257" s="149"/>
      <c r="V257" s="150"/>
      <c r="X257" s="65"/>
      <c r="Y257" s="65"/>
      <c r="Z257" s="65"/>
    </row>
    <row r="258" spans="15:26">
      <c r="O258" s="60"/>
      <c r="P258" s="64"/>
      <c r="Q258" s="149"/>
      <c r="R258" s="149"/>
      <c r="S258" s="149"/>
      <c r="T258" s="149"/>
      <c r="U258" s="149"/>
      <c r="V258" s="150"/>
      <c r="X258" s="65"/>
      <c r="Y258" s="65"/>
      <c r="Z258" s="65"/>
    </row>
    <row r="259" spans="15:26">
      <c r="O259" s="60"/>
      <c r="P259" s="64"/>
      <c r="Q259" s="149"/>
      <c r="R259" s="149"/>
      <c r="S259" s="149"/>
      <c r="T259" s="149"/>
      <c r="U259" s="149"/>
      <c r="V259" s="150"/>
      <c r="X259" s="65"/>
      <c r="Y259" s="65"/>
      <c r="Z259" s="65"/>
    </row>
    <row r="260" spans="15:26">
      <c r="O260" s="60"/>
      <c r="P260" s="64"/>
      <c r="Q260" s="149"/>
      <c r="R260" s="149"/>
      <c r="S260" s="149"/>
      <c r="T260" s="149"/>
      <c r="U260" s="149"/>
      <c r="V260" s="150"/>
      <c r="X260" s="65"/>
      <c r="Y260" s="65"/>
      <c r="Z260" s="65"/>
    </row>
    <row r="261" spans="15:26">
      <c r="O261" s="60"/>
      <c r="P261" s="64"/>
      <c r="Q261" s="149"/>
      <c r="R261" s="149"/>
      <c r="S261" s="149"/>
      <c r="T261" s="149"/>
      <c r="U261" s="149"/>
      <c r="V261" s="150"/>
      <c r="X261" s="65"/>
      <c r="Y261" s="65"/>
      <c r="Z261" s="65"/>
    </row>
    <row r="262" spans="15:26">
      <c r="O262" s="60"/>
      <c r="P262" s="64"/>
      <c r="Q262" s="149"/>
      <c r="R262" s="149"/>
      <c r="S262" s="149"/>
      <c r="T262" s="149"/>
      <c r="U262" s="149"/>
      <c r="V262" s="150"/>
      <c r="X262" s="65"/>
      <c r="Y262" s="65"/>
      <c r="Z262" s="65"/>
    </row>
    <row r="263" spans="15:26">
      <c r="O263" s="60"/>
      <c r="P263" s="64"/>
      <c r="Q263" s="149"/>
      <c r="R263" s="149"/>
      <c r="S263" s="149"/>
      <c r="T263" s="149"/>
      <c r="U263" s="149"/>
      <c r="V263" s="150"/>
      <c r="X263" s="65"/>
      <c r="Y263" s="65"/>
      <c r="Z263" s="65"/>
    </row>
    <row r="264" spans="15:26">
      <c r="O264" s="60"/>
      <c r="P264" s="64"/>
      <c r="Q264" s="149"/>
      <c r="R264" s="149"/>
      <c r="S264" s="149"/>
      <c r="T264" s="149"/>
      <c r="U264" s="149"/>
      <c r="V264" s="150"/>
      <c r="X264" s="65"/>
      <c r="Y264" s="65"/>
      <c r="Z264" s="65"/>
    </row>
    <row r="265" spans="15:26">
      <c r="O265" s="60"/>
      <c r="P265" s="64"/>
      <c r="Q265" s="149"/>
      <c r="R265" s="149"/>
      <c r="S265" s="149"/>
      <c r="T265" s="149"/>
      <c r="U265" s="149"/>
      <c r="V265" s="150"/>
      <c r="X265" s="65"/>
      <c r="Y265" s="65"/>
      <c r="Z265" s="65"/>
    </row>
    <row r="266" spans="15:26">
      <c r="O266" s="60"/>
      <c r="P266" s="64"/>
      <c r="Q266" s="149"/>
      <c r="R266" s="149"/>
      <c r="S266" s="149"/>
      <c r="T266" s="149"/>
      <c r="U266" s="149"/>
      <c r="V266" s="150"/>
      <c r="X266" s="65"/>
      <c r="Y266" s="65"/>
      <c r="Z266" s="65"/>
    </row>
    <row r="267" spans="15:26">
      <c r="O267" s="61">
        <v>42430</v>
      </c>
      <c r="P267" s="64"/>
      <c r="Q267" s="149"/>
      <c r="R267" s="149"/>
      <c r="S267" s="149"/>
      <c r="T267" s="149"/>
      <c r="U267" s="149"/>
      <c r="V267" s="150"/>
      <c r="X267" s="65"/>
      <c r="Y267" s="65"/>
      <c r="Z267" s="65"/>
    </row>
    <row r="268" spans="15:26">
      <c r="O268" s="60"/>
      <c r="P268" s="64"/>
      <c r="Q268" s="149"/>
      <c r="R268" s="149"/>
      <c r="S268" s="149"/>
      <c r="T268" s="149"/>
      <c r="U268" s="149"/>
      <c r="V268" s="150"/>
      <c r="X268" s="65"/>
      <c r="Y268" s="65"/>
      <c r="Z268" s="65"/>
    </row>
    <row r="269" spans="15:26">
      <c r="O269" s="61"/>
      <c r="P269" s="64"/>
      <c r="Q269" s="149"/>
      <c r="R269" s="149"/>
      <c r="S269" s="149"/>
      <c r="T269" s="149"/>
      <c r="U269" s="149"/>
      <c r="V269" s="150"/>
      <c r="X269" s="65"/>
      <c r="Y269" s="65"/>
      <c r="Z269" s="65"/>
    </row>
    <row r="270" spans="15:26">
      <c r="O270" s="61"/>
      <c r="P270" s="64"/>
      <c r="Q270" s="149"/>
      <c r="R270" s="149"/>
      <c r="S270" s="149"/>
      <c r="T270" s="149"/>
      <c r="U270" s="149"/>
      <c r="V270" s="150"/>
      <c r="X270" s="65"/>
      <c r="Y270" s="65"/>
      <c r="Z270" s="65"/>
    </row>
    <row r="271" spans="15:26">
      <c r="O271" s="60"/>
      <c r="P271" s="64"/>
      <c r="Q271" s="149"/>
      <c r="R271" s="149"/>
      <c r="S271" s="149"/>
      <c r="T271" s="149"/>
      <c r="U271" s="149"/>
      <c r="V271" s="150"/>
      <c r="X271" s="65"/>
      <c r="Y271" s="65"/>
      <c r="Z271" s="65"/>
    </row>
    <row r="272" spans="15:26">
      <c r="O272" s="60"/>
      <c r="P272" s="64"/>
      <c r="Q272" s="149"/>
      <c r="R272" s="149"/>
      <c r="S272" s="149"/>
      <c r="T272" s="149"/>
      <c r="U272" s="149"/>
      <c r="V272" s="150"/>
      <c r="X272" s="65"/>
      <c r="Y272" s="65"/>
      <c r="Z272" s="65"/>
    </row>
    <row r="273" spans="15:26">
      <c r="O273" s="60"/>
      <c r="P273" s="64"/>
      <c r="Q273" s="149"/>
      <c r="R273" s="149"/>
      <c r="S273" s="149"/>
      <c r="T273" s="149"/>
      <c r="U273" s="149"/>
      <c r="V273" s="150"/>
      <c r="X273" s="65"/>
      <c r="Y273" s="65"/>
      <c r="Z273" s="65"/>
    </row>
    <row r="274" spans="15:26">
      <c r="O274" s="60"/>
      <c r="P274" s="64"/>
      <c r="Q274" s="149"/>
      <c r="R274" s="149"/>
      <c r="S274" s="149"/>
      <c r="T274" s="149"/>
      <c r="U274" s="149"/>
      <c r="V274" s="150"/>
      <c r="X274" s="65"/>
      <c r="Y274" s="65"/>
      <c r="Z274" s="65"/>
    </row>
    <row r="275" spans="15:26">
      <c r="O275" s="60"/>
      <c r="P275" s="64"/>
      <c r="Q275" s="149"/>
      <c r="R275" s="149"/>
      <c r="S275" s="149"/>
      <c r="T275" s="149"/>
      <c r="U275" s="149"/>
      <c r="V275" s="150"/>
      <c r="X275" s="65"/>
      <c r="Y275" s="65"/>
      <c r="Z275" s="65"/>
    </row>
    <row r="276" spans="15:26">
      <c r="O276" s="60"/>
      <c r="P276" s="64"/>
      <c r="Q276" s="149"/>
      <c r="R276" s="149"/>
      <c r="S276" s="149"/>
      <c r="T276" s="149"/>
      <c r="U276" s="149"/>
      <c r="V276" s="150"/>
      <c r="X276" s="65"/>
      <c r="Y276" s="65"/>
      <c r="Z276" s="65"/>
    </row>
    <row r="277" spans="15:26">
      <c r="O277" s="60"/>
      <c r="P277" s="64"/>
      <c r="Q277" s="149"/>
      <c r="R277" s="149"/>
      <c r="S277" s="149"/>
      <c r="T277" s="149"/>
      <c r="U277" s="149"/>
      <c r="V277" s="150"/>
      <c r="X277" s="65"/>
      <c r="Y277" s="65"/>
      <c r="Z277" s="65"/>
    </row>
    <row r="278" spans="15:26">
      <c r="O278" s="60"/>
      <c r="P278" s="64"/>
      <c r="Q278" s="149"/>
      <c r="R278" s="149"/>
      <c r="S278" s="149"/>
      <c r="T278" s="149"/>
      <c r="U278" s="149"/>
      <c r="V278" s="150"/>
      <c r="X278" s="65"/>
      <c r="Y278" s="65"/>
      <c r="Z278" s="65"/>
    </row>
    <row r="279" spans="15:26">
      <c r="O279" s="60"/>
      <c r="P279" s="64"/>
      <c r="Q279" s="149"/>
      <c r="R279" s="149"/>
      <c r="S279" s="149"/>
      <c r="T279" s="149"/>
      <c r="U279" s="149"/>
      <c r="V279" s="150"/>
      <c r="X279" s="65"/>
      <c r="Y279" s="65"/>
      <c r="Z279" s="65"/>
    </row>
    <row r="280" spans="15:26">
      <c r="O280" s="60"/>
      <c r="P280" s="64"/>
      <c r="Q280" s="149"/>
      <c r="R280" s="149"/>
      <c r="S280" s="149"/>
      <c r="T280" s="149"/>
      <c r="U280" s="149"/>
      <c r="V280" s="150"/>
      <c r="X280" s="65"/>
      <c r="Y280" s="65"/>
      <c r="Z280" s="65"/>
    </row>
    <row r="281" spans="15:26">
      <c r="O281" s="60"/>
      <c r="P281" s="64"/>
      <c r="Q281" s="149"/>
      <c r="R281" s="149"/>
      <c r="S281" s="149"/>
      <c r="T281" s="149"/>
      <c r="U281" s="149"/>
      <c r="V281" s="150"/>
      <c r="X281" s="65"/>
      <c r="Y281" s="65"/>
      <c r="Z281" s="65"/>
    </row>
    <row r="282" spans="15:26">
      <c r="O282" s="60"/>
      <c r="P282" s="64"/>
      <c r="Q282" s="149"/>
      <c r="R282" s="149"/>
      <c r="S282" s="149"/>
      <c r="T282" s="149"/>
      <c r="U282" s="149"/>
      <c r="V282" s="150"/>
      <c r="X282" s="65"/>
      <c r="Y282" s="65"/>
      <c r="Z282" s="65"/>
    </row>
    <row r="283" spans="15:26">
      <c r="O283" s="60"/>
      <c r="P283" s="64"/>
      <c r="Q283" s="149"/>
      <c r="R283" s="149"/>
      <c r="S283" s="149"/>
      <c r="T283" s="149"/>
      <c r="U283" s="149"/>
      <c r="V283" s="150"/>
      <c r="X283" s="65"/>
      <c r="Y283" s="65"/>
      <c r="Z283" s="65"/>
    </row>
    <row r="284" spans="15:26">
      <c r="O284" s="60"/>
      <c r="P284" s="64"/>
      <c r="Q284" s="149"/>
      <c r="R284" s="149"/>
      <c r="S284" s="149"/>
      <c r="T284" s="149"/>
      <c r="U284" s="149"/>
      <c r="V284" s="150"/>
      <c r="X284" s="65"/>
      <c r="Y284" s="65"/>
      <c r="Z284" s="65"/>
    </row>
    <row r="285" spans="15:26">
      <c r="O285" s="60"/>
      <c r="P285" s="64"/>
      <c r="Q285" s="149"/>
      <c r="R285" s="149"/>
      <c r="S285" s="149"/>
      <c r="T285" s="149"/>
      <c r="U285" s="149"/>
      <c r="V285" s="150"/>
      <c r="X285" s="65"/>
      <c r="Y285" s="65"/>
      <c r="Z285" s="65"/>
    </row>
    <row r="286" spans="15:26">
      <c r="O286" s="60"/>
      <c r="P286" s="64"/>
      <c r="Q286" s="149"/>
      <c r="R286" s="149"/>
      <c r="S286" s="149"/>
      <c r="T286" s="149"/>
      <c r="U286" s="149"/>
      <c r="V286" s="150"/>
      <c r="X286" s="65"/>
      <c r="Y286" s="65"/>
      <c r="Z286" s="65"/>
    </row>
    <row r="287" spans="15:26">
      <c r="O287" s="60"/>
      <c r="P287" s="64"/>
      <c r="Q287" s="149"/>
      <c r="R287" s="149"/>
      <c r="S287" s="149"/>
      <c r="T287" s="149"/>
      <c r="U287" s="149"/>
      <c r="V287" s="150"/>
      <c r="X287" s="65"/>
      <c r="Y287" s="65"/>
      <c r="Z287" s="65"/>
    </row>
    <row r="288" spans="15:26">
      <c r="O288" s="60"/>
      <c r="P288" s="64"/>
      <c r="Q288" s="149"/>
      <c r="R288" s="149"/>
      <c r="S288" s="149"/>
      <c r="T288" s="149"/>
      <c r="U288" s="149"/>
      <c r="V288" s="150"/>
      <c r="X288" s="65"/>
      <c r="Y288" s="65"/>
      <c r="Z288" s="65"/>
    </row>
    <row r="289" spans="15:26">
      <c r="O289" s="60"/>
      <c r="P289" s="64"/>
      <c r="Q289" s="149"/>
      <c r="R289" s="149"/>
      <c r="S289" s="149"/>
      <c r="T289" s="149"/>
      <c r="U289" s="149"/>
      <c r="V289" s="150"/>
      <c r="X289" s="65"/>
      <c r="Y289" s="65"/>
      <c r="Z289" s="65"/>
    </row>
    <row r="290" spans="15:26">
      <c r="O290" s="60"/>
      <c r="P290" s="64"/>
      <c r="Q290" s="149"/>
      <c r="R290" s="149"/>
      <c r="S290" s="149"/>
      <c r="T290" s="149"/>
      <c r="U290" s="149"/>
      <c r="V290" s="150"/>
      <c r="X290" s="65"/>
      <c r="Y290" s="65"/>
      <c r="Z290" s="65"/>
    </row>
    <row r="291" spans="15:26">
      <c r="O291" s="60"/>
      <c r="P291" s="64"/>
      <c r="Q291" s="149"/>
      <c r="R291" s="149"/>
      <c r="S291" s="149"/>
      <c r="T291" s="149"/>
      <c r="U291" s="149"/>
      <c r="V291" s="150"/>
      <c r="X291" s="65"/>
      <c r="Y291" s="65"/>
      <c r="Z291" s="65"/>
    </row>
    <row r="292" spans="15:26">
      <c r="O292" s="60"/>
      <c r="P292" s="64"/>
      <c r="Q292" s="149"/>
      <c r="R292" s="149"/>
      <c r="S292" s="149"/>
      <c r="T292" s="149"/>
      <c r="U292" s="149"/>
      <c r="V292" s="150"/>
      <c r="X292" s="65"/>
      <c r="Y292" s="65"/>
      <c r="Z292" s="65"/>
    </row>
    <row r="293" spans="15:26">
      <c r="O293" s="60"/>
      <c r="P293" s="64"/>
      <c r="Q293" s="149"/>
      <c r="R293" s="149"/>
      <c r="S293" s="149"/>
      <c r="T293" s="149"/>
      <c r="U293" s="149"/>
      <c r="V293" s="150"/>
      <c r="X293" s="65"/>
      <c r="Y293" s="65"/>
      <c r="Z293" s="65"/>
    </row>
    <row r="294" spans="15:26">
      <c r="O294" s="60"/>
      <c r="P294" s="64"/>
      <c r="Q294" s="149"/>
      <c r="R294" s="149"/>
      <c r="S294" s="149"/>
      <c r="T294" s="149"/>
      <c r="U294" s="149"/>
      <c r="V294" s="150"/>
      <c r="X294" s="65"/>
      <c r="Y294" s="65"/>
      <c r="Z294" s="65"/>
    </row>
    <row r="295" spans="15:26">
      <c r="O295" s="60"/>
      <c r="P295" s="64"/>
      <c r="Q295" s="149"/>
      <c r="R295" s="149"/>
      <c r="S295" s="149"/>
      <c r="T295" s="149"/>
      <c r="U295" s="149"/>
      <c r="V295" s="150"/>
      <c r="X295" s="65"/>
      <c r="Y295" s="65"/>
      <c r="Z295" s="65"/>
    </row>
    <row r="296" spans="15:26">
      <c r="O296" s="60"/>
      <c r="P296" s="64"/>
      <c r="Q296" s="149"/>
      <c r="R296" s="149"/>
      <c r="S296" s="149"/>
      <c r="T296" s="149"/>
      <c r="U296" s="149"/>
      <c r="V296" s="150"/>
      <c r="X296" s="65"/>
      <c r="Y296" s="65"/>
      <c r="Z296" s="65"/>
    </row>
    <row r="297" spans="15:26">
      <c r="O297" s="61"/>
      <c r="P297" s="64"/>
      <c r="Q297" s="149"/>
      <c r="R297" s="149"/>
      <c r="S297" s="149"/>
      <c r="T297" s="149"/>
      <c r="U297" s="149"/>
      <c r="V297" s="150"/>
      <c r="X297" s="65"/>
      <c r="Y297" s="65"/>
      <c r="Z297" s="65"/>
    </row>
    <row r="298" spans="15:26">
      <c r="O298" s="61">
        <v>42461</v>
      </c>
      <c r="P298" s="64"/>
      <c r="Q298" s="149"/>
      <c r="R298" s="149"/>
      <c r="S298" s="149"/>
      <c r="T298" s="149"/>
      <c r="U298" s="149"/>
      <c r="V298" s="150"/>
      <c r="X298" s="65"/>
      <c r="Y298" s="65"/>
      <c r="Z298" s="65"/>
    </row>
    <row r="299" spans="15:26">
      <c r="O299" s="60"/>
      <c r="P299" s="64"/>
      <c r="Q299" s="149"/>
      <c r="R299" s="149"/>
      <c r="S299" s="149"/>
      <c r="T299" s="149"/>
      <c r="U299" s="149"/>
      <c r="V299" s="150"/>
      <c r="X299" s="65"/>
      <c r="Y299" s="65"/>
      <c r="Z299" s="65"/>
    </row>
    <row r="300" spans="15:26">
      <c r="O300" s="60"/>
      <c r="P300" s="64"/>
      <c r="Q300" s="149"/>
      <c r="R300" s="149"/>
      <c r="S300" s="149"/>
      <c r="T300" s="149"/>
      <c r="U300" s="149"/>
      <c r="V300" s="150"/>
      <c r="X300" s="65"/>
      <c r="Y300" s="65"/>
      <c r="Z300" s="65"/>
    </row>
    <row r="301" spans="15:26">
      <c r="O301" s="60"/>
      <c r="P301" s="64"/>
      <c r="Q301" s="149"/>
      <c r="R301" s="149"/>
      <c r="S301" s="149"/>
      <c r="T301" s="149"/>
      <c r="U301" s="149"/>
      <c r="V301" s="150"/>
      <c r="X301" s="65"/>
      <c r="Y301" s="65"/>
      <c r="Z301" s="65"/>
    </row>
    <row r="302" spans="15:26">
      <c r="O302" s="60"/>
      <c r="P302" s="64"/>
      <c r="Q302" s="149"/>
      <c r="R302" s="149"/>
      <c r="S302" s="149"/>
      <c r="T302" s="149"/>
      <c r="U302" s="149"/>
      <c r="V302" s="150"/>
      <c r="X302" s="65"/>
      <c r="Y302" s="65"/>
      <c r="Z302" s="65"/>
    </row>
    <row r="303" spans="15:26">
      <c r="O303" s="60"/>
      <c r="P303" s="64"/>
      <c r="Q303" s="149"/>
      <c r="R303" s="149"/>
      <c r="S303" s="149"/>
      <c r="T303" s="149"/>
      <c r="U303" s="149"/>
      <c r="V303" s="150"/>
      <c r="X303" s="65"/>
      <c r="Y303" s="65"/>
      <c r="Z303" s="65"/>
    </row>
    <row r="304" spans="15:26">
      <c r="O304" s="60"/>
      <c r="P304" s="64"/>
      <c r="Q304" s="149"/>
      <c r="R304" s="149"/>
      <c r="S304" s="149"/>
      <c r="T304" s="149"/>
      <c r="U304" s="149"/>
      <c r="V304" s="150"/>
      <c r="X304" s="65"/>
      <c r="Y304" s="65"/>
      <c r="Z304" s="65"/>
    </row>
    <row r="305" spans="15:26">
      <c r="O305" s="60"/>
      <c r="P305" s="64"/>
      <c r="Q305" s="149"/>
      <c r="R305" s="149"/>
      <c r="S305" s="149"/>
      <c r="T305" s="149"/>
      <c r="U305" s="149"/>
      <c r="V305" s="150"/>
      <c r="X305" s="65"/>
      <c r="Y305" s="65"/>
      <c r="Z305" s="65"/>
    </row>
    <row r="306" spans="15:26">
      <c r="O306" s="60"/>
      <c r="P306" s="64"/>
      <c r="Q306" s="149"/>
      <c r="R306" s="149"/>
      <c r="S306" s="149"/>
      <c r="T306" s="149"/>
      <c r="U306" s="149"/>
      <c r="V306" s="150"/>
      <c r="X306" s="65"/>
      <c r="Y306" s="65"/>
      <c r="Z306" s="65"/>
    </row>
    <row r="307" spans="15:26">
      <c r="O307" s="60"/>
      <c r="P307" s="64"/>
      <c r="Q307" s="149"/>
      <c r="R307" s="149"/>
      <c r="S307" s="149"/>
      <c r="T307" s="149"/>
      <c r="U307" s="149"/>
      <c r="V307" s="150"/>
      <c r="X307" s="65"/>
      <c r="Y307" s="65"/>
      <c r="Z307" s="65"/>
    </row>
    <row r="308" spans="15:26">
      <c r="O308" s="60"/>
      <c r="P308" s="64"/>
      <c r="Q308" s="149"/>
      <c r="R308" s="149"/>
      <c r="S308" s="149"/>
      <c r="T308" s="149"/>
      <c r="U308" s="149"/>
      <c r="V308" s="150"/>
      <c r="X308" s="65"/>
      <c r="Y308" s="65"/>
      <c r="Z308" s="65"/>
    </row>
    <row r="309" spans="15:26">
      <c r="O309" s="60"/>
      <c r="P309" s="64"/>
      <c r="Q309" s="149"/>
      <c r="R309" s="149"/>
      <c r="S309" s="149"/>
      <c r="T309" s="149"/>
      <c r="U309" s="149"/>
      <c r="V309" s="150"/>
      <c r="X309" s="65"/>
      <c r="Y309" s="65"/>
      <c r="Z309" s="65"/>
    </row>
    <row r="310" spans="15:26">
      <c r="O310" s="60"/>
      <c r="P310" s="64"/>
      <c r="Q310" s="149"/>
      <c r="R310" s="149"/>
      <c r="S310" s="149"/>
      <c r="T310" s="149"/>
      <c r="U310" s="149"/>
      <c r="V310" s="150"/>
      <c r="X310" s="65"/>
      <c r="Y310" s="65"/>
      <c r="Z310" s="65"/>
    </row>
    <row r="311" spans="15:26">
      <c r="O311" s="60"/>
      <c r="P311" s="64"/>
      <c r="Q311" s="149"/>
      <c r="R311" s="149"/>
      <c r="S311" s="149"/>
      <c r="T311" s="149"/>
      <c r="U311" s="149"/>
      <c r="V311" s="150"/>
      <c r="X311" s="65"/>
      <c r="Y311" s="65"/>
      <c r="Z311" s="65"/>
    </row>
    <row r="312" spans="15:26">
      <c r="O312" s="60"/>
      <c r="P312" s="64"/>
      <c r="Q312" s="149"/>
      <c r="R312" s="149"/>
      <c r="S312" s="149"/>
      <c r="T312" s="149"/>
      <c r="U312" s="149"/>
      <c r="V312" s="150"/>
      <c r="X312" s="65"/>
      <c r="Y312" s="65"/>
      <c r="Z312" s="65"/>
    </row>
    <row r="313" spans="15:26">
      <c r="O313" s="60"/>
      <c r="P313" s="64"/>
      <c r="Q313" s="149"/>
      <c r="R313" s="149"/>
      <c r="S313" s="149"/>
      <c r="T313" s="149"/>
      <c r="U313" s="149"/>
      <c r="V313" s="150"/>
      <c r="X313" s="65"/>
      <c r="Y313" s="65"/>
      <c r="Z313" s="65"/>
    </row>
    <row r="314" spans="15:26">
      <c r="O314" s="60"/>
      <c r="P314" s="64"/>
      <c r="Q314" s="149"/>
      <c r="R314" s="149"/>
      <c r="S314" s="149"/>
      <c r="T314" s="149"/>
      <c r="U314" s="149"/>
      <c r="V314" s="150"/>
      <c r="X314" s="65"/>
      <c r="Y314" s="65"/>
      <c r="Z314" s="65"/>
    </row>
    <row r="315" spans="15:26">
      <c r="O315" s="60"/>
      <c r="P315" s="64"/>
      <c r="Q315" s="149"/>
      <c r="R315" s="149"/>
      <c r="S315" s="149"/>
      <c r="T315" s="149"/>
      <c r="U315" s="149"/>
      <c r="V315" s="150"/>
      <c r="X315" s="65"/>
      <c r="Y315" s="65"/>
      <c r="Z315" s="65"/>
    </row>
    <row r="316" spans="15:26">
      <c r="O316" s="60"/>
      <c r="P316" s="64"/>
      <c r="Q316" s="149"/>
      <c r="R316" s="149"/>
      <c r="S316" s="149"/>
      <c r="T316" s="149"/>
      <c r="U316" s="149"/>
      <c r="V316" s="150"/>
      <c r="X316" s="65"/>
      <c r="Y316" s="65"/>
      <c r="Z316" s="65"/>
    </row>
    <row r="317" spans="15:26">
      <c r="O317" s="60"/>
      <c r="P317" s="64"/>
      <c r="Q317" s="149"/>
      <c r="R317" s="149"/>
      <c r="S317" s="149"/>
      <c r="T317" s="149"/>
      <c r="U317" s="149"/>
      <c r="V317" s="150"/>
      <c r="X317" s="65"/>
      <c r="Y317" s="65"/>
      <c r="Z317" s="65"/>
    </row>
    <row r="318" spans="15:26">
      <c r="O318" s="60"/>
      <c r="P318" s="64"/>
      <c r="Q318" s="149"/>
      <c r="R318" s="149"/>
      <c r="S318" s="149"/>
      <c r="T318" s="149"/>
      <c r="U318" s="149"/>
      <c r="V318" s="150"/>
      <c r="X318" s="65"/>
      <c r="Y318" s="65"/>
      <c r="Z318" s="65"/>
    </row>
    <row r="319" spans="15:26">
      <c r="O319" s="60"/>
      <c r="P319" s="64"/>
      <c r="Q319" s="149"/>
      <c r="R319" s="149"/>
      <c r="S319" s="149"/>
      <c r="T319" s="149"/>
      <c r="U319" s="149"/>
      <c r="V319" s="150"/>
      <c r="X319" s="65"/>
      <c r="Y319" s="65"/>
      <c r="Z319" s="65"/>
    </row>
    <row r="320" spans="15:26">
      <c r="O320" s="60"/>
      <c r="P320" s="64"/>
      <c r="Q320" s="149"/>
      <c r="R320" s="149"/>
      <c r="S320" s="149"/>
      <c r="T320" s="149"/>
      <c r="U320" s="149"/>
      <c r="V320" s="150"/>
      <c r="X320" s="65"/>
      <c r="Y320" s="65"/>
      <c r="Z320" s="65"/>
    </row>
    <row r="321" spans="15:26">
      <c r="O321" s="60"/>
      <c r="P321" s="64"/>
      <c r="Q321" s="149"/>
      <c r="R321" s="149"/>
      <c r="S321" s="149"/>
      <c r="T321" s="149"/>
      <c r="U321" s="149"/>
      <c r="V321" s="150"/>
      <c r="X321" s="65"/>
      <c r="Y321" s="65"/>
      <c r="Z321" s="65"/>
    </row>
    <row r="322" spans="15:26">
      <c r="O322" s="60"/>
      <c r="P322" s="64"/>
      <c r="Q322" s="149"/>
      <c r="R322" s="149"/>
      <c r="S322" s="149"/>
      <c r="T322" s="149"/>
      <c r="U322" s="149"/>
      <c r="V322" s="150"/>
      <c r="X322" s="65"/>
      <c r="Y322" s="65"/>
      <c r="Z322" s="65"/>
    </row>
    <row r="323" spans="15:26">
      <c r="O323" s="60"/>
      <c r="P323" s="64"/>
      <c r="Q323" s="149"/>
      <c r="R323" s="149"/>
      <c r="S323" s="149"/>
      <c r="T323" s="149"/>
      <c r="U323" s="149"/>
      <c r="V323" s="150"/>
      <c r="X323" s="65"/>
      <c r="Y323" s="65"/>
      <c r="Z323" s="65"/>
    </row>
    <row r="324" spans="15:26">
      <c r="O324" s="60"/>
      <c r="P324" s="64"/>
      <c r="Q324" s="149"/>
      <c r="R324" s="149"/>
      <c r="S324" s="149"/>
      <c r="T324" s="149"/>
      <c r="U324" s="149"/>
      <c r="V324" s="150"/>
      <c r="X324" s="65"/>
      <c r="Y324" s="65"/>
      <c r="Z324" s="65"/>
    </row>
    <row r="325" spans="15:26">
      <c r="O325" s="60"/>
      <c r="P325" s="64"/>
      <c r="Q325" s="149"/>
      <c r="R325" s="149"/>
      <c r="S325" s="149"/>
      <c r="T325" s="149"/>
      <c r="U325" s="149"/>
      <c r="V325" s="150"/>
      <c r="X325" s="65"/>
      <c r="Y325" s="65"/>
      <c r="Z325" s="65"/>
    </row>
    <row r="326" spans="15:26">
      <c r="O326" s="60"/>
      <c r="P326" s="64"/>
      <c r="Q326" s="149"/>
      <c r="R326" s="149"/>
      <c r="S326" s="149"/>
      <c r="T326" s="149"/>
      <c r="U326" s="149"/>
      <c r="V326" s="150"/>
      <c r="X326" s="65"/>
      <c r="Y326" s="65"/>
      <c r="Z326" s="65"/>
    </row>
    <row r="327" spans="15:26">
      <c r="O327" s="60"/>
      <c r="P327" s="64"/>
      <c r="Q327" s="149"/>
      <c r="R327" s="149"/>
      <c r="S327" s="149"/>
      <c r="T327" s="149"/>
      <c r="U327" s="149"/>
      <c r="V327" s="150"/>
      <c r="X327" s="65"/>
      <c r="Y327" s="65"/>
      <c r="Z327" s="65"/>
    </row>
    <row r="328" spans="15:26">
      <c r="O328" s="61">
        <v>42491</v>
      </c>
      <c r="P328" s="64"/>
      <c r="Q328" s="149"/>
      <c r="R328" s="149"/>
      <c r="S328" s="149"/>
      <c r="T328" s="149"/>
      <c r="U328" s="149"/>
      <c r="V328" s="150"/>
      <c r="X328" s="65"/>
      <c r="Y328" s="65"/>
      <c r="Z328" s="65"/>
    </row>
    <row r="329" spans="15:26">
      <c r="O329" s="61"/>
      <c r="P329" s="64"/>
      <c r="Q329" s="149"/>
      <c r="R329" s="149"/>
      <c r="S329" s="149"/>
      <c r="T329" s="149"/>
      <c r="U329" s="149"/>
      <c r="V329" s="150"/>
      <c r="X329" s="65"/>
      <c r="Y329" s="65"/>
      <c r="Z329" s="65"/>
    </row>
    <row r="330" spans="15:26">
      <c r="O330" s="60"/>
      <c r="P330" s="64"/>
      <c r="Q330" s="149"/>
      <c r="R330" s="149"/>
      <c r="S330" s="149"/>
      <c r="T330" s="149"/>
      <c r="U330" s="149"/>
      <c r="V330" s="150"/>
      <c r="X330" s="65"/>
      <c r="Y330" s="65"/>
      <c r="Z330" s="65"/>
    </row>
    <row r="331" spans="15:26">
      <c r="O331" s="60"/>
      <c r="P331" s="64"/>
      <c r="Q331" s="149"/>
      <c r="R331" s="149"/>
      <c r="S331" s="149"/>
      <c r="T331" s="149"/>
      <c r="U331" s="149"/>
      <c r="V331" s="150"/>
      <c r="X331" s="65"/>
      <c r="Y331" s="65"/>
      <c r="Z331" s="65"/>
    </row>
    <row r="332" spans="15:26">
      <c r="O332" s="60"/>
      <c r="P332" s="64"/>
      <c r="Q332" s="149"/>
      <c r="R332" s="149"/>
      <c r="S332" s="149"/>
      <c r="T332" s="149"/>
      <c r="U332" s="149"/>
      <c r="V332" s="150"/>
      <c r="X332" s="65"/>
      <c r="Y332" s="65"/>
      <c r="Z332" s="65"/>
    </row>
    <row r="333" spans="15:26">
      <c r="O333" s="60"/>
      <c r="P333" s="64"/>
      <c r="Q333" s="149"/>
      <c r="R333" s="149"/>
      <c r="S333" s="149"/>
      <c r="T333" s="149"/>
      <c r="U333" s="149"/>
      <c r="V333" s="150"/>
      <c r="X333" s="65"/>
      <c r="Y333" s="65"/>
      <c r="Z333" s="65"/>
    </row>
    <row r="334" spans="15:26">
      <c r="O334" s="60"/>
      <c r="P334" s="64"/>
      <c r="Q334" s="149"/>
      <c r="R334" s="149"/>
      <c r="S334" s="149"/>
      <c r="T334" s="149"/>
      <c r="U334" s="149"/>
      <c r="V334" s="150"/>
      <c r="X334" s="65"/>
      <c r="Y334" s="65"/>
      <c r="Z334" s="65"/>
    </row>
    <row r="335" spans="15:26">
      <c r="O335" s="60"/>
      <c r="P335" s="64"/>
      <c r="Q335" s="149"/>
      <c r="R335" s="149"/>
      <c r="S335" s="149"/>
      <c r="T335" s="149"/>
      <c r="U335" s="149"/>
      <c r="V335" s="150"/>
      <c r="X335" s="65"/>
      <c r="Y335" s="65"/>
      <c r="Z335" s="65"/>
    </row>
    <row r="336" spans="15:26">
      <c r="O336" s="60"/>
      <c r="P336" s="64"/>
      <c r="Q336" s="149"/>
      <c r="R336" s="149"/>
      <c r="S336" s="149"/>
      <c r="T336" s="149"/>
      <c r="U336" s="149"/>
      <c r="V336" s="150"/>
      <c r="X336" s="65"/>
      <c r="Y336" s="65"/>
      <c r="Z336" s="65"/>
    </row>
    <row r="337" spans="15:26">
      <c r="O337" s="60"/>
      <c r="P337" s="64"/>
      <c r="Q337" s="149"/>
      <c r="R337" s="149"/>
      <c r="S337" s="149"/>
      <c r="T337" s="149"/>
      <c r="U337" s="149"/>
      <c r="V337" s="150"/>
      <c r="X337" s="65"/>
      <c r="Y337" s="65"/>
      <c r="Z337" s="65"/>
    </row>
    <row r="338" spans="15:26">
      <c r="O338" s="60"/>
      <c r="P338" s="64"/>
      <c r="Q338" s="149"/>
      <c r="R338" s="149"/>
      <c r="S338" s="149"/>
      <c r="T338" s="149"/>
      <c r="U338" s="149"/>
      <c r="V338" s="150"/>
      <c r="X338" s="65"/>
      <c r="Y338" s="65"/>
      <c r="Z338" s="65"/>
    </row>
    <row r="339" spans="15:26">
      <c r="O339" s="60"/>
      <c r="P339" s="64"/>
      <c r="Q339" s="149"/>
      <c r="R339" s="149"/>
      <c r="S339" s="149"/>
      <c r="T339" s="149"/>
      <c r="U339" s="149"/>
      <c r="V339" s="150"/>
      <c r="X339" s="65"/>
      <c r="Y339" s="65"/>
      <c r="Z339" s="65"/>
    </row>
    <row r="340" spans="15:26">
      <c r="O340" s="60"/>
      <c r="P340" s="64"/>
      <c r="Q340" s="149"/>
      <c r="R340" s="149"/>
      <c r="S340" s="149"/>
      <c r="T340" s="149"/>
      <c r="U340" s="149"/>
      <c r="V340" s="150"/>
      <c r="X340" s="65"/>
      <c r="Y340" s="65"/>
      <c r="Z340" s="65"/>
    </row>
    <row r="341" spans="15:26">
      <c r="O341" s="60"/>
      <c r="P341" s="64"/>
      <c r="Q341" s="149"/>
      <c r="R341" s="149"/>
      <c r="S341" s="149"/>
      <c r="T341" s="149"/>
      <c r="U341" s="149"/>
      <c r="V341" s="150"/>
      <c r="X341" s="65"/>
      <c r="Y341" s="65"/>
      <c r="Z341" s="65"/>
    </row>
    <row r="342" spans="15:26">
      <c r="O342" s="60"/>
      <c r="P342" s="64"/>
      <c r="Q342" s="149"/>
      <c r="R342" s="149"/>
      <c r="S342" s="149"/>
      <c r="T342" s="149"/>
      <c r="U342" s="149"/>
      <c r="V342" s="150"/>
      <c r="X342" s="65"/>
      <c r="Y342" s="65"/>
      <c r="Z342" s="65"/>
    </row>
    <row r="343" spans="15:26">
      <c r="O343" s="60"/>
      <c r="P343" s="64"/>
      <c r="Q343" s="149"/>
      <c r="R343" s="149"/>
      <c r="S343" s="149"/>
      <c r="T343" s="149"/>
      <c r="U343" s="149"/>
      <c r="V343" s="150"/>
      <c r="X343" s="65"/>
      <c r="Y343" s="65"/>
      <c r="Z343" s="65"/>
    </row>
    <row r="344" spans="15:26">
      <c r="O344" s="60"/>
      <c r="P344" s="64"/>
      <c r="Q344" s="149"/>
      <c r="R344" s="149"/>
      <c r="S344" s="149"/>
      <c r="T344" s="149"/>
      <c r="U344" s="149"/>
      <c r="V344" s="150"/>
      <c r="X344" s="65"/>
      <c r="Y344" s="65"/>
      <c r="Z344" s="65"/>
    </row>
    <row r="345" spans="15:26">
      <c r="O345" s="60"/>
      <c r="P345" s="64"/>
      <c r="Q345" s="149"/>
      <c r="R345" s="149"/>
      <c r="S345" s="149"/>
      <c r="T345" s="149"/>
      <c r="U345" s="149"/>
      <c r="V345" s="150"/>
      <c r="X345" s="65"/>
      <c r="Y345" s="65"/>
      <c r="Z345" s="65"/>
    </row>
    <row r="346" spans="15:26">
      <c r="O346" s="60"/>
      <c r="P346" s="64"/>
      <c r="Q346" s="149"/>
      <c r="R346" s="149"/>
      <c r="S346" s="149"/>
      <c r="T346" s="149"/>
      <c r="U346" s="149"/>
      <c r="V346" s="150"/>
      <c r="X346" s="65"/>
      <c r="Y346" s="65"/>
      <c r="Z346" s="65"/>
    </row>
    <row r="347" spans="15:26">
      <c r="O347" s="60"/>
      <c r="P347" s="64"/>
      <c r="Q347" s="149"/>
      <c r="R347" s="149"/>
      <c r="S347" s="149"/>
      <c r="T347" s="149"/>
      <c r="U347" s="149"/>
      <c r="V347" s="150"/>
      <c r="X347" s="65"/>
      <c r="Y347" s="65"/>
      <c r="Z347" s="65"/>
    </row>
    <row r="348" spans="15:26">
      <c r="O348" s="60"/>
      <c r="P348" s="64"/>
      <c r="Q348" s="149"/>
      <c r="R348" s="149"/>
      <c r="S348" s="149"/>
      <c r="T348" s="149"/>
      <c r="U348" s="149"/>
      <c r="V348" s="150"/>
      <c r="X348" s="65"/>
      <c r="Y348" s="65"/>
      <c r="Z348" s="65"/>
    </row>
    <row r="349" spans="15:26">
      <c r="O349" s="60"/>
      <c r="P349" s="64"/>
      <c r="Q349" s="149"/>
      <c r="R349" s="149"/>
      <c r="S349" s="149"/>
      <c r="T349" s="149"/>
      <c r="U349" s="149"/>
      <c r="V349" s="150"/>
      <c r="X349" s="65"/>
      <c r="Y349" s="65"/>
      <c r="Z349" s="65"/>
    </row>
    <row r="350" spans="15:26">
      <c r="O350" s="60"/>
      <c r="P350" s="64"/>
      <c r="Q350" s="149"/>
      <c r="R350" s="149"/>
      <c r="S350" s="149"/>
      <c r="T350" s="149"/>
      <c r="U350" s="149"/>
      <c r="V350" s="150"/>
      <c r="X350" s="65"/>
      <c r="Y350" s="65"/>
      <c r="Z350" s="65"/>
    </row>
    <row r="351" spans="15:26">
      <c r="O351" s="60"/>
      <c r="P351" s="64"/>
      <c r="Q351" s="149"/>
      <c r="R351" s="149"/>
      <c r="S351" s="149"/>
      <c r="T351" s="149"/>
      <c r="U351" s="149"/>
      <c r="V351" s="150"/>
      <c r="X351" s="65"/>
      <c r="Y351" s="65"/>
      <c r="Z351" s="65"/>
    </row>
    <row r="352" spans="15:26">
      <c r="O352" s="60"/>
      <c r="P352" s="64"/>
      <c r="Q352" s="149"/>
      <c r="R352" s="149"/>
      <c r="S352" s="149"/>
      <c r="T352" s="149"/>
      <c r="U352" s="149"/>
      <c r="V352" s="150"/>
      <c r="X352" s="65"/>
      <c r="Y352" s="65"/>
      <c r="Z352" s="65"/>
    </row>
    <row r="353" spans="15:26">
      <c r="O353" s="60"/>
      <c r="P353" s="64"/>
      <c r="Q353" s="149"/>
      <c r="R353" s="149"/>
      <c r="S353" s="149"/>
      <c r="T353" s="149"/>
      <c r="U353" s="149"/>
      <c r="V353" s="150"/>
      <c r="X353" s="65"/>
      <c r="Y353" s="65"/>
      <c r="Z353" s="65"/>
    </row>
    <row r="354" spans="15:26">
      <c r="O354" s="60"/>
      <c r="P354" s="64"/>
      <c r="Q354" s="149"/>
      <c r="R354" s="149"/>
      <c r="S354" s="149"/>
      <c r="T354" s="149"/>
      <c r="U354" s="149"/>
      <c r="V354" s="150"/>
      <c r="X354" s="65"/>
      <c r="Y354" s="65"/>
      <c r="Z354" s="65"/>
    </row>
    <row r="355" spans="15:26">
      <c r="O355" s="60"/>
      <c r="P355" s="64"/>
      <c r="Q355" s="149"/>
      <c r="R355" s="149"/>
      <c r="S355" s="149"/>
      <c r="T355" s="149"/>
      <c r="U355" s="149"/>
      <c r="V355" s="150"/>
      <c r="X355" s="65"/>
      <c r="Y355" s="65"/>
      <c r="Z355" s="65"/>
    </row>
    <row r="356" spans="15:26">
      <c r="O356" s="60"/>
      <c r="P356" s="64"/>
      <c r="Q356" s="149"/>
      <c r="R356" s="149"/>
      <c r="S356" s="149"/>
      <c r="T356" s="149"/>
      <c r="U356" s="149"/>
      <c r="V356" s="150"/>
      <c r="X356" s="65"/>
      <c r="Y356" s="65"/>
      <c r="Z356" s="65"/>
    </row>
    <row r="357" spans="15:26">
      <c r="O357" s="60"/>
      <c r="P357" s="64"/>
      <c r="Q357" s="149"/>
      <c r="R357" s="149"/>
      <c r="S357" s="149"/>
      <c r="T357" s="149"/>
      <c r="U357" s="149"/>
      <c r="V357" s="150"/>
      <c r="X357" s="65"/>
      <c r="Y357" s="65"/>
      <c r="Z357" s="65"/>
    </row>
    <row r="358" spans="15:26">
      <c r="O358" s="61"/>
      <c r="P358" s="64"/>
      <c r="Q358" s="149"/>
      <c r="R358" s="149"/>
      <c r="S358" s="149"/>
      <c r="T358" s="149"/>
      <c r="U358" s="149"/>
      <c r="V358" s="150"/>
      <c r="X358" s="65"/>
      <c r="Y358" s="65"/>
      <c r="Z358" s="65"/>
    </row>
    <row r="359" spans="15:26">
      <c r="O359" s="61">
        <v>42522</v>
      </c>
      <c r="P359" s="64"/>
      <c r="Q359" s="149"/>
      <c r="R359" s="149"/>
      <c r="S359" s="149"/>
      <c r="T359" s="149"/>
      <c r="U359" s="149"/>
      <c r="V359" s="150"/>
      <c r="X359" s="65"/>
      <c r="Y359" s="65"/>
      <c r="Z359" s="65"/>
    </row>
    <row r="360" spans="15:26">
      <c r="O360" s="60"/>
      <c r="P360" s="64"/>
      <c r="Q360" s="149"/>
      <c r="R360" s="149"/>
      <c r="S360" s="149"/>
      <c r="T360" s="149"/>
      <c r="U360" s="149"/>
      <c r="V360" s="150"/>
      <c r="X360" s="65"/>
      <c r="Y360" s="65"/>
      <c r="Z360" s="65"/>
    </row>
    <row r="361" spans="15:26">
      <c r="O361" s="60"/>
      <c r="P361" s="64"/>
      <c r="Q361" s="149"/>
      <c r="R361" s="149"/>
      <c r="S361" s="149"/>
      <c r="T361" s="149"/>
      <c r="U361" s="149"/>
      <c r="V361" s="150"/>
      <c r="X361" s="65"/>
      <c r="Y361" s="65"/>
      <c r="Z361" s="65"/>
    </row>
    <row r="362" spans="15:26">
      <c r="O362" s="60"/>
      <c r="P362" s="64"/>
      <c r="Q362" s="149"/>
      <c r="R362" s="149"/>
      <c r="S362" s="149"/>
      <c r="T362" s="149"/>
      <c r="U362" s="149"/>
      <c r="V362" s="150"/>
      <c r="X362" s="65"/>
      <c r="Y362" s="65"/>
      <c r="Z362" s="65"/>
    </row>
    <row r="363" spans="15:26">
      <c r="O363" s="60"/>
      <c r="P363" s="64"/>
      <c r="Q363" s="149"/>
      <c r="R363" s="149"/>
      <c r="S363" s="149"/>
      <c r="T363" s="149"/>
      <c r="U363" s="149"/>
      <c r="V363" s="150"/>
      <c r="X363" s="65"/>
      <c r="Y363" s="65"/>
      <c r="Z363" s="65"/>
    </row>
    <row r="364" spans="15:26">
      <c r="O364" s="60"/>
      <c r="P364" s="64"/>
      <c r="Q364" s="149"/>
      <c r="R364" s="149"/>
      <c r="S364" s="149"/>
      <c r="T364" s="149"/>
      <c r="U364" s="149"/>
      <c r="V364" s="150"/>
      <c r="X364" s="65"/>
      <c r="Y364" s="65"/>
      <c r="Z364" s="65"/>
    </row>
    <row r="365" spans="15:26">
      <c r="O365" s="60"/>
      <c r="P365" s="64"/>
      <c r="Q365" s="149"/>
      <c r="R365" s="149"/>
      <c r="S365" s="149"/>
      <c r="T365" s="149"/>
      <c r="U365" s="149"/>
      <c r="V365" s="150"/>
      <c r="X365" s="65"/>
      <c r="Y365" s="65"/>
      <c r="Z365" s="65"/>
    </row>
    <row r="366" spans="15:26">
      <c r="O366" s="60"/>
      <c r="P366" s="64"/>
      <c r="Q366" s="149"/>
      <c r="R366" s="149"/>
      <c r="S366" s="149"/>
      <c r="T366" s="149"/>
      <c r="U366" s="149"/>
      <c r="V366" s="150"/>
      <c r="X366" s="65"/>
      <c r="Y366" s="65"/>
      <c r="Z366" s="65"/>
    </row>
    <row r="367" spans="15:26">
      <c r="O367" s="60"/>
      <c r="P367" s="64"/>
      <c r="Q367" s="149"/>
      <c r="R367" s="149"/>
      <c r="S367" s="149"/>
      <c r="T367" s="149"/>
      <c r="U367" s="149"/>
      <c r="V367" s="150"/>
      <c r="X367" s="65"/>
      <c r="Y367" s="65"/>
      <c r="Z367" s="65"/>
    </row>
    <row r="368" spans="15:26">
      <c r="O368" s="60"/>
      <c r="P368" s="64"/>
      <c r="Q368" s="149"/>
      <c r="R368" s="149"/>
      <c r="S368" s="149"/>
      <c r="T368" s="149"/>
      <c r="U368" s="149"/>
      <c r="V368" s="150"/>
      <c r="X368" s="65"/>
      <c r="Y368" s="65"/>
      <c r="Z368" s="65"/>
    </row>
    <row r="369" spans="15:26">
      <c r="O369" s="60"/>
      <c r="P369" s="64"/>
      <c r="Q369" s="149"/>
      <c r="R369" s="149"/>
      <c r="S369" s="149"/>
      <c r="T369" s="149"/>
      <c r="U369" s="149"/>
      <c r="V369" s="150"/>
      <c r="X369" s="65"/>
      <c r="Y369" s="65"/>
      <c r="Z369" s="65"/>
    </row>
    <row r="370" spans="15:26">
      <c r="O370" s="60"/>
      <c r="P370" s="64"/>
      <c r="Q370" s="149"/>
      <c r="R370" s="149"/>
      <c r="S370" s="149"/>
      <c r="T370" s="149"/>
      <c r="U370" s="149"/>
      <c r="V370" s="150"/>
      <c r="X370" s="65"/>
      <c r="Y370" s="65"/>
      <c r="Z370" s="65"/>
    </row>
    <row r="371" spans="15:26">
      <c r="O371" s="60"/>
      <c r="P371" s="64"/>
      <c r="Q371" s="149"/>
      <c r="R371" s="149"/>
      <c r="S371" s="149"/>
      <c r="T371" s="149"/>
      <c r="U371" s="149"/>
      <c r="V371" s="150"/>
      <c r="X371" s="65"/>
      <c r="Y371" s="65"/>
      <c r="Z371" s="65"/>
    </row>
    <row r="372" spans="15:26">
      <c r="O372" s="60"/>
      <c r="P372" s="64"/>
      <c r="Q372" s="149"/>
      <c r="R372" s="149"/>
      <c r="S372" s="149"/>
      <c r="T372" s="149"/>
      <c r="U372" s="149"/>
      <c r="V372" s="150"/>
      <c r="X372" s="65"/>
      <c r="Y372" s="65"/>
      <c r="Z372" s="65"/>
    </row>
    <row r="373" spans="15:26">
      <c r="O373" s="60"/>
      <c r="P373" s="64"/>
      <c r="Q373" s="149"/>
      <c r="R373" s="149"/>
      <c r="S373" s="149"/>
      <c r="T373" s="149"/>
      <c r="U373" s="149"/>
      <c r="V373" s="150"/>
      <c r="X373" s="65"/>
      <c r="Y373" s="65"/>
      <c r="Z373" s="65"/>
    </row>
    <row r="374" spans="15:26">
      <c r="O374" s="60"/>
      <c r="P374" s="64"/>
      <c r="Q374" s="149"/>
      <c r="R374" s="149"/>
      <c r="S374" s="149"/>
      <c r="T374" s="149"/>
      <c r="U374" s="149"/>
      <c r="V374" s="150"/>
      <c r="X374" s="65"/>
      <c r="Y374" s="65"/>
      <c r="Z374" s="65"/>
    </row>
    <row r="375" spans="15:26">
      <c r="O375" s="60"/>
      <c r="P375" s="64"/>
      <c r="Q375" s="149"/>
      <c r="R375" s="149"/>
      <c r="S375" s="149"/>
      <c r="T375" s="149"/>
      <c r="U375" s="149"/>
      <c r="V375" s="150"/>
      <c r="X375" s="65"/>
      <c r="Y375" s="65"/>
      <c r="Z375" s="65"/>
    </row>
    <row r="376" spans="15:26">
      <c r="O376" s="60"/>
      <c r="P376" s="64"/>
      <c r="Q376" s="149"/>
      <c r="R376" s="149"/>
      <c r="S376" s="149"/>
      <c r="T376" s="149"/>
      <c r="U376" s="149"/>
      <c r="V376" s="150"/>
      <c r="X376" s="65"/>
      <c r="Y376" s="65"/>
      <c r="Z376" s="65"/>
    </row>
    <row r="377" spans="15:26">
      <c r="O377" s="60"/>
      <c r="P377" s="64"/>
      <c r="Q377" s="149"/>
      <c r="R377" s="149"/>
      <c r="S377" s="149"/>
      <c r="T377" s="149"/>
      <c r="U377" s="149"/>
      <c r="V377" s="150"/>
      <c r="X377" s="65"/>
      <c r="Y377" s="65"/>
      <c r="Z377" s="65"/>
    </row>
    <row r="378" spans="15:26">
      <c r="O378" s="60"/>
      <c r="P378" s="64"/>
      <c r="Q378" s="149"/>
      <c r="R378" s="149"/>
      <c r="S378" s="149"/>
      <c r="T378" s="149"/>
      <c r="U378" s="149"/>
      <c r="V378" s="150"/>
      <c r="X378" s="65"/>
      <c r="Y378" s="65"/>
      <c r="Z378" s="65"/>
    </row>
    <row r="379" spans="15:26">
      <c r="O379" s="60"/>
      <c r="P379" s="64"/>
      <c r="Q379" s="149"/>
      <c r="R379" s="149"/>
      <c r="S379" s="149"/>
      <c r="T379" s="149"/>
      <c r="U379" s="149"/>
      <c r="V379" s="150"/>
      <c r="X379" s="65"/>
      <c r="Y379" s="65"/>
      <c r="Z379" s="65"/>
    </row>
    <row r="380" spans="15:26">
      <c r="O380" s="60"/>
      <c r="P380" s="64"/>
      <c r="Q380" s="149"/>
      <c r="R380" s="149"/>
      <c r="S380" s="149"/>
      <c r="T380" s="149"/>
      <c r="U380" s="149"/>
      <c r="V380" s="150"/>
      <c r="X380" s="65"/>
      <c r="Y380" s="65"/>
      <c r="Z380" s="65"/>
    </row>
    <row r="381" spans="15:26">
      <c r="O381" s="60"/>
      <c r="P381" s="64"/>
      <c r="Q381" s="149"/>
      <c r="R381" s="149"/>
      <c r="S381" s="149"/>
      <c r="T381" s="149"/>
      <c r="U381" s="149"/>
      <c r="V381" s="150"/>
      <c r="X381" s="65"/>
      <c r="Y381" s="65"/>
      <c r="Z381" s="65"/>
    </row>
    <row r="382" spans="15:26">
      <c r="O382" s="60"/>
      <c r="P382" s="64"/>
      <c r="Q382" s="149"/>
      <c r="R382" s="149"/>
      <c r="S382" s="149"/>
      <c r="T382" s="149"/>
      <c r="U382" s="149"/>
      <c r="V382" s="150"/>
      <c r="X382" s="65"/>
      <c r="Y382" s="65"/>
      <c r="Z382" s="65"/>
    </row>
    <row r="383" spans="15:26">
      <c r="O383" s="60"/>
      <c r="P383" s="64"/>
      <c r="Q383" s="149"/>
      <c r="R383" s="149"/>
      <c r="S383" s="149"/>
      <c r="T383" s="149"/>
      <c r="U383" s="149"/>
      <c r="V383" s="150"/>
      <c r="X383" s="65"/>
      <c r="Y383" s="65"/>
      <c r="Z383" s="65"/>
    </row>
    <row r="384" spans="15:26">
      <c r="O384" s="60"/>
      <c r="P384" s="64"/>
      <c r="Q384" s="149"/>
      <c r="R384" s="149"/>
      <c r="S384" s="149"/>
      <c r="T384" s="149"/>
      <c r="U384" s="149"/>
      <c r="V384" s="150"/>
      <c r="X384" s="65"/>
      <c r="Y384" s="65"/>
      <c r="Z384" s="65"/>
    </row>
    <row r="385" spans="15:26">
      <c r="O385" s="60"/>
      <c r="P385" s="64"/>
      <c r="Q385" s="149"/>
      <c r="R385" s="149"/>
      <c r="S385" s="149"/>
      <c r="T385" s="149"/>
      <c r="U385" s="149"/>
      <c r="V385" s="150"/>
      <c r="X385" s="65"/>
      <c r="Y385" s="65"/>
      <c r="Z385" s="65"/>
    </row>
    <row r="386" spans="15:26">
      <c r="O386" s="60"/>
      <c r="P386" s="64"/>
      <c r="Q386" s="149"/>
      <c r="R386" s="149"/>
      <c r="S386" s="149"/>
      <c r="T386" s="149"/>
      <c r="U386" s="149"/>
      <c r="V386" s="150"/>
      <c r="X386" s="65"/>
      <c r="Y386" s="65"/>
      <c r="Z386" s="65"/>
    </row>
    <row r="387" spans="15:26">
      <c r="O387" s="60"/>
      <c r="P387" s="64"/>
      <c r="Q387" s="149"/>
      <c r="R387" s="149"/>
      <c r="S387" s="149"/>
      <c r="T387" s="149"/>
      <c r="U387" s="149"/>
      <c r="V387" s="150"/>
      <c r="X387" s="65"/>
      <c r="Y387" s="65"/>
      <c r="Z387" s="65"/>
    </row>
    <row r="388" spans="15:26">
      <c r="O388" s="61"/>
      <c r="P388" s="64"/>
      <c r="Q388" s="149"/>
      <c r="R388" s="149"/>
      <c r="S388" s="149"/>
      <c r="T388" s="149"/>
      <c r="U388" s="149"/>
      <c r="V388" s="150"/>
      <c r="X388" s="65"/>
      <c r="Y388" s="65"/>
      <c r="Z388" s="65"/>
    </row>
    <row r="389" spans="15:26">
      <c r="O389" s="61">
        <v>42552</v>
      </c>
      <c r="P389" s="64"/>
      <c r="Q389" s="149"/>
      <c r="R389" s="149"/>
      <c r="S389" s="149"/>
      <c r="T389" s="149"/>
      <c r="U389" s="149"/>
      <c r="V389" s="150"/>
      <c r="X389" s="65"/>
      <c r="Y389" s="65"/>
      <c r="Z389" s="65"/>
    </row>
    <row r="390" spans="15:26">
      <c r="O390" s="60"/>
      <c r="P390" s="64"/>
      <c r="Q390" s="149"/>
      <c r="R390" s="149"/>
      <c r="S390" s="149"/>
      <c r="T390" s="149"/>
      <c r="U390" s="149"/>
      <c r="V390" s="150"/>
      <c r="X390" s="65"/>
      <c r="Y390" s="65"/>
      <c r="Z390" s="65"/>
    </row>
    <row r="391" spans="15:26">
      <c r="O391" s="60"/>
      <c r="P391" s="64"/>
      <c r="Q391" s="149"/>
      <c r="R391" s="149"/>
      <c r="S391" s="149"/>
      <c r="T391" s="149"/>
      <c r="U391" s="149"/>
      <c r="V391" s="150"/>
      <c r="X391" s="65"/>
      <c r="Y391" s="65"/>
      <c r="Z391" s="65"/>
    </row>
    <row r="392" spans="15:26">
      <c r="O392" s="60"/>
      <c r="P392" s="64"/>
      <c r="Q392" s="149"/>
      <c r="R392" s="149"/>
      <c r="S392" s="149"/>
      <c r="T392" s="149"/>
      <c r="U392" s="149"/>
      <c r="V392" s="150"/>
      <c r="X392" s="65"/>
      <c r="Y392" s="65"/>
      <c r="Z392" s="65"/>
    </row>
    <row r="393" spans="15:26">
      <c r="O393" s="60"/>
      <c r="P393" s="64"/>
      <c r="Q393" s="149"/>
      <c r="R393" s="149"/>
      <c r="S393" s="149"/>
      <c r="T393" s="149"/>
      <c r="U393" s="149"/>
      <c r="V393" s="150"/>
      <c r="X393" s="65"/>
      <c r="Y393" s="65"/>
      <c r="Z393" s="65"/>
    </row>
    <row r="394" spans="15:26">
      <c r="O394" s="60"/>
      <c r="P394" s="64"/>
      <c r="Q394" s="149"/>
      <c r="R394" s="149"/>
      <c r="S394" s="149"/>
      <c r="T394" s="149"/>
      <c r="U394" s="149"/>
      <c r="V394" s="150"/>
      <c r="X394" s="65"/>
      <c r="Y394" s="65"/>
      <c r="Z394" s="65"/>
    </row>
    <row r="395" spans="15:26">
      <c r="O395" s="60"/>
      <c r="P395" s="64"/>
      <c r="Q395" s="149"/>
      <c r="R395" s="149"/>
      <c r="S395" s="149"/>
      <c r="T395" s="149"/>
      <c r="U395" s="149"/>
      <c r="V395" s="150"/>
      <c r="X395" s="65"/>
      <c r="Y395" s="65"/>
      <c r="Z395" s="65"/>
    </row>
    <row r="396" spans="15:26">
      <c r="O396" s="60"/>
      <c r="P396" s="64"/>
      <c r="Q396" s="149"/>
      <c r="R396" s="149"/>
      <c r="S396" s="149"/>
      <c r="T396" s="149"/>
      <c r="U396" s="149"/>
      <c r="V396" s="150"/>
      <c r="X396" s="65"/>
      <c r="Y396" s="65"/>
      <c r="Z396" s="65"/>
    </row>
    <row r="397" spans="15:26">
      <c r="O397" s="60"/>
      <c r="P397" s="64"/>
      <c r="Q397" s="149"/>
      <c r="R397" s="149"/>
      <c r="S397" s="149"/>
      <c r="T397" s="149"/>
      <c r="U397" s="149"/>
      <c r="V397" s="150"/>
      <c r="X397" s="65"/>
      <c r="Y397" s="65"/>
      <c r="Z397" s="65"/>
    </row>
    <row r="398" spans="15:26">
      <c r="O398" s="60"/>
      <c r="P398" s="64"/>
      <c r="Q398" s="149"/>
      <c r="R398" s="149"/>
      <c r="S398" s="149"/>
      <c r="T398" s="149"/>
      <c r="U398" s="149"/>
      <c r="V398" s="150"/>
      <c r="X398" s="65"/>
      <c r="Y398" s="65"/>
      <c r="Z398" s="65"/>
    </row>
    <row r="399" spans="15:26">
      <c r="O399" s="60"/>
      <c r="P399" s="64"/>
      <c r="Q399" s="149"/>
      <c r="R399" s="149"/>
      <c r="S399" s="149"/>
      <c r="T399" s="149"/>
      <c r="U399" s="149"/>
      <c r="V399" s="150"/>
      <c r="X399" s="65"/>
      <c r="Y399" s="65"/>
      <c r="Z399" s="65"/>
    </row>
    <row r="400" spans="15:26">
      <c r="O400" s="60"/>
      <c r="P400" s="64"/>
      <c r="Q400" s="149"/>
      <c r="R400" s="149"/>
      <c r="S400" s="149"/>
      <c r="T400" s="149"/>
      <c r="U400" s="149"/>
      <c r="V400" s="150"/>
      <c r="X400" s="65"/>
      <c r="Y400" s="65"/>
      <c r="Z400" s="65"/>
    </row>
    <row r="401" spans="15:26">
      <c r="O401" s="60"/>
      <c r="P401" s="64"/>
      <c r="Q401" s="149"/>
      <c r="R401" s="149"/>
      <c r="S401" s="149"/>
      <c r="T401" s="149"/>
      <c r="U401" s="149"/>
      <c r="V401" s="150"/>
      <c r="X401" s="65"/>
      <c r="Y401" s="65"/>
      <c r="Z401" s="65"/>
    </row>
    <row r="402" spans="15:26">
      <c r="O402" s="60"/>
      <c r="P402" s="64"/>
      <c r="Q402" s="149"/>
      <c r="R402" s="149"/>
      <c r="S402" s="149"/>
      <c r="T402" s="149"/>
      <c r="U402" s="149"/>
      <c r="V402" s="150"/>
      <c r="X402" s="65"/>
      <c r="Y402" s="65"/>
      <c r="Z402" s="65"/>
    </row>
    <row r="403" spans="15:26">
      <c r="O403" s="60"/>
      <c r="P403" s="64"/>
      <c r="Q403" s="149"/>
      <c r="R403" s="149"/>
      <c r="S403" s="149"/>
      <c r="T403" s="149"/>
      <c r="U403" s="149"/>
      <c r="V403" s="150"/>
      <c r="X403" s="65"/>
      <c r="Y403" s="65"/>
      <c r="Z403" s="65"/>
    </row>
    <row r="404" spans="15:26">
      <c r="O404" s="60"/>
      <c r="P404" s="64"/>
      <c r="Q404" s="149"/>
      <c r="R404" s="149"/>
      <c r="S404" s="149"/>
      <c r="T404" s="149"/>
      <c r="U404" s="149"/>
      <c r="V404" s="150"/>
      <c r="X404" s="65"/>
      <c r="Y404" s="65"/>
      <c r="Z404" s="65"/>
    </row>
    <row r="405" spans="15:26">
      <c r="O405" s="60"/>
      <c r="P405" s="64"/>
      <c r="Q405" s="149"/>
      <c r="R405" s="149"/>
      <c r="S405" s="149"/>
      <c r="T405" s="149"/>
      <c r="U405" s="149"/>
      <c r="V405" s="150"/>
      <c r="X405" s="65"/>
      <c r="Y405" s="65"/>
      <c r="Z405" s="65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4">
    <pageSetUpPr autoPageBreaks="0"/>
  </sheetPr>
  <dimension ref="A1:R43"/>
  <sheetViews>
    <sheetView showGridLines="0" showRowColHeaders="0" showOutlineSymbols="0" zoomScaleNormal="100" workbookViewId="0">
      <selection activeCell="I11" sqref="I11"/>
    </sheetView>
  </sheetViews>
  <sheetFormatPr baseColWidth="10" defaultColWidth="11.42578125" defaultRowHeight="12.75"/>
  <cols>
    <col min="1" max="1" width="0.140625" style="72" customWidth="1"/>
    <col min="2" max="2" width="2.7109375" style="72" customWidth="1"/>
    <col min="3" max="3" width="23.7109375" style="72" customWidth="1"/>
    <col min="4" max="4" width="1.28515625" style="72" customWidth="1"/>
    <col min="5" max="5" width="59.85546875" style="72" customWidth="1"/>
    <col min="6" max="6" width="11.42578125" style="86"/>
    <col min="7" max="7" width="15.85546875" style="86" customWidth="1"/>
    <col min="8" max="16384" width="11.42578125" style="86"/>
  </cols>
  <sheetData>
    <row r="1" spans="2:18" s="72" customFormat="1" ht="0.75" customHeight="1"/>
    <row r="2" spans="2:18" s="72" customFormat="1" ht="21" customHeight="1">
      <c r="E2" s="103" t="s">
        <v>1</v>
      </c>
    </row>
    <row r="3" spans="2:18" s="72" customFormat="1" ht="15" customHeight="1">
      <c r="E3" s="112" t="str">
        <f>Indice!E3</f>
        <v>Noviembre 2020</v>
      </c>
    </row>
    <row r="4" spans="2:18" s="74" customFormat="1" ht="20.25" customHeight="1">
      <c r="B4" s="73"/>
      <c r="C4" s="102" t="s">
        <v>67</v>
      </c>
    </row>
    <row r="5" spans="2:18" s="74" customFormat="1" ht="12.75" customHeight="1">
      <c r="B5" s="73"/>
      <c r="C5" s="75"/>
    </row>
    <row r="6" spans="2:18" s="74" customFormat="1" ht="13.5" customHeight="1">
      <c r="B6" s="73"/>
      <c r="C6" s="76"/>
      <c r="D6" s="77"/>
      <c r="E6" s="77"/>
    </row>
    <row r="7" spans="2:18" s="74" customFormat="1" ht="12.75" customHeight="1">
      <c r="B7" s="73"/>
      <c r="C7" s="329" t="s">
        <v>77</v>
      </c>
      <c r="D7" s="77"/>
      <c r="E7" s="78"/>
      <c r="P7" s="79"/>
      <c r="Q7" s="79"/>
      <c r="R7" s="79"/>
    </row>
    <row r="8" spans="2:18" s="74" customFormat="1" ht="12.75" customHeight="1">
      <c r="B8" s="73"/>
      <c r="C8" s="329"/>
      <c r="D8" s="77"/>
      <c r="E8" s="78"/>
      <c r="P8" s="80"/>
      <c r="Q8" s="80"/>
      <c r="R8" s="80"/>
    </row>
    <row r="9" spans="2:18" s="74" customFormat="1" ht="12.75" customHeight="1">
      <c r="B9" s="73"/>
      <c r="C9" s="329"/>
      <c r="D9" s="77"/>
      <c r="E9" s="78"/>
      <c r="P9" s="81"/>
      <c r="Q9" s="81"/>
      <c r="R9" s="81"/>
    </row>
    <row r="10" spans="2:18" s="74" customFormat="1" ht="12.75" customHeight="1">
      <c r="B10" s="73"/>
      <c r="C10" s="88"/>
      <c r="D10" s="77"/>
      <c r="E10" s="78"/>
      <c r="P10" s="81"/>
      <c r="Q10" s="81"/>
      <c r="R10" s="81"/>
    </row>
    <row r="11" spans="2:18" s="74" customFormat="1" ht="12.75" customHeight="1">
      <c r="B11" s="73"/>
      <c r="C11" s="88"/>
      <c r="D11" s="77"/>
      <c r="E11" s="82"/>
      <c r="P11" s="81"/>
      <c r="Q11" s="81"/>
      <c r="R11" s="81"/>
    </row>
    <row r="12" spans="2:18" s="74" customFormat="1" ht="12.75" customHeight="1">
      <c r="B12" s="73"/>
      <c r="C12" s="88"/>
      <c r="D12" s="77"/>
      <c r="E12" s="82"/>
      <c r="P12" s="81"/>
      <c r="Q12" s="81"/>
      <c r="R12" s="81"/>
    </row>
    <row r="13" spans="2:18" s="74" customFormat="1" ht="12.75" customHeight="1">
      <c r="B13" s="73"/>
      <c r="C13" s="88"/>
      <c r="D13" s="77"/>
      <c r="E13" s="82"/>
      <c r="P13" s="81"/>
      <c r="Q13" s="81"/>
      <c r="R13" s="81"/>
    </row>
    <row r="14" spans="2:18" s="74" customFormat="1" ht="12.75" customHeight="1">
      <c r="B14" s="73"/>
      <c r="C14" s="76"/>
      <c r="D14" s="77"/>
      <c r="E14" s="82"/>
      <c r="P14" s="81"/>
      <c r="Q14" s="81"/>
      <c r="R14" s="81"/>
    </row>
    <row r="15" spans="2:18" s="74" customFormat="1" ht="12.75" customHeight="1">
      <c r="B15" s="73"/>
      <c r="C15" s="76"/>
      <c r="D15" s="77"/>
      <c r="E15" s="82"/>
      <c r="P15" s="81"/>
      <c r="Q15" s="81"/>
      <c r="R15" s="81"/>
    </row>
    <row r="16" spans="2:18" s="74" customFormat="1" ht="12.75" customHeight="1">
      <c r="B16" s="73"/>
      <c r="C16" s="76"/>
      <c r="D16" s="77"/>
      <c r="E16" s="82"/>
      <c r="P16" s="81"/>
      <c r="Q16" s="81"/>
      <c r="R16" s="81"/>
    </row>
    <row r="17" spans="2:9" s="74" customFormat="1" ht="12.75" customHeight="1">
      <c r="B17" s="73"/>
      <c r="C17" s="76"/>
      <c r="D17" s="77"/>
      <c r="E17" s="82"/>
      <c r="G17" s="84"/>
      <c r="H17" s="83"/>
      <c r="I17" s="83"/>
    </row>
    <row r="18" spans="2:9" s="74" customFormat="1" ht="12.75" customHeight="1">
      <c r="B18" s="73"/>
      <c r="C18" s="76"/>
      <c r="D18" s="77"/>
      <c r="E18" s="82"/>
      <c r="G18" s="84"/>
      <c r="H18" s="83"/>
      <c r="I18" s="83"/>
    </row>
    <row r="19" spans="2:9" s="74" customFormat="1" ht="12.75" customHeight="1">
      <c r="B19" s="73"/>
      <c r="C19" s="76"/>
      <c r="D19" s="77"/>
      <c r="E19" s="82"/>
      <c r="G19" s="84"/>
      <c r="H19" s="83"/>
      <c r="I19" s="83"/>
    </row>
    <row r="20" spans="2:9" s="74" customFormat="1" ht="12.75" customHeight="1">
      <c r="B20" s="73"/>
      <c r="C20" s="76"/>
      <c r="D20" s="77"/>
      <c r="E20" s="82"/>
      <c r="G20" s="84"/>
      <c r="H20" s="83"/>
      <c r="I20" s="83"/>
    </row>
    <row r="21" spans="2:9" s="74" customFormat="1" ht="12.75" customHeight="1">
      <c r="B21" s="73"/>
      <c r="C21" s="76"/>
      <c r="D21" s="77"/>
      <c r="E21" s="82"/>
      <c r="G21" s="84"/>
      <c r="H21" s="83"/>
      <c r="I21" s="83"/>
    </row>
    <row r="22" spans="2:9">
      <c r="E22" s="85"/>
      <c r="H22" s="83"/>
      <c r="I22" s="83"/>
    </row>
    <row r="23" spans="2:9" ht="12.75" customHeight="1">
      <c r="E23" s="85"/>
      <c r="H23" s="83"/>
    </row>
    <row r="24" spans="2:9" ht="12.75" customHeight="1">
      <c r="E24" s="85"/>
    </row>
    <row r="25" spans="2:9">
      <c r="E25" s="85"/>
    </row>
    <row r="26" spans="2:9">
      <c r="E26" s="85"/>
    </row>
    <row r="27" spans="2:9">
      <c r="E27" s="85"/>
    </row>
    <row r="28" spans="2:9">
      <c r="E28" s="319"/>
    </row>
    <row r="29" spans="2:9">
      <c r="E29" s="319"/>
    </row>
    <row r="30" spans="2:9">
      <c r="F30" s="87"/>
    </row>
    <row r="31" spans="2:9">
      <c r="F31" s="87"/>
    </row>
    <row r="32" spans="2:9">
      <c r="F32" s="87"/>
    </row>
    <row r="33" spans="6:14">
      <c r="F33" s="87"/>
    </row>
    <row r="34" spans="6:14">
      <c r="F34" s="87"/>
    </row>
    <row r="35" spans="6:14">
      <c r="F35" s="87"/>
    </row>
    <row r="40" spans="6:14">
      <c r="F40" s="72"/>
      <c r="G40" s="72"/>
      <c r="H40" s="72"/>
      <c r="I40" s="72"/>
      <c r="J40" s="72"/>
      <c r="K40" s="72"/>
      <c r="L40" s="72"/>
      <c r="N40" s="72"/>
    </row>
    <row r="41" spans="6:14">
      <c r="F41" s="72"/>
      <c r="G41" s="72"/>
      <c r="H41" s="72"/>
      <c r="I41" s="72"/>
      <c r="J41" s="72"/>
      <c r="K41" s="72"/>
      <c r="L41" s="72"/>
      <c r="N41" s="72"/>
    </row>
    <row r="42" spans="6:14">
      <c r="F42" s="72"/>
      <c r="G42" s="72"/>
      <c r="H42" s="72"/>
      <c r="I42" s="72"/>
      <c r="J42" s="72"/>
      <c r="K42" s="72"/>
      <c r="L42" s="72"/>
      <c r="N42" s="72"/>
    </row>
    <row r="43" spans="6:14">
      <c r="F43" s="72"/>
      <c r="G43" s="72"/>
      <c r="H43" s="72"/>
      <c r="I43" s="72"/>
      <c r="J43" s="72"/>
      <c r="K43" s="72"/>
      <c r="L43" s="72"/>
      <c r="N43" s="72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7"/>
  <dimension ref="B3:AA197"/>
  <sheetViews>
    <sheetView showGridLines="0" showRowColHeaders="0" zoomScaleNormal="100" workbookViewId="0">
      <selection activeCell="C17" sqref="C17"/>
    </sheetView>
  </sheetViews>
  <sheetFormatPr baseColWidth="10" defaultColWidth="11.42578125" defaultRowHeight="11.25"/>
  <cols>
    <col min="1" max="1" width="11.42578125" style="168"/>
    <col min="2" max="2" width="40.5703125" style="168" customWidth="1"/>
    <col min="3" max="16384" width="11.42578125" style="168"/>
  </cols>
  <sheetData>
    <row r="3" spans="2:7">
      <c r="B3" s="105" t="s">
        <v>56</v>
      </c>
      <c r="C3" s="167"/>
      <c r="D3" s="167"/>
      <c r="E3" s="167"/>
    </row>
    <row r="4" spans="2:7">
      <c r="B4" s="106"/>
      <c r="C4" s="89" t="s">
        <v>57</v>
      </c>
      <c r="D4" s="89" t="s">
        <v>14</v>
      </c>
      <c r="E4" s="107"/>
      <c r="F4" s="106"/>
      <c r="G4" s="89" t="s">
        <v>14</v>
      </c>
    </row>
    <row r="5" spans="2:7">
      <c r="B5" s="133" t="s">
        <v>81</v>
      </c>
      <c r="C5" s="129">
        <f>Dat_01!B33</f>
        <v>3328.8900000000003</v>
      </c>
      <c r="D5" s="109">
        <f>C5/$C$17*100</f>
        <v>3.1867808626252563</v>
      </c>
      <c r="E5" s="107"/>
      <c r="F5" s="108" t="s">
        <v>16</v>
      </c>
      <c r="G5" s="109">
        <f>SUM(D5:D10)</f>
        <v>45.073172610209824</v>
      </c>
    </row>
    <row r="6" spans="2:7">
      <c r="B6" s="108" t="s">
        <v>3</v>
      </c>
      <c r="C6" s="129">
        <f>Dat_01!B34</f>
        <v>7117.29</v>
      </c>
      <c r="D6" s="109">
        <f t="shared" ref="D6:D16" si="0">C6/$C$17*100</f>
        <v>6.8134554057821388</v>
      </c>
      <c r="E6" s="107"/>
      <c r="F6" s="214" t="s">
        <v>17</v>
      </c>
      <c r="G6" s="215">
        <f>SUM(D11:D16)</f>
        <v>54.926827389790184</v>
      </c>
    </row>
    <row r="7" spans="2:7">
      <c r="B7" s="108" t="s">
        <v>4</v>
      </c>
      <c r="C7" s="129">
        <f>Dat_01!B35</f>
        <v>5977.875</v>
      </c>
      <c r="D7" s="109">
        <f t="shared" si="0"/>
        <v>5.7226816293617242</v>
      </c>
      <c r="E7" s="107"/>
    </row>
    <row r="8" spans="2:7">
      <c r="B8" s="108" t="s">
        <v>11</v>
      </c>
      <c r="C8" s="129">
        <f>Dat_01!B36</f>
        <v>24561.86</v>
      </c>
      <c r="D8" s="109">
        <f t="shared" si="0"/>
        <v>23.51332287894186</v>
      </c>
      <c r="E8" s="107"/>
    </row>
    <row r="9" spans="2:7">
      <c r="B9" s="108" t="s">
        <v>9</v>
      </c>
      <c r="C9" s="129">
        <f>Dat_01!B37</f>
        <v>5655.7725000000009</v>
      </c>
      <c r="D9" s="109">
        <f t="shared" si="0"/>
        <v>5.414329571227106</v>
      </c>
      <c r="E9" s="107"/>
    </row>
    <row r="10" spans="2:7">
      <c r="B10" s="108" t="s">
        <v>70</v>
      </c>
      <c r="C10" s="129">
        <f>Dat_01!B38</f>
        <v>441.44749999999999</v>
      </c>
      <c r="D10" s="109">
        <f t="shared" si="0"/>
        <v>0.42260226227173692</v>
      </c>
      <c r="E10" s="107"/>
    </row>
    <row r="11" spans="2:7">
      <c r="B11" s="108" t="s">
        <v>69</v>
      </c>
      <c r="C11" s="129">
        <f>Dat_01!B39</f>
        <v>121.7915</v>
      </c>
      <c r="D11" s="109">
        <f t="shared" si="0"/>
        <v>0.11659226391692841</v>
      </c>
      <c r="E11" s="107"/>
    </row>
    <row r="12" spans="2:7">
      <c r="B12" s="108" t="s">
        <v>5</v>
      </c>
      <c r="C12" s="129">
        <f>Dat_01!B40</f>
        <v>26614.926500000005</v>
      </c>
      <c r="D12" s="109">
        <f t="shared" si="0"/>
        <v>25.478744695792827</v>
      </c>
      <c r="E12" s="107"/>
    </row>
    <row r="13" spans="2:7">
      <c r="B13" s="108" t="s">
        <v>2</v>
      </c>
      <c r="C13" s="129">
        <f>Dat_01!B41</f>
        <v>17082.648229999999</v>
      </c>
      <c r="D13" s="109">
        <f t="shared" si="0"/>
        <v>16.353396015585734</v>
      </c>
      <c r="E13" s="107"/>
    </row>
    <row r="14" spans="2:7">
      <c r="B14" s="108" t="s">
        <v>6</v>
      </c>
      <c r="C14" s="129">
        <f>Dat_01!B42</f>
        <v>10182.223726000126</v>
      </c>
      <c r="D14" s="109">
        <f t="shared" si="0"/>
        <v>9.7475481944389948</v>
      </c>
      <c r="E14" s="107"/>
    </row>
    <row r="15" spans="2:7">
      <c r="B15" s="108" t="s">
        <v>7</v>
      </c>
      <c r="C15" s="129">
        <f>Dat_01!B43</f>
        <v>2304.0129999999999</v>
      </c>
      <c r="D15" s="109">
        <f t="shared" si="0"/>
        <v>2.205655499472738</v>
      </c>
      <c r="E15" s="107"/>
    </row>
    <row r="16" spans="2:7">
      <c r="B16" s="108" t="s">
        <v>8</v>
      </c>
      <c r="C16" s="129">
        <f>Dat_01!B44</f>
        <v>1070.5939999999998</v>
      </c>
      <c r="D16" s="109">
        <f t="shared" si="0"/>
        <v>1.0248907205829638</v>
      </c>
      <c r="E16" s="107"/>
    </row>
    <row r="17" spans="2:7">
      <c r="B17" s="110" t="s">
        <v>15</v>
      </c>
      <c r="C17" s="130">
        <f>SUM(C5:C16)</f>
        <v>104459.33195600013</v>
      </c>
      <c r="D17" s="111">
        <f>SUM(D5:D16)</f>
        <v>100</v>
      </c>
      <c r="E17" s="107"/>
    </row>
    <row r="18" spans="2:7">
      <c r="B18" s="167"/>
      <c r="C18" s="167"/>
      <c r="D18" s="167"/>
      <c r="E18" s="167"/>
    </row>
    <row r="19" spans="2:7">
      <c r="B19" s="105" t="s">
        <v>59</v>
      </c>
      <c r="C19" s="167"/>
      <c r="D19" s="167"/>
      <c r="E19" s="167"/>
    </row>
    <row r="20" spans="2:7">
      <c r="B20" s="106"/>
      <c r="C20" s="89" t="s">
        <v>0</v>
      </c>
      <c r="D20" s="89" t="s">
        <v>14</v>
      </c>
      <c r="E20" s="107"/>
      <c r="F20" s="106"/>
      <c r="G20" s="89" t="s">
        <v>14</v>
      </c>
    </row>
    <row r="21" spans="2:7">
      <c r="B21" s="133" t="s">
        <v>81</v>
      </c>
      <c r="C21" s="129">
        <f>Dat_01!B50</f>
        <v>198.0479</v>
      </c>
      <c r="D21" s="109">
        <f>C21/$C$33*100</f>
        <v>1.041151189288519</v>
      </c>
      <c r="E21" s="107"/>
      <c r="F21" s="108" t="s">
        <v>16</v>
      </c>
      <c r="G21" s="109">
        <f>SUM(D21:D26)</f>
        <v>57.846859897824906</v>
      </c>
    </row>
    <row r="22" spans="2:7">
      <c r="B22" s="108" t="s">
        <v>3</v>
      </c>
      <c r="C22" s="129">
        <f>Dat_01!B51</f>
        <v>4654.2524999999996</v>
      </c>
      <c r="D22" s="109">
        <f t="shared" ref="D22:D24" si="1">C22/$C$33*100</f>
        <v>24.467719807299456</v>
      </c>
      <c r="E22" s="131"/>
      <c r="F22" s="214" t="s">
        <v>17</v>
      </c>
      <c r="G22" s="215">
        <f>SUM(D27:D32)</f>
        <v>42.153140102175108</v>
      </c>
    </row>
    <row r="23" spans="2:7">
      <c r="B23" s="108" t="s">
        <v>4</v>
      </c>
      <c r="C23" s="129">
        <f>Dat_01!B52</f>
        <v>340.17090000000002</v>
      </c>
      <c r="D23" s="109">
        <f t="shared" si="1"/>
        <v>1.7883014013092078</v>
      </c>
      <c r="E23" s="131"/>
    </row>
    <row r="24" spans="2:7">
      <c r="B24" s="108" t="s">
        <v>11</v>
      </c>
      <c r="C24" s="129">
        <f>Dat_01!B53</f>
        <v>3232.4526000000001</v>
      </c>
      <c r="D24" s="109">
        <f t="shared" si="1"/>
        <v>16.993221684293371</v>
      </c>
      <c r="E24" s="131"/>
    </row>
    <row r="25" spans="2:7">
      <c r="B25" s="108" t="s">
        <v>9</v>
      </c>
      <c r="C25" s="129">
        <f>Dat_01!B54</f>
        <v>2400.6185</v>
      </c>
      <c r="D25" s="109">
        <f>C25/$C$33*100</f>
        <v>12.620213626617705</v>
      </c>
      <c r="E25" s="131"/>
    </row>
    <row r="26" spans="2:7">
      <c r="B26" s="108" t="s">
        <v>70</v>
      </c>
      <c r="C26" s="129">
        <f>Dat_01!B55</f>
        <v>178.09399999999999</v>
      </c>
      <c r="D26" s="109">
        <f>C26/$C$33*100</f>
        <v>0.93625218901664431</v>
      </c>
      <c r="E26" s="131"/>
    </row>
    <row r="27" spans="2:7">
      <c r="B27" s="108" t="s">
        <v>69</v>
      </c>
      <c r="C27" s="129">
        <f>Dat_01!B56</f>
        <v>67.192899999999995</v>
      </c>
      <c r="D27" s="109">
        <f t="shared" ref="D27:D28" si="2">C27/$C$33*100</f>
        <v>0.35323761446975466</v>
      </c>
      <c r="E27" s="131"/>
    </row>
    <row r="28" spans="2:7">
      <c r="B28" s="108" t="s">
        <v>5</v>
      </c>
      <c r="C28" s="129">
        <f>Dat_01!B57</f>
        <v>4149.5803999999998</v>
      </c>
      <c r="D28" s="109">
        <f t="shared" si="2"/>
        <v>21.814624484825782</v>
      </c>
      <c r="E28" s="131"/>
    </row>
    <row r="29" spans="2:7">
      <c r="B29" s="108" t="s">
        <v>2</v>
      </c>
      <c r="C29" s="129">
        <f>Dat_01!B58</f>
        <v>2481.4675999999999</v>
      </c>
      <c r="D29" s="109">
        <f>C29/$C$33*100</f>
        <v>13.045242807022579</v>
      </c>
      <c r="E29" s="131"/>
    </row>
    <row r="30" spans="2:7">
      <c r="B30" s="108" t="s">
        <v>6</v>
      </c>
      <c r="C30" s="129">
        <f>Dat_01!B59</f>
        <v>789.42206363100001</v>
      </c>
      <c r="D30" s="109">
        <f t="shared" ref="D30:D32" si="3">C30/$C$33*100</f>
        <v>4.1500451173681343</v>
      </c>
      <c r="E30" s="131"/>
    </row>
    <row r="31" spans="2:7">
      <c r="B31" s="108" t="s">
        <v>7</v>
      </c>
      <c r="C31" s="129">
        <f>Dat_01!B60</f>
        <v>123.95233636899999</v>
      </c>
      <c r="D31" s="109">
        <f t="shared" si="3"/>
        <v>0.65162580580594331</v>
      </c>
      <c r="E31" s="131"/>
    </row>
    <row r="32" spans="2:7">
      <c r="B32" s="108" t="s">
        <v>8</v>
      </c>
      <c r="C32" s="129">
        <f>Dat_01!B61</f>
        <v>406.75990000000002</v>
      </c>
      <c r="D32" s="109">
        <f t="shared" si="3"/>
        <v>2.1383642726829168</v>
      </c>
      <c r="E32" s="131"/>
    </row>
    <row r="33" spans="2:6">
      <c r="B33" s="110" t="s">
        <v>15</v>
      </c>
      <c r="C33" s="130">
        <f>SUM(C21:C32)</f>
        <v>19022.011599999998</v>
      </c>
      <c r="D33" s="111">
        <f>SUM(D21:D32)</f>
        <v>100.00000000000003</v>
      </c>
    </row>
    <row r="34" spans="2:6">
      <c r="B34" s="151"/>
      <c r="C34" s="167"/>
      <c r="D34" s="167"/>
      <c r="E34" s="167"/>
      <c r="F34" s="167"/>
    </row>
    <row r="35" spans="2:6">
      <c r="B35" s="151" t="s">
        <v>527</v>
      </c>
      <c r="C35" s="167"/>
      <c r="D35" s="167"/>
      <c r="E35" s="167"/>
      <c r="F35" s="216" t="str">
        <f>CONCATENATE("Mes",CHAR(13),MID(B35,66,10))</f>
        <v>Mes_x000D_18/08/2018</v>
      </c>
    </row>
    <row r="36" spans="2:6">
      <c r="B36" s="106"/>
      <c r="C36" s="89" t="s">
        <v>14</v>
      </c>
      <c r="D36" s="107"/>
      <c r="E36" s="106"/>
      <c r="F36" s="89" t="s">
        <v>14</v>
      </c>
    </row>
    <row r="37" spans="2:6">
      <c r="B37" s="108" t="s">
        <v>81</v>
      </c>
      <c r="C37" s="109">
        <f>Dat_01!B94</f>
        <v>0.38039979125415918</v>
      </c>
      <c r="D37" s="107"/>
      <c r="E37" s="108" t="s">
        <v>16</v>
      </c>
      <c r="F37" s="109">
        <f>SUM(C37:C42)</f>
        <v>40.334007206305621</v>
      </c>
    </row>
    <row r="38" spans="2:6">
      <c r="B38" s="108" t="s">
        <v>3</v>
      </c>
      <c r="C38" s="109">
        <f>Dat_01!B95</f>
        <v>20.206375619151114</v>
      </c>
      <c r="D38" s="107"/>
      <c r="E38" s="214" t="s">
        <v>17</v>
      </c>
      <c r="F38" s="215">
        <f>SUM(C43:C48)</f>
        <v>59.665992793694386</v>
      </c>
    </row>
    <row r="39" spans="2:6">
      <c r="B39" s="108" t="s">
        <v>4</v>
      </c>
      <c r="C39" s="109">
        <f>Dat_01!B96</f>
        <v>1.5454677133528727</v>
      </c>
      <c r="D39" s="107"/>
    </row>
    <row r="40" spans="2:6">
      <c r="B40" s="108" t="s">
        <v>11</v>
      </c>
      <c r="C40" s="109">
        <f>Dat_01!B97</f>
        <v>6.1338149549900436</v>
      </c>
      <c r="D40" s="107"/>
    </row>
    <row r="41" spans="2:6">
      <c r="B41" s="108" t="s">
        <v>9</v>
      </c>
      <c r="C41" s="109">
        <f>Dat_01!B98</f>
        <v>11.382927334685698</v>
      </c>
      <c r="D41" s="107"/>
      <c r="E41" s="107"/>
      <c r="F41" s="107"/>
    </row>
    <row r="42" spans="2:6">
      <c r="B42" s="108" t="s">
        <v>70</v>
      </c>
      <c r="C42" s="109">
        <f>Dat_01!B99</f>
        <v>0.68502179287173148</v>
      </c>
      <c r="D42" s="107"/>
      <c r="E42" s="107"/>
      <c r="F42" s="107"/>
    </row>
    <row r="43" spans="2:6">
      <c r="B43" s="108" t="s">
        <v>69</v>
      </c>
      <c r="C43" s="109">
        <f>Dat_01!B100</f>
        <v>0.28015743262021076</v>
      </c>
      <c r="D43" s="107"/>
      <c r="E43" s="107"/>
      <c r="F43" s="107"/>
    </row>
    <row r="44" spans="2:6">
      <c r="B44" s="108" t="s">
        <v>5</v>
      </c>
      <c r="C44" s="109">
        <f>Dat_01!B101</f>
        <v>45.724224012286349</v>
      </c>
      <c r="D44" s="107"/>
      <c r="E44" s="107"/>
      <c r="F44" s="107"/>
    </row>
    <row r="45" spans="2:6">
      <c r="B45" s="108" t="s">
        <v>2</v>
      </c>
      <c r="C45" s="109">
        <f>Dat_01!B102</f>
        <v>9.569569125575315</v>
      </c>
      <c r="D45" s="107"/>
      <c r="E45" s="107"/>
      <c r="F45" s="107"/>
    </row>
    <row r="46" spans="2:6">
      <c r="B46" s="108" t="s">
        <v>6</v>
      </c>
      <c r="C46" s="109">
        <f>Dat_01!B103</f>
        <v>2.2672393994606708</v>
      </c>
      <c r="D46" s="107"/>
      <c r="E46" s="107"/>
      <c r="F46" s="107"/>
    </row>
    <row r="47" spans="2:6">
      <c r="B47" s="108" t="s">
        <v>7</v>
      </c>
      <c r="C47" s="109">
        <f>Dat_01!B104</f>
        <v>6.846854487099964E-2</v>
      </c>
      <c r="D47" s="107"/>
      <c r="E47" s="107"/>
      <c r="F47" s="107"/>
    </row>
    <row r="48" spans="2:6">
      <c r="B48" s="108" t="s">
        <v>8</v>
      </c>
      <c r="C48" s="109">
        <f>Dat_01!B105</f>
        <v>1.7563342788808394</v>
      </c>
      <c r="D48" s="167"/>
      <c r="E48" s="167"/>
      <c r="F48" s="167"/>
    </row>
    <row r="49" spans="2:6">
      <c r="B49" s="110" t="s">
        <v>15</v>
      </c>
      <c r="C49" s="111">
        <f>SUM(C37:C48)</f>
        <v>100</v>
      </c>
      <c r="D49" s="167"/>
      <c r="E49" s="167"/>
      <c r="F49" s="167"/>
    </row>
    <row r="50" spans="2:6">
      <c r="B50" s="151"/>
      <c r="C50" s="167"/>
      <c r="D50" s="167"/>
      <c r="E50" s="167"/>
      <c r="F50" s="167"/>
    </row>
    <row r="51" spans="2:6">
      <c r="B51" s="151" t="s">
        <v>131</v>
      </c>
      <c r="C51" s="167"/>
      <c r="D51" s="167"/>
      <c r="E51" s="167"/>
      <c r="F51" s="216" t="str">
        <f>CONCATENATE("Histórico ",CHAR(13),MID(B51,65,11))</f>
        <v>Histórico _x000D_ 20/03/2018</v>
      </c>
    </row>
    <row r="52" spans="2:6">
      <c r="B52" s="106"/>
      <c r="C52" s="89" t="s">
        <v>14</v>
      </c>
      <c r="D52" s="107"/>
      <c r="E52" s="106"/>
      <c r="F52" s="89" t="s">
        <v>14</v>
      </c>
    </row>
    <row r="53" spans="2:6">
      <c r="B53" s="108" t="s">
        <v>81</v>
      </c>
      <c r="C53" s="109">
        <f>Dat_01!H94</f>
        <v>1.3030501793381193</v>
      </c>
      <c r="D53" s="107"/>
      <c r="E53" s="108" t="s">
        <v>16</v>
      </c>
      <c r="F53" s="109">
        <f>SUM(C53:C58)</f>
        <v>36.870183401680237</v>
      </c>
    </row>
    <row r="54" spans="2:6">
      <c r="B54" s="108" t="s">
        <v>3</v>
      </c>
      <c r="C54" s="109">
        <f>Dat_01!H95</f>
        <v>17.050485669038466</v>
      </c>
      <c r="D54" s="107"/>
      <c r="E54" s="214" t="s">
        <v>17</v>
      </c>
      <c r="F54" s="215">
        <f>SUM(C59:C64)</f>
        <v>63.129816598319778</v>
      </c>
    </row>
    <row r="55" spans="2:6">
      <c r="B55" s="108" t="s">
        <v>4</v>
      </c>
      <c r="C55" s="109">
        <f>Dat_01!H96</f>
        <v>4.2223545526749469</v>
      </c>
      <c r="D55" s="107"/>
    </row>
    <row r="56" spans="2:6">
      <c r="B56" s="108" t="s">
        <v>11</v>
      </c>
      <c r="C56" s="109">
        <f>Dat_01!H97</f>
        <v>4.1807787657263216</v>
      </c>
      <c r="D56" s="107"/>
    </row>
    <row r="57" spans="2:6">
      <c r="B57" s="108" t="s">
        <v>9</v>
      </c>
      <c r="C57" s="109">
        <f>Dat_01!H98</f>
        <v>9.2823558122383183</v>
      </c>
      <c r="D57" s="107"/>
      <c r="E57" s="107"/>
      <c r="F57" s="107"/>
    </row>
    <row r="58" spans="2:6">
      <c r="B58" s="108" t="s">
        <v>70</v>
      </c>
      <c r="C58" s="109">
        <f>Dat_01!H99</f>
        <v>0.83115842266405715</v>
      </c>
      <c r="D58" s="107"/>
      <c r="E58" s="107"/>
      <c r="F58" s="107"/>
    </row>
    <row r="59" spans="2:6">
      <c r="B59" s="108" t="s">
        <v>69</v>
      </c>
      <c r="C59" s="109">
        <f>Dat_01!H100</f>
        <v>0.24888647651532891</v>
      </c>
      <c r="D59" s="107"/>
      <c r="E59" s="107"/>
      <c r="F59" s="107"/>
    </row>
    <row r="60" spans="2:6">
      <c r="B60" s="108" t="s">
        <v>5</v>
      </c>
      <c r="C60" s="109">
        <f>Dat_01!H101</f>
        <v>38.2252426809995</v>
      </c>
      <c r="D60" s="107"/>
      <c r="E60" s="107"/>
      <c r="F60" s="107"/>
    </row>
    <row r="61" spans="2:6">
      <c r="B61" s="108" t="s">
        <v>2</v>
      </c>
      <c r="C61" s="109">
        <f>Dat_01!H102</f>
        <v>20.082839847922671</v>
      </c>
      <c r="D61" s="107"/>
      <c r="E61" s="107"/>
      <c r="F61" s="107"/>
    </row>
    <row r="62" spans="2:6">
      <c r="B62" s="108" t="s">
        <v>6</v>
      </c>
      <c r="C62" s="109">
        <f>Dat_01!H103</f>
        <v>2.3157603305958769</v>
      </c>
      <c r="D62" s="107"/>
      <c r="E62" s="107"/>
      <c r="F62" s="107"/>
    </row>
    <row r="63" spans="2:6">
      <c r="B63" s="108" t="s">
        <v>7</v>
      </c>
      <c r="C63" s="109">
        <f>Dat_01!H104</f>
        <v>1.3161197854237463</v>
      </c>
      <c r="D63" s="107"/>
      <c r="E63" s="107"/>
      <c r="F63" s="107"/>
    </row>
    <row r="64" spans="2:6">
      <c r="B64" s="108" t="s">
        <v>8</v>
      </c>
      <c r="C64" s="109">
        <f>Dat_01!H105</f>
        <v>0.94096747686264959</v>
      </c>
    </row>
    <row r="65" spans="2:16">
      <c r="B65" s="110" t="s">
        <v>15</v>
      </c>
      <c r="C65" s="111">
        <f>SUM(C53:C64)</f>
        <v>100.00000000000001</v>
      </c>
    </row>
    <row r="66" spans="2:16">
      <c r="B66" s="151"/>
      <c r="C66" s="167"/>
    </row>
    <row r="67" spans="2:16">
      <c r="B67" s="151" t="s">
        <v>62</v>
      </c>
      <c r="C67" s="217"/>
      <c r="D67" s="217"/>
      <c r="E67" s="217"/>
      <c r="F67" s="217"/>
      <c r="G67" s="217"/>
      <c r="H67" s="217"/>
      <c r="I67" s="217"/>
      <c r="J67" s="217"/>
      <c r="K67" s="217"/>
      <c r="L67" s="217"/>
      <c r="M67" s="217"/>
      <c r="N67" s="217"/>
      <c r="O67" s="217"/>
    </row>
    <row r="68" spans="2:16">
      <c r="B68" s="218"/>
      <c r="C68" s="219" t="str">
        <f>Dat_01!B140</f>
        <v>N</v>
      </c>
      <c r="D68" s="219" t="str">
        <f>Dat_01!C140</f>
        <v>D</v>
      </c>
      <c r="E68" s="219" t="str">
        <f>Dat_01!D140</f>
        <v>E</v>
      </c>
      <c r="F68" s="219" t="str">
        <f>Dat_01!E140</f>
        <v>F</v>
      </c>
      <c r="G68" s="219" t="str">
        <f>Dat_01!F140</f>
        <v>M</v>
      </c>
      <c r="H68" s="219" t="str">
        <f>Dat_01!G140</f>
        <v>A</v>
      </c>
      <c r="I68" s="219" t="str">
        <f>Dat_01!H140</f>
        <v>M</v>
      </c>
      <c r="J68" s="219" t="str">
        <f>Dat_01!I140</f>
        <v>J</v>
      </c>
      <c r="K68" s="219" t="str">
        <f>Dat_01!J140</f>
        <v>J</v>
      </c>
      <c r="L68" s="219" t="str">
        <f>Dat_01!K140</f>
        <v>A</v>
      </c>
      <c r="M68" s="219" t="str">
        <f>Dat_01!L140</f>
        <v>S</v>
      </c>
      <c r="N68" s="219" t="str">
        <f>Dat_01!M140</f>
        <v>O</v>
      </c>
      <c r="O68" s="219" t="str">
        <f>Dat_01!N140</f>
        <v>N</v>
      </c>
      <c r="P68" s="220"/>
    </row>
    <row r="69" spans="2:16">
      <c r="B69" s="221" t="s">
        <v>2</v>
      </c>
      <c r="C69" s="222">
        <f>Dat_01!B142</f>
        <v>2663.0366552999999</v>
      </c>
      <c r="D69" s="222">
        <f>Dat_01!C142</f>
        <v>4638.9097267759998</v>
      </c>
      <c r="E69" s="222">
        <f>Dat_01!D142</f>
        <v>3728.0292889299999</v>
      </c>
      <c r="F69" s="222">
        <f>Dat_01!E142</f>
        <v>2837.657916438</v>
      </c>
      <c r="G69" s="222">
        <f>Dat_01!F142</f>
        <v>3112.6634564460001</v>
      </c>
      <c r="H69" s="222">
        <f>Dat_01!G142</f>
        <v>2861.140589526</v>
      </c>
      <c r="I69" s="222">
        <f>Dat_01!H142</f>
        <v>2858.8119126259999</v>
      </c>
      <c r="J69" s="222">
        <f>Dat_01!I142</f>
        <v>2261.9890331500001</v>
      </c>
      <c r="K69" s="222">
        <f>Dat_01!J142</f>
        <v>1836.794019208</v>
      </c>
      <c r="L69" s="222">
        <f>Dat_01!K142</f>
        <v>1880.071061444</v>
      </c>
      <c r="M69" s="222">
        <f>Dat_01!L142</f>
        <v>1674.6629713719999</v>
      </c>
      <c r="N69" s="222">
        <f>Dat_01!M142</f>
        <v>1889.582088462</v>
      </c>
      <c r="O69" s="222">
        <f>Dat_01!N142</f>
        <v>2481.4675999999999</v>
      </c>
    </row>
    <row r="70" spans="2:16">
      <c r="B70" s="221" t="s">
        <v>81</v>
      </c>
      <c r="C70" s="222">
        <f>Dat_01!B143</f>
        <v>172.10635217000001</v>
      </c>
      <c r="D70" s="222">
        <f>Dat_01!C143</f>
        <v>321.94269827400001</v>
      </c>
      <c r="E70" s="222">
        <f>Dat_01!D143</f>
        <v>233.77888705199999</v>
      </c>
      <c r="F70" s="222">
        <f>Dat_01!E143</f>
        <v>229.83714941400001</v>
      </c>
      <c r="G70" s="222">
        <f>Dat_01!F143</f>
        <v>303.52379088800001</v>
      </c>
      <c r="H70" s="222">
        <f>Dat_01!G143</f>
        <v>314.35098405000002</v>
      </c>
      <c r="I70" s="222">
        <f>Dat_01!H143</f>
        <v>243.63992918599999</v>
      </c>
      <c r="J70" s="222">
        <f>Dat_01!I143</f>
        <v>152.39581989600001</v>
      </c>
      <c r="K70" s="222">
        <f>Dat_01!J143</f>
        <v>167.16093403400001</v>
      </c>
      <c r="L70" s="222">
        <f>Dat_01!K143</f>
        <v>158.85512120000001</v>
      </c>
      <c r="M70" s="222">
        <f>Dat_01!L143</f>
        <v>187.668031348</v>
      </c>
      <c r="N70" s="222">
        <f>Dat_01!M143</f>
        <v>229.96712263000001</v>
      </c>
      <c r="O70" s="222">
        <f>Dat_01!N143</f>
        <v>198.0479</v>
      </c>
    </row>
    <row r="71" spans="2:16">
      <c r="B71" s="221" t="s">
        <v>3</v>
      </c>
      <c r="C71" s="222">
        <f>Dat_01!B144</f>
        <v>3427.5262950000001</v>
      </c>
      <c r="D71" s="222">
        <f>Dat_01!C144</f>
        <v>4349.8902129999997</v>
      </c>
      <c r="E71" s="222">
        <f>Dat_01!D144</f>
        <v>5289.1958240000004</v>
      </c>
      <c r="F71" s="222">
        <f>Dat_01!E144</f>
        <v>4885.6830239999999</v>
      </c>
      <c r="G71" s="222">
        <f>Dat_01!F144</f>
        <v>5174.9451150000004</v>
      </c>
      <c r="H71" s="222">
        <f>Dat_01!G144</f>
        <v>4085.604789</v>
      </c>
      <c r="I71" s="222">
        <f>Dat_01!H144</f>
        <v>3078.9784669999999</v>
      </c>
      <c r="J71" s="222">
        <f>Dat_01!I144</f>
        <v>3621.3812859999998</v>
      </c>
      <c r="K71" s="222">
        <f>Dat_01!J144</f>
        <v>5159.0193049999998</v>
      </c>
      <c r="L71" s="222">
        <f>Dat_01!K144</f>
        <v>5151.9122530000004</v>
      </c>
      <c r="M71" s="222">
        <f>Dat_01!L144</f>
        <v>4871.2094020000004</v>
      </c>
      <c r="N71" s="222">
        <f>Dat_01!M144</f>
        <v>4528.3442359999999</v>
      </c>
      <c r="O71" s="222">
        <f>Dat_01!N144</f>
        <v>4654.2524999999996</v>
      </c>
    </row>
    <row r="72" spans="2:16">
      <c r="B72" s="221" t="s">
        <v>4</v>
      </c>
      <c r="C72" s="222">
        <f>Dat_01!B145</f>
        <v>548.13411599999995</v>
      </c>
      <c r="D72" s="222">
        <f>Dat_01!C145</f>
        <v>374.11610899999999</v>
      </c>
      <c r="E72" s="222">
        <f>Dat_01!D145</f>
        <v>869.06686000000002</v>
      </c>
      <c r="F72" s="222">
        <f>Dat_01!E145</f>
        <v>822.66154500000005</v>
      </c>
      <c r="G72" s="222">
        <f>Dat_01!F145</f>
        <v>476.52099399999997</v>
      </c>
      <c r="H72" s="222">
        <f>Dat_01!G145</f>
        <v>306.83838200000002</v>
      </c>
      <c r="I72" s="222">
        <f>Dat_01!H145</f>
        <v>244.57665399999999</v>
      </c>
      <c r="J72" s="222">
        <f>Dat_01!I145</f>
        <v>362.74284999999998</v>
      </c>
      <c r="K72" s="222">
        <f>Dat_01!J145</f>
        <v>303.34445399999998</v>
      </c>
      <c r="L72" s="222">
        <f>Dat_01!K145</f>
        <v>338.34975300000002</v>
      </c>
      <c r="M72" s="222">
        <f>Dat_01!L145</f>
        <v>282.63350100000002</v>
      </c>
      <c r="N72" s="222">
        <f>Dat_01!M145</f>
        <v>235.10996900000001</v>
      </c>
      <c r="O72" s="222">
        <f>Dat_01!N145</f>
        <v>340.17090000000002</v>
      </c>
    </row>
    <row r="73" spans="2:16">
      <c r="B73" s="221" t="s">
        <v>132</v>
      </c>
      <c r="C73" s="222"/>
      <c r="D73" s="222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</row>
    <row r="74" spans="2:16">
      <c r="B74" s="221" t="s">
        <v>133</v>
      </c>
      <c r="C74" s="222">
        <f>Dat_01!B146</f>
        <v>3860.487071</v>
      </c>
      <c r="D74" s="222">
        <f>Dat_01!C146</f>
        <v>2755.5232569999998</v>
      </c>
      <c r="E74" s="222">
        <f>Dat_01!D146</f>
        <v>3272.2781909999999</v>
      </c>
      <c r="F74" s="222">
        <f>Dat_01!E146</f>
        <v>2388.4234710000001</v>
      </c>
      <c r="G74" s="222">
        <f>Dat_01!F146</f>
        <v>1386.2401649999999</v>
      </c>
      <c r="H74" s="222">
        <f>Dat_01!G146</f>
        <v>1731.0447300000001</v>
      </c>
      <c r="I74" s="222">
        <f>Dat_01!H146</f>
        <v>2018.170026</v>
      </c>
      <c r="J74" s="222">
        <f>Dat_01!I146</f>
        <v>3556.6723459999998</v>
      </c>
      <c r="K74" s="222">
        <f>Dat_01!J146</f>
        <v>5829.9045759999999</v>
      </c>
      <c r="L74" s="222">
        <f>Dat_01!K146</f>
        <v>5051.1759540000003</v>
      </c>
      <c r="M74" s="222">
        <f>Dat_01!L146</f>
        <v>4546.4520769999999</v>
      </c>
      <c r="N74" s="222">
        <f>Dat_01!M146</f>
        <v>2791.4263310000001</v>
      </c>
      <c r="O74" s="222">
        <f>Dat_01!N146</f>
        <v>3232.4526000000001</v>
      </c>
    </row>
    <row r="75" spans="2:16">
      <c r="B75" s="221" t="s">
        <v>5</v>
      </c>
      <c r="C75" s="222">
        <f>Dat_01!B147</f>
        <v>7333.0039489999999</v>
      </c>
      <c r="D75" s="222">
        <f>Dat_01!C147</f>
        <v>5408.226525</v>
      </c>
      <c r="E75" s="222">
        <f>Dat_01!D147</f>
        <v>4566.2618409999995</v>
      </c>
      <c r="F75" s="222">
        <f>Dat_01!E147</f>
        <v>4177.8229469999997</v>
      </c>
      <c r="G75" s="222">
        <f>Dat_01!F147</f>
        <v>5503.3027240000001</v>
      </c>
      <c r="H75" s="222">
        <f>Dat_01!G147</f>
        <v>3639.4121740000001</v>
      </c>
      <c r="I75" s="222">
        <f>Dat_01!H147</f>
        <v>3893.3025899999998</v>
      </c>
      <c r="J75" s="222">
        <f>Dat_01!I147</f>
        <v>3239.7574049999998</v>
      </c>
      <c r="K75" s="222">
        <f>Dat_01!J147</f>
        <v>4098.9654170000003</v>
      </c>
      <c r="L75" s="222">
        <f>Dat_01!K147</f>
        <v>3508.2136180000002</v>
      </c>
      <c r="M75" s="222">
        <f>Dat_01!L147</f>
        <v>3861.739051</v>
      </c>
      <c r="N75" s="222">
        <f>Dat_01!M147</f>
        <v>5668.7251050000004</v>
      </c>
      <c r="O75" s="222">
        <f>Dat_01!N147</f>
        <v>4149.5803999999998</v>
      </c>
    </row>
    <row r="76" spans="2:16">
      <c r="B76" s="221" t="s">
        <v>134</v>
      </c>
      <c r="C76" s="222">
        <f>Dat_01!B148</f>
        <v>501.06963000000002</v>
      </c>
      <c r="D76" s="222">
        <f>Dat_01!C148</f>
        <v>494.84732300000002</v>
      </c>
      <c r="E76" s="222">
        <f>Dat_01!D148</f>
        <v>600.39744800000005</v>
      </c>
      <c r="F76" s="222">
        <f>Dat_01!E148</f>
        <v>944.08554600000002</v>
      </c>
      <c r="G76" s="222">
        <f>Dat_01!F148</f>
        <v>1036.1513669999999</v>
      </c>
      <c r="H76" s="222">
        <f>Dat_01!G148</f>
        <v>1114.1793740000001</v>
      </c>
      <c r="I76" s="222">
        <f>Dat_01!H148</f>
        <v>1592.9087930000001</v>
      </c>
      <c r="J76" s="222">
        <f>Dat_01!I148</f>
        <v>1758.5537770000001</v>
      </c>
      <c r="K76" s="222">
        <f>Dat_01!J148</f>
        <v>1862.4341910000001</v>
      </c>
      <c r="L76" s="222">
        <f>Dat_01!K148</f>
        <v>1768.5077249999999</v>
      </c>
      <c r="M76" s="222">
        <f>Dat_01!L148</f>
        <v>1421.280176</v>
      </c>
      <c r="N76" s="222">
        <f>Dat_01!M148</f>
        <v>1273.972949</v>
      </c>
      <c r="O76" s="222">
        <f>Dat_01!N148</f>
        <v>789.42206363100001</v>
      </c>
    </row>
    <row r="77" spans="2:16">
      <c r="B77" s="221" t="s">
        <v>135</v>
      </c>
      <c r="C77" s="222">
        <f>Dat_01!B149</f>
        <v>69.970612000000003</v>
      </c>
      <c r="D77" s="222">
        <f>Dat_01!C149</f>
        <v>68.978174999999993</v>
      </c>
      <c r="E77" s="222">
        <f>Dat_01!D149</f>
        <v>85.969313</v>
      </c>
      <c r="F77" s="222">
        <f>Dat_01!E149</f>
        <v>227.955996</v>
      </c>
      <c r="G77" s="222">
        <f>Dat_01!F149</f>
        <v>235.96742</v>
      </c>
      <c r="H77" s="222">
        <f>Dat_01!G149</f>
        <v>206.86543699999999</v>
      </c>
      <c r="I77" s="222">
        <f>Dat_01!H149</f>
        <v>552.48475099999996</v>
      </c>
      <c r="J77" s="222">
        <f>Dat_01!I149</f>
        <v>711.64684799999998</v>
      </c>
      <c r="K77" s="222">
        <f>Dat_01!J149</f>
        <v>796.17204200000003</v>
      </c>
      <c r="L77" s="222">
        <f>Dat_01!K149</f>
        <v>744.54166099999998</v>
      </c>
      <c r="M77" s="222">
        <f>Dat_01!L149</f>
        <v>452.15903400000002</v>
      </c>
      <c r="N77" s="222">
        <f>Dat_01!M149</f>
        <v>340.27470899999997</v>
      </c>
      <c r="O77" s="222">
        <f>Dat_01!N149</f>
        <v>123.95233636899999</v>
      </c>
    </row>
    <row r="78" spans="2:16">
      <c r="B78" s="221" t="s">
        <v>9</v>
      </c>
      <c r="C78" s="222">
        <f>Dat_01!B151</f>
        <v>2467.9510030000001</v>
      </c>
      <c r="D78" s="222">
        <f>Dat_01!C151</f>
        <v>2342.3448360000002</v>
      </c>
      <c r="E78" s="222">
        <f>Dat_01!D151</f>
        <v>2436.1478390000002</v>
      </c>
      <c r="F78" s="222">
        <f>Dat_01!E151</f>
        <v>2231.4833699999999</v>
      </c>
      <c r="G78" s="222">
        <f>Dat_01!F151</f>
        <v>2231.357293</v>
      </c>
      <c r="H78" s="222">
        <f>Dat_01!G151</f>
        <v>1925.2418520000001</v>
      </c>
      <c r="I78" s="222">
        <f>Dat_01!H151</f>
        <v>2084.3367929999999</v>
      </c>
      <c r="J78" s="222">
        <f>Dat_01!I151</f>
        <v>2185.8913440000001</v>
      </c>
      <c r="K78" s="222">
        <f>Dat_01!J151</f>
        <v>2299.6183460000002</v>
      </c>
      <c r="L78" s="222">
        <f>Dat_01!K151</f>
        <v>2189.017257</v>
      </c>
      <c r="M78" s="222">
        <f>Dat_01!L151</f>
        <v>2398.8736269999999</v>
      </c>
      <c r="N78" s="222">
        <f>Dat_01!M151</f>
        <v>2351.5301490000002</v>
      </c>
      <c r="O78" s="222">
        <f>Dat_01!N151</f>
        <v>2400.6185</v>
      </c>
    </row>
    <row r="79" spans="2:16">
      <c r="B79" s="221" t="s">
        <v>136</v>
      </c>
      <c r="C79" s="222">
        <f>Dat_01!B152</f>
        <v>144.5833825</v>
      </c>
      <c r="D79" s="222">
        <f>Dat_01!C152</f>
        <v>160.99247</v>
      </c>
      <c r="E79" s="222">
        <f>Dat_01!D152</f>
        <v>157.97660099999999</v>
      </c>
      <c r="F79" s="222">
        <f>Dat_01!E152</f>
        <v>163.5454105</v>
      </c>
      <c r="G79" s="222">
        <f>Dat_01!F152</f>
        <v>166.0983985</v>
      </c>
      <c r="H79" s="222">
        <f>Dat_01!G152</f>
        <v>134.23411250000001</v>
      </c>
      <c r="I79" s="222">
        <f>Dat_01!H152</f>
        <v>139.503086</v>
      </c>
      <c r="J79" s="222">
        <f>Dat_01!I152</f>
        <v>134.24086700000001</v>
      </c>
      <c r="K79" s="222">
        <f>Dat_01!J152</f>
        <v>129.766637</v>
      </c>
      <c r="L79" s="222">
        <f>Dat_01!K152</f>
        <v>178.9639675</v>
      </c>
      <c r="M79" s="222">
        <f>Dat_01!L152</f>
        <v>173.89508950000001</v>
      </c>
      <c r="N79" s="222">
        <f>Dat_01!M152</f>
        <v>156.50662750000001</v>
      </c>
      <c r="O79" s="222">
        <f>Dat_01!N152</f>
        <v>178.09399999999999</v>
      </c>
    </row>
    <row r="80" spans="2:16">
      <c r="B80" s="221" t="s">
        <v>137</v>
      </c>
      <c r="C80" s="222">
        <f>Dat_01!B153</f>
        <v>60.149876499999998</v>
      </c>
      <c r="D80" s="222">
        <f>Dat_01!C153</f>
        <v>65.337529000000004</v>
      </c>
      <c r="E80" s="222">
        <f>Dat_01!D153</f>
        <v>55.184336000000002</v>
      </c>
      <c r="F80" s="222">
        <f>Dat_01!E153</f>
        <v>55.978365500000002</v>
      </c>
      <c r="G80" s="222">
        <f>Dat_01!F153</f>
        <v>51.389567499999998</v>
      </c>
      <c r="H80" s="222">
        <f>Dat_01!G153</f>
        <v>29.749654499999998</v>
      </c>
      <c r="I80" s="222">
        <f>Dat_01!H153</f>
        <v>30.791229000000001</v>
      </c>
      <c r="J80" s="222">
        <f>Dat_01!I153</f>
        <v>27.458276000000001</v>
      </c>
      <c r="K80" s="222">
        <f>Dat_01!J153</f>
        <v>31.820180000000001</v>
      </c>
      <c r="L80" s="222">
        <f>Dat_01!K153</f>
        <v>66.037119500000003</v>
      </c>
      <c r="M80" s="222">
        <f>Dat_01!L153</f>
        <v>58.507686499999998</v>
      </c>
      <c r="N80" s="222">
        <f>Dat_01!M153</f>
        <v>64.967821499999999</v>
      </c>
      <c r="O80" s="222">
        <f>Dat_01!N153</f>
        <v>67.192899999999995</v>
      </c>
    </row>
    <row r="81" spans="2:15">
      <c r="B81" s="221" t="s">
        <v>138</v>
      </c>
      <c r="C81" s="222">
        <f>Dat_01!B150</f>
        <v>308.17036200000001</v>
      </c>
      <c r="D81" s="222">
        <f>Dat_01!C150</f>
        <v>299.96974799999998</v>
      </c>
      <c r="E81" s="222">
        <f>Dat_01!D150</f>
        <v>334.00257699999997</v>
      </c>
      <c r="F81" s="222">
        <f>Dat_01!E150</f>
        <v>344.27402000000001</v>
      </c>
      <c r="G81" s="222">
        <f>Dat_01!F150</f>
        <v>345.27097199999997</v>
      </c>
      <c r="H81" s="222">
        <f>Dat_01!G150</f>
        <v>336.454024</v>
      </c>
      <c r="I81" s="222">
        <f>Dat_01!H150</f>
        <v>385.38923699999998</v>
      </c>
      <c r="J81" s="222">
        <f>Dat_01!I150</f>
        <v>378.80650600000001</v>
      </c>
      <c r="K81" s="222">
        <f>Dat_01!J150</f>
        <v>348.45388100000002</v>
      </c>
      <c r="L81" s="222">
        <f>Dat_01!K150</f>
        <v>367.45549899999997</v>
      </c>
      <c r="M81" s="222">
        <f>Dat_01!L150</f>
        <v>394.85902099999998</v>
      </c>
      <c r="N81" s="222">
        <f>Dat_01!M150</f>
        <v>413.99197600000002</v>
      </c>
      <c r="O81" s="222">
        <f>Dat_01!N150</f>
        <v>406.75990000000002</v>
      </c>
    </row>
    <row r="82" spans="2:15">
      <c r="B82" s="221" t="s">
        <v>139</v>
      </c>
      <c r="C82" s="222">
        <f>Dat_01!B154</f>
        <v>21556.189304470005</v>
      </c>
      <c r="D82" s="222">
        <f>Dat_01!C154</f>
        <v>21281.078610050001</v>
      </c>
      <c r="E82" s="222">
        <f>Dat_01!D154</f>
        <v>21628.289005981998</v>
      </c>
      <c r="F82" s="222">
        <f>Dat_01!E154</f>
        <v>19309.408760851995</v>
      </c>
      <c r="G82" s="222">
        <f>Dat_01!F154</f>
        <v>20023.431263333994</v>
      </c>
      <c r="H82" s="222">
        <f>Dat_01!G154</f>
        <v>16685.116102575998</v>
      </c>
      <c r="I82" s="222">
        <f>Dat_01!H154</f>
        <v>17122.893467811999</v>
      </c>
      <c r="J82" s="222">
        <f>Dat_01!I154</f>
        <v>18391.536358046003</v>
      </c>
      <c r="K82" s="222">
        <f>Dat_01!J154</f>
        <v>22863.453982241997</v>
      </c>
      <c r="L82" s="222">
        <f>Dat_01!K154</f>
        <v>21403.100989644001</v>
      </c>
      <c r="M82" s="222">
        <f>Dat_01!L154</f>
        <v>20323.939667720006</v>
      </c>
      <c r="N82" s="222">
        <f>Dat_01!M154</f>
        <v>19944.399084091998</v>
      </c>
      <c r="O82" s="222">
        <f>Dat_01!N154</f>
        <v>19022.011600000002</v>
      </c>
    </row>
    <row r="83" spans="2:15">
      <c r="B83" s="221" t="s">
        <v>140</v>
      </c>
      <c r="C83" s="222"/>
      <c r="D83" s="222"/>
      <c r="E83" s="222"/>
      <c r="F83" s="222"/>
      <c r="G83" s="222"/>
      <c r="H83" s="222"/>
      <c r="I83" s="222"/>
      <c r="J83" s="222"/>
      <c r="K83" s="222"/>
      <c r="L83" s="222"/>
      <c r="M83" s="222"/>
      <c r="N83" s="222"/>
      <c r="O83" s="222"/>
    </row>
    <row r="84" spans="2:15">
      <c r="B84" s="221" t="s">
        <v>141</v>
      </c>
      <c r="C84" s="222"/>
      <c r="D84" s="222"/>
      <c r="E84" s="222"/>
      <c r="F84" s="222"/>
      <c r="G84" s="222"/>
      <c r="H84" s="222"/>
      <c r="I84" s="222"/>
      <c r="J84" s="222"/>
      <c r="K84" s="222"/>
      <c r="L84" s="222"/>
      <c r="M84" s="222"/>
      <c r="N84" s="222"/>
      <c r="O84" s="222"/>
    </row>
    <row r="85" spans="2:15">
      <c r="B85" s="221" t="s">
        <v>142</v>
      </c>
      <c r="C85" s="222"/>
      <c r="D85" s="222"/>
      <c r="E85" s="222"/>
      <c r="F85" s="222"/>
      <c r="G85" s="222"/>
      <c r="H85" s="222"/>
      <c r="I85" s="222"/>
      <c r="J85" s="222"/>
      <c r="K85" s="222"/>
      <c r="L85" s="222"/>
      <c r="M85" s="222"/>
      <c r="N85" s="222"/>
      <c r="O85" s="222"/>
    </row>
    <row r="86" spans="2:15">
      <c r="B86" s="223" t="s">
        <v>143</v>
      </c>
      <c r="C86" s="224"/>
      <c r="D86" s="224"/>
      <c r="E86" s="224"/>
      <c r="F86" s="224"/>
      <c r="G86" s="224"/>
      <c r="H86" s="224"/>
      <c r="I86" s="224"/>
      <c r="J86" s="224"/>
      <c r="K86" s="224"/>
      <c r="L86" s="224"/>
      <c r="M86" s="224"/>
      <c r="N86" s="224"/>
      <c r="O86" s="224"/>
    </row>
    <row r="88" spans="2:15">
      <c r="B88" s="225" t="s">
        <v>17</v>
      </c>
      <c r="C88" s="226">
        <f t="shared" ref="C88:O88" si="4">SUM(C69,C75:C77,C80:C81)</f>
        <v>10935.4010848</v>
      </c>
      <c r="D88" s="226">
        <f t="shared" si="4"/>
        <v>10976.269026775999</v>
      </c>
      <c r="E88" s="226">
        <f t="shared" si="4"/>
        <v>9369.8448039299983</v>
      </c>
      <c r="F88" s="226">
        <f t="shared" si="4"/>
        <v>8587.7747909379996</v>
      </c>
      <c r="G88" s="226">
        <f t="shared" si="4"/>
        <v>10284.745506946003</v>
      </c>
      <c r="H88" s="226">
        <f t="shared" si="4"/>
        <v>8187.8012530260012</v>
      </c>
      <c r="I88" s="226">
        <f t="shared" si="4"/>
        <v>9313.6885126260004</v>
      </c>
      <c r="J88" s="226">
        <f t="shared" si="4"/>
        <v>8378.211845150001</v>
      </c>
      <c r="K88" s="226">
        <f t="shared" si="4"/>
        <v>8974.6397302080004</v>
      </c>
      <c r="L88" s="226">
        <f t="shared" si="4"/>
        <v>8334.8266839440003</v>
      </c>
      <c r="M88" s="226">
        <f t="shared" si="4"/>
        <v>7863.2079398720007</v>
      </c>
      <c r="N88" s="226">
        <f t="shared" si="4"/>
        <v>9651.5146489620001</v>
      </c>
      <c r="O88" s="226">
        <f t="shared" si="4"/>
        <v>8018.3751999999995</v>
      </c>
    </row>
    <row r="89" spans="2:15">
      <c r="B89" s="223" t="s">
        <v>16</v>
      </c>
      <c r="C89" s="224">
        <f t="shared" ref="C89:O89" si="5">SUM(C70:C74,C78:C79)</f>
        <v>10620.788219670001</v>
      </c>
      <c r="D89" s="224">
        <f t="shared" si="5"/>
        <v>10304.809583273998</v>
      </c>
      <c r="E89" s="224">
        <f t="shared" si="5"/>
        <v>12258.444202052002</v>
      </c>
      <c r="F89" s="224">
        <f t="shared" si="5"/>
        <v>10721.633969914001</v>
      </c>
      <c r="G89" s="224">
        <f t="shared" si="5"/>
        <v>9738.6857563880003</v>
      </c>
      <c r="H89" s="224">
        <f t="shared" si="5"/>
        <v>8497.3148495500009</v>
      </c>
      <c r="I89" s="224">
        <f t="shared" si="5"/>
        <v>7809.2049551859991</v>
      </c>
      <c r="J89" s="224">
        <f t="shared" si="5"/>
        <v>10013.324512895999</v>
      </c>
      <c r="K89" s="224">
        <f t="shared" si="5"/>
        <v>13888.814252034001</v>
      </c>
      <c r="L89" s="224">
        <f t="shared" si="5"/>
        <v>13068.274305700001</v>
      </c>
      <c r="M89" s="224">
        <f t="shared" si="5"/>
        <v>12460.731727848002</v>
      </c>
      <c r="N89" s="224">
        <f t="shared" si="5"/>
        <v>10292.884435130001</v>
      </c>
      <c r="O89" s="224">
        <f t="shared" si="5"/>
        <v>11003.636399999999</v>
      </c>
    </row>
    <row r="91" spans="2:15">
      <c r="B91" s="225" t="s">
        <v>17</v>
      </c>
      <c r="C91" s="227">
        <f>SUM(C69/SUM(C88:C89)*100,C75/SUM(C88:C89)*100,C76/SUM(C88:C89)*100,C77/SUM(C88:C89)*100,C80/SUM(C88:C89)*100,C81/SUM(C88:C89)*100)</f>
        <v>50.729750654640888</v>
      </c>
      <c r="D91" s="227">
        <f t="shared" ref="D91:O91" si="6">SUM(D69/SUM(D88:D89)*100,D75/SUM(D88:D89)*100,D76/SUM(D88:D89)*100,D77/SUM(D88:D89)*100,D80/SUM(D88:D89)*100,D81/SUM(D88:D89)*100)</f>
        <v>51.577597300883291</v>
      </c>
      <c r="E91" s="227">
        <f t="shared" si="6"/>
        <v>43.322173110126599</v>
      </c>
      <c r="F91" s="227">
        <f t="shared" si="6"/>
        <v>44.474561066566174</v>
      </c>
      <c r="G91" s="227">
        <f t="shared" si="6"/>
        <v>51.363551889225704</v>
      </c>
      <c r="H91" s="227">
        <f t="shared" si="6"/>
        <v>49.072485937103508</v>
      </c>
      <c r="I91" s="227">
        <f t="shared" si="6"/>
        <v>54.393193125531511</v>
      </c>
      <c r="J91" s="227">
        <f t="shared" si="6"/>
        <v>45.554714310121604</v>
      </c>
      <c r="K91" s="227">
        <f t="shared" si="6"/>
        <v>39.25321054805886</v>
      </c>
      <c r="L91" s="227">
        <f t="shared" si="6"/>
        <v>38.942145289959846</v>
      </c>
      <c r="M91" s="227">
        <f t="shared" si="6"/>
        <v>38.689388319533997</v>
      </c>
      <c r="N91" s="227">
        <f t="shared" si="6"/>
        <v>48.392105514275514</v>
      </c>
      <c r="O91" s="227">
        <f t="shared" si="6"/>
        <v>42.153140102175108</v>
      </c>
    </row>
    <row r="92" spans="2:15">
      <c r="B92" s="223" t="s">
        <v>16</v>
      </c>
      <c r="C92" s="315">
        <f t="shared" ref="C92" si="7">100-C91</f>
        <v>49.270249345359112</v>
      </c>
      <c r="D92" s="315">
        <f t="shared" ref="D92:O92" si="8">100-D91</f>
        <v>48.422402699116709</v>
      </c>
      <c r="E92" s="315">
        <f t="shared" si="8"/>
        <v>56.677826889873401</v>
      </c>
      <c r="F92" s="315">
        <f t="shared" si="8"/>
        <v>55.525438933433826</v>
      </c>
      <c r="G92" s="315">
        <f t="shared" si="8"/>
        <v>48.636448110774296</v>
      </c>
      <c r="H92" s="315">
        <f t="shared" si="8"/>
        <v>50.927514062896492</v>
      </c>
      <c r="I92" s="315">
        <f t="shared" si="8"/>
        <v>45.606806874468489</v>
      </c>
      <c r="J92" s="315">
        <f t="shared" si="8"/>
        <v>54.445285689878396</v>
      </c>
      <c r="K92" s="315">
        <f t="shared" si="8"/>
        <v>60.74678945194114</v>
      </c>
      <c r="L92" s="315">
        <f t="shared" si="8"/>
        <v>61.057854710040154</v>
      </c>
      <c r="M92" s="315">
        <f t="shared" si="8"/>
        <v>61.310611680466003</v>
      </c>
      <c r="N92" s="315">
        <f t="shared" si="8"/>
        <v>51.607894485724486</v>
      </c>
      <c r="O92" s="315">
        <f t="shared" si="8"/>
        <v>57.846859897824892</v>
      </c>
    </row>
    <row r="94" spans="2:15">
      <c r="B94" s="168" t="s">
        <v>84</v>
      </c>
    </row>
    <row r="95" spans="2:15">
      <c r="B95" s="168" t="s">
        <v>85</v>
      </c>
    </row>
    <row r="97" spans="2:16">
      <c r="B97" s="151" t="s">
        <v>144</v>
      </c>
      <c r="C97" s="220"/>
      <c r="D97" s="220"/>
      <c r="E97" s="220"/>
      <c r="F97" s="220"/>
      <c r="G97" s="220"/>
      <c r="H97" s="220"/>
      <c r="I97" s="220"/>
      <c r="J97" s="220"/>
      <c r="K97" s="220"/>
      <c r="L97" s="220"/>
      <c r="M97" s="220"/>
      <c r="N97" s="220"/>
      <c r="O97" s="220"/>
      <c r="P97" s="220"/>
    </row>
    <row r="98" spans="2:16">
      <c r="B98" s="218"/>
      <c r="C98" s="219" t="str">
        <f>Dat_01!B140</f>
        <v>N</v>
      </c>
      <c r="D98" s="219" t="str">
        <f>Dat_01!C140</f>
        <v>D</v>
      </c>
      <c r="E98" s="219" t="str">
        <f>Dat_01!D140</f>
        <v>E</v>
      </c>
      <c r="F98" s="219" t="str">
        <f>Dat_01!E140</f>
        <v>F</v>
      </c>
      <c r="G98" s="219" t="str">
        <f>Dat_01!F140</f>
        <v>M</v>
      </c>
      <c r="H98" s="219" t="str">
        <f>Dat_01!G140</f>
        <v>A</v>
      </c>
      <c r="I98" s="219" t="str">
        <f>Dat_01!H140</f>
        <v>M</v>
      </c>
      <c r="J98" s="219" t="str">
        <f>Dat_01!I140</f>
        <v>J</v>
      </c>
      <c r="K98" s="219" t="str">
        <f>Dat_01!J140</f>
        <v>J</v>
      </c>
      <c r="L98" s="219" t="str">
        <f>Dat_01!K140</f>
        <v>A</v>
      </c>
      <c r="M98" s="219" t="str">
        <f>Dat_01!L140</f>
        <v>S</v>
      </c>
      <c r="N98" s="219" t="str">
        <f>Dat_01!M140</f>
        <v>O</v>
      </c>
      <c r="O98" s="219" t="str">
        <f>Dat_01!N140</f>
        <v>N</v>
      </c>
      <c r="P98" s="220"/>
    </row>
    <row r="99" spans="2:16">
      <c r="B99" s="221" t="s">
        <v>2</v>
      </c>
      <c r="C99" s="222">
        <f>C69</f>
        <v>2663.0366552999999</v>
      </c>
      <c r="D99" s="222">
        <f t="shared" ref="D99:O99" si="9">D69</f>
        <v>4638.9097267759998</v>
      </c>
      <c r="E99" s="222">
        <f t="shared" si="9"/>
        <v>3728.0292889299999</v>
      </c>
      <c r="F99" s="222">
        <f t="shared" si="9"/>
        <v>2837.657916438</v>
      </c>
      <c r="G99" s="222">
        <f t="shared" si="9"/>
        <v>3112.6634564460001</v>
      </c>
      <c r="H99" s="222">
        <f t="shared" si="9"/>
        <v>2861.140589526</v>
      </c>
      <c r="I99" s="222">
        <f t="shared" si="9"/>
        <v>2858.8119126259999</v>
      </c>
      <c r="J99" s="222">
        <f t="shared" si="9"/>
        <v>2261.9890331500001</v>
      </c>
      <c r="K99" s="222">
        <f t="shared" si="9"/>
        <v>1836.794019208</v>
      </c>
      <c r="L99" s="222">
        <f t="shared" si="9"/>
        <v>1880.071061444</v>
      </c>
      <c r="M99" s="222">
        <f t="shared" si="9"/>
        <v>1674.6629713719999</v>
      </c>
      <c r="N99" s="222">
        <f t="shared" si="9"/>
        <v>1889.582088462</v>
      </c>
      <c r="O99" s="222">
        <f t="shared" si="9"/>
        <v>2481.4675999999999</v>
      </c>
    </row>
    <row r="100" spans="2:16">
      <c r="B100" s="221" t="s">
        <v>81</v>
      </c>
      <c r="C100" s="222">
        <f t="shared" ref="C100:O112" si="10">C70</f>
        <v>172.10635217000001</v>
      </c>
      <c r="D100" s="222">
        <f t="shared" si="10"/>
        <v>321.94269827400001</v>
      </c>
      <c r="E100" s="222">
        <f t="shared" si="10"/>
        <v>233.77888705199999</v>
      </c>
      <c r="F100" s="222">
        <f t="shared" si="10"/>
        <v>229.83714941400001</v>
      </c>
      <c r="G100" s="222">
        <f t="shared" si="10"/>
        <v>303.52379088800001</v>
      </c>
      <c r="H100" s="222">
        <f t="shared" si="10"/>
        <v>314.35098405000002</v>
      </c>
      <c r="I100" s="222">
        <f t="shared" si="10"/>
        <v>243.63992918599999</v>
      </c>
      <c r="J100" s="222">
        <f t="shared" si="10"/>
        <v>152.39581989600001</v>
      </c>
      <c r="K100" s="222">
        <f t="shared" si="10"/>
        <v>167.16093403400001</v>
      </c>
      <c r="L100" s="222">
        <f t="shared" si="10"/>
        <v>158.85512120000001</v>
      </c>
      <c r="M100" s="222">
        <f t="shared" si="10"/>
        <v>187.668031348</v>
      </c>
      <c r="N100" s="222">
        <f t="shared" si="10"/>
        <v>229.96712263000001</v>
      </c>
      <c r="O100" s="222">
        <f t="shared" si="10"/>
        <v>198.0479</v>
      </c>
    </row>
    <row r="101" spans="2:16">
      <c r="B101" s="221" t="s">
        <v>3</v>
      </c>
      <c r="C101" s="222">
        <f t="shared" si="10"/>
        <v>3427.5262950000001</v>
      </c>
      <c r="D101" s="222">
        <f t="shared" si="10"/>
        <v>4349.8902129999997</v>
      </c>
      <c r="E101" s="222">
        <f t="shared" si="10"/>
        <v>5289.1958240000004</v>
      </c>
      <c r="F101" s="222">
        <f t="shared" si="10"/>
        <v>4885.6830239999999</v>
      </c>
      <c r="G101" s="222">
        <f t="shared" si="10"/>
        <v>5174.9451150000004</v>
      </c>
      <c r="H101" s="222">
        <f t="shared" si="10"/>
        <v>4085.604789</v>
      </c>
      <c r="I101" s="222">
        <f t="shared" si="10"/>
        <v>3078.9784669999999</v>
      </c>
      <c r="J101" s="222">
        <f t="shared" si="10"/>
        <v>3621.3812859999998</v>
      </c>
      <c r="K101" s="222">
        <f t="shared" si="10"/>
        <v>5159.0193049999998</v>
      </c>
      <c r="L101" s="222">
        <f t="shared" si="10"/>
        <v>5151.9122530000004</v>
      </c>
      <c r="M101" s="222">
        <f t="shared" si="10"/>
        <v>4871.2094020000004</v>
      </c>
      <c r="N101" s="222">
        <f t="shared" si="10"/>
        <v>4528.3442359999999</v>
      </c>
      <c r="O101" s="222">
        <f t="shared" si="10"/>
        <v>4654.2524999999996</v>
      </c>
    </row>
    <row r="102" spans="2:16">
      <c r="B102" s="221" t="s">
        <v>4</v>
      </c>
      <c r="C102" s="222">
        <f t="shared" si="10"/>
        <v>548.13411599999995</v>
      </c>
      <c r="D102" s="222">
        <f t="shared" si="10"/>
        <v>374.11610899999999</v>
      </c>
      <c r="E102" s="222">
        <f t="shared" si="10"/>
        <v>869.06686000000002</v>
      </c>
      <c r="F102" s="222">
        <f t="shared" si="10"/>
        <v>822.66154500000005</v>
      </c>
      <c r="G102" s="222">
        <f t="shared" si="10"/>
        <v>476.52099399999997</v>
      </c>
      <c r="H102" s="222">
        <f t="shared" si="10"/>
        <v>306.83838200000002</v>
      </c>
      <c r="I102" s="222">
        <f t="shared" si="10"/>
        <v>244.57665399999999</v>
      </c>
      <c r="J102" s="222">
        <f t="shared" si="10"/>
        <v>362.74284999999998</v>
      </c>
      <c r="K102" s="222">
        <f t="shared" si="10"/>
        <v>303.34445399999998</v>
      </c>
      <c r="L102" s="222">
        <f t="shared" si="10"/>
        <v>338.34975300000002</v>
      </c>
      <c r="M102" s="222">
        <f t="shared" si="10"/>
        <v>282.63350100000002</v>
      </c>
      <c r="N102" s="222">
        <f t="shared" si="10"/>
        <v>235.10996900000001</v>
      </c>
      <c r="O102" s="222">
        <f t="shared" si="10"/>
        <v>340.17090000000002</v>
      </c>
    </row>
    <row r="103" spans="2:16">
      <c r="B103" s="221" t="s">
        <v>132</v>
      </c>
      <c r="C103" s="222">
        <f t="shared" si="10"/>
        <v>0</v>
      </c>
      <c r="D103" s="222">
        <f t="shared" si="10"/>
        <v>0</v>
      </c>
      <c r="E103" s="222">
        <f t="shared" si="10"/>
        <v>0</v>
      </c>
      <c r="F103" s="222">
        <f t="shared" si="10"/>
        <v>0</v>
      </c>
      <c r="G103" s="222">
        <f t="shared" si="10"/>
        <v>0</v>
      </c>
      <c r="H103" s="222">
        <f t="shared" si="10"/>
        <v>0</v>
      </c>
      <c r="I103" s="222">
        <f t="shared" si="10"/>
        <v>0</v>
      </c>
      <c r="J103" s="222">
        <f t="shared" si="10"/>
        <v>0</v>
      </c>
      <c r="K103" s="222">
        <f t="shared" si="10"/>
        <v>0</v>
      </c>
      <c r="L103" s="222">
        <f t="shared" si="10"/>
        <v>0</v>
      </c>
      <c r="M103" s="222">
        <f t="shared" si="10"/>
        <v>0</v>
      </c>
      <c r="N103" s="222">
        <f t="shared" si="10"/>
        <v>0</v>
      </c>
      <c r="O103" s="222">
        <f t="shared" si="10"/>
        <v>0</v>
      </c>
    </row>
    <row r="104" spans="2:16">
      <c r="B104" s="221" t="s">
        <v>133</v>
      </c>
      <c r="C104" s="222">
        <f t="shared" si="10"/>
        <v>3860.487071</v>
      </c>
      <c r="D104" s="222">
        <f t="shared" si="10"/>
        <v>2755.5232569999998</v>
      </c>
      <c r="E104" s="222">
        <f t="shared" si="10"/>
        <v>3272.2781909999999</v>
      </c>
      <c r="F104" s="222">
        <f t="shared" si="10"/>
        <v>2388.4234710000001</v>
      </c>
      <c r="G104" s="222">
        <f t="shared" si="10"/>
        <v>1386.2401649999999</v>
      </c>
      <c r="H104" s="222">
        <f t="shared" si="10"/>
        <v>1731.0447300000001</v>
      </c>
      <c r="I104" s="222">
        <f t="shared" si="10"/>
        <v>2018.170026</v>
      </c>
      <c r="J104" s="222">
        <f t="shared" si="10"/>
        <v>3556.6723459999998</v>
      </c>
      <c r="K104" s="222">
        <f t="shared" si="10"/>
        <v>5829.9045759999999</v>
      </c>
      <c r="L104" s="222">
        <f t="shared" si="10"/>
        <v>5051.1759540000003</v>
      </c>
      <c r="M104" s="222">
        <f t="shared" si="10"/>
        <v>4546.4520769999999</v>
      </c>
      <c r="N104" s="222">
        <f t="shared" si="10"/>
        <v>2791.4263310000001</v>
      </c>
      <c r="O104" s="222">
        <f t="shared" si="10"/>
        <v>3232.4526000000001</v>
      </c>
    </row>
    <row r="105" spans="2:16">
      <c r="B105" s="221" t="s">
        <v>5</v>
      </c>
      <c r="C105" s="222">
        <f t="shared" si="10"/>
        <v>7333.0039489999999</v>
      </c>
      <c r="D105" s="222">
        <f t="shared" si="10"/>
        <v>5408.226525</v>
      </c>
      <c r="E105" s="222">
        <f t="shared" si="10"/>
        <v>4566.2618409999995</v>
      </c>
      <c r="F105" s="222">
        <f t="shared" si="10"/>
        <v>4177.8229469999997</v>
      </c>
      <c r="G105" s="222">
        <f t="shared" si="10"/>
        <v>5503.3027240000001</v>
      </c>
      <c r="H105" s="222">
        <f t="shared" si="10"/>
        <v>3639.4121740000001</v>
      </c>
      <c r="I105" s="222">
        <f t="shared" si="10"/>
        <v>3893.3025899999998</v>
      </c>
      <c r="J105" s="222">
        <f t="shared" si="10"/>
        <v>3239.7574049999998</v>
      </c>
      <c r="K105" s="222">
        <f t="shared" si="10"/>
        <v>4098.9654170000003</v>
      </c>
      <c r="L105" s="222">
        <f t="shared" si="10"/>
        <v>3508.2136180000002</v>
      </c>
      <c r="M105" s="222">
        <f t="shared" si="10"/>
        <v>3861.739051</v>
      </c>
      <c r="N105" s="222">
        <f t="shared" si="10"/>
        <v>5668.7251050000004</v>
      </c>
      <c r="O105" s="222">
        <f t="shared" si="10"/>
        <v>4149.5803999999998</v>
      </c>
    </row>
    <row r="106" spans="2:16">
      <c r="B106" s="221" t="s">
        <v>134</v>
      </c>
      <c r="C106" s="222">
        <f t="shared" si="10"/>
        <v>501.06963000000002</v>
      </c>
      <c r="D106" s="222">
        <f t="shared" si="10"/>
        <v>494.84732300000002</v>
      </c>
      <c r="E106" s="222">
        <f t="shared" si="10"/>
        <v>600.39744800000005</v>
      </c>
      <c r="F106" s="222">
        <f t="shared" si="10"/>
        <v>944.08554600000002</v>
      </c>
      <c r="G106" s="222">
        <f t="shared" si="10"/>
        <v>1036.1513669999999</v>
      </c>
      <c r="H106" s="222">
        <f t="shared" si="10"/>
        <v>1114.1793740000001</v>
      </c>
      <c r="I106" s="222">
        <f t="shared" si="10"/>
        <v>1592.9087930000001</v>
      </c>
      <c r="J106" s="222">
        <f t="shared" si="10"/>
        <v>1758.5537770000001</v>
      </c>
      <c r="K106" s="222">
        <f t="shared" si="10"/>
        <v>1862.4341910000001</v>
      </c>
      <c r="L106" s="222">
        <f t="shared" si="10"/>
        <v>1768.5077249999999</v>
      </c>
      <c r="M106" s="222">
        <f t="shared" si="10"/>
        <v>1421.280176</v>
      </c>
      <c r="N106" s="222">
        <f t="shared" si="10"/>
        <v>1273.972949</v>
      </c>
      <c r="O106" s="222">
        <f t="shared" si="10"/>
        <v>789.42206363100001</v>
      </c>
    </row>
    <row r="107" spans="2:16">
      <c r="B107" s="221" t="s">
        <v>135</v>
      </c>
      <c r="C107" s="222">
        <f t="shared" si="10"/>
        <v>69.970612000000003</v>
      </c>
      <c r="D107" s="222">
        <f t="shared" si="10"/>
        <v>68.978174999999993</v>
      </c>
      <c r="E107" s="222">
        <f t="shared" si="10"/>
        <v>85.969313</v>
      </c>
      <c r="F107" s="222">
        <f t="shared" si="10"/>
        <v>227.955996</v>
      </c>
      <c r="G107" s="222">
        <f t="shared" si="10"/>
        <v>235.96742</v>
      </c>
      <c r="H107" s="222">
        <f t="shared" si="10"/>
        <v>206.86543699999999</v>
      </c>
      <c r="I107" s="222">
        <f t="shared" si="10"/>
        <v>552.48475099999996</v>
      </c>
      <c r="J107" s="222">
        <f t="shared" si="10"/>
        <v>711.64684799999998</v>
      </c>
      <c r="K107" s="222">
        <f t="shared" si="10"/>
        <v>796.17204200000003</v>
      </c>
      <c r="L107" s="222">
        <f t="shared" si="10"/>
        <v>744.54166099999998</v>
      </c>
      <c r="M107" s="222">
        <f t="shared" si="10"/>
        <v>452.15903400000002</v>
      </c>
      <c r="N107" s="222">
        <f t="shared" si="10"/>
        <v>340.27470899999997</v>
      </c>
      <c r="O107" s="222">
        <f t="shared" si="10"/>
        <v>123.95233636899999</v>
      </c>
    </row>
    <row r="108" spans="2:16">
      <c r="B108" s="221" t="s">
        <v>9</v>
      </c>
      <c r="C108" s="222">
        <f t="shared" si="10"/>
        <v>2467.9510030000001</v>
      </c>
      <c r="D108" s="222">
        <f t="shared" si="10"/>
        <v>2342.3448360000002</v>
      </c>
      <c r="E108" s="222">
        <f t="shared" si="10"/>
        <v>2436.1478390000002</v>
      </c>
      <c r="F108" s="222">
        <f t="shared" si="10"/>
        <v>2231.4833699999999</v>
      </c>
      <c r="G108" s="222">
        <f t="shared" si="10"/>
        <v>2231.357293</v>
      </c>
      <c r="H108" s="222">
        <f t="shared" si="10"/>
        <v>1925.2418520000001</v>
      </c>
      <c r="I108" s="222">
        <f t="shared" si="10"/>
        <v>2084.3367929999999</v>
      </c>
      <c r="J108" s="222">
        <f t="shared" si="10"/>
        <v>2185.8913440000001</v>
      </c>
      <c r="K108" s="222">
        <f t="shared" si="10"/>
        <v>2299.6183460000002</v>
      </c>
      <c r="L108" s="222">
        <f t="shared" si="10"/>
        <v>2189.017257</v>
      </c>
      <c r="M108" s="222">
        <f t="shared" si="10"/>
        <v>2398.8736269999999</v>
      </c>
      <c r="N108" s="222">
        <f t="shared" si="10"/>
        <v>2351.5301490000002</v>
      </c>
      <c r="O108" s="222">
        <f t="shared" si="10"/>
        <v>2400.6185</v>
      </c>
    </row>
    <row r="109" spans="2:16">
      <c r="B109" s="221" t="s">
        <v>136</v>
      </c>
      <c r="C109" s="222">
        <f t="shared" si="10"/>
        <v>144.5833825</v>
      </c>
      <c r="D109" s="222">
        <f t="shared" si="10"/>
        <v>160.99247</v>
      </c>
      <c r="E109" s="222">
        <f t="shared" si="10"/>
        <v>157.97660099999999</v>
      </c>
      <c r="F109" s="222">
        <f t="shared" si="10"/>
        <v>163.5454105</v>
      </c>
      <c r="G109" s="222">
        <f t="shared" si="10"/>
        <v>166.0983985</v>
      </c>
      <c r="H109" s="222">
        <f t="shared" si="10"/>
        <v>134.23411250000001</v>
      </c>
      <c r="I109" s="222">
        <f t="shared" si="10"/>
        <v>139.503086</v>
      </c>
      <c r="J109" s="222">
        <f t="shared" si="10"/>
        <v>134.24086700000001</v>
      </c>
      <c r="K109" s="222">
        <f t="shared" si="10"/>
        <v>129.766637</v>
      </c>
      <c r="L109" s="222">
        <f t="shared" si="10"/>
        <v>178.9639675</v>
      </c>
      <c r="M109" s="222">
        <f t="shared" si="10"/>
        <v>173.89508950000001</v>
      </c>
      <c r="N109" s="222">
        <f t="shared" si="10"/>
        <v>156.50662750000001</v>
      </c>
      <c r="O109" s="222">
        <f t="shared" si="10"/>
        <v>178.09399999999999</v>
      </c>
    </row>
    <row r="110" spans="2:16">
      <c r="B110" s="221" t="s">
        <v>137</v>
      </c>
      <c r="C110" s="222">
        <f t="shared" si="10"/>
        <v>60.149876499999998</v>
      </c>
      <c r="D110" s="222">
        <f t="shared" si="10"/>
        <v>65.337529000000004</v>
      </c>
      <c r="E110" s="222">
        <f t="shared" si="10"/>
        <v>55.184336000000002</v>
      </c>
      <c r="F110" s="222">
        <f t="shared" si="10"/>
        <v>55.978365500000002</v>
      </c>
      <c r="G110" s="222">
        <f t="shared" si="10"/>
        <v>51.389567499999998</v>
      </c>
      <c r="H110" s="222">
        <f t="shared" si="10"/>
        <v>29.749654499999998</v>
      </c>
      <c r="I110" s="222">
        <f t="shared" si="10"/>
        <v>30.791229000000001</v>
      </c>
      <c r="J110" s="222">
        <f t="shared" si="10"/>
        <v>27.458276000000001</v>
      </c>
      <c r="K110" s="222">
        <f t="shared" si="10"/>
        <v>31.820180000000001</v>
      </c>
      <c r="L110" s="222">
        <f t="shared" si="10"/>
        <v>66.037119500000003</v>
      </c>
      <c r="M110" s="222">
        <f t="shared" si="10"/>
        <v>58.507686499999998</v>
      </c>
      <c r="N110" s="222">
        <f t="shared" si="10"/>
        <v>64.967821499999999</v>
      </c>
      <c r="O110" s="222">
        <f t="shared" si="10"/>
        <v>67.192899999999995</v>
      </c>
    </row>
    <row r="111" spans="2:16">
      <c r="B111" s="221" t="s">
        <v>138</v>
      </c>
      <c r="C111" s="222">
        <f t="shared" si="10"/>
        <v>308.17036200000001</v>
      </c>
      <c r="D111" s="222">
        <f t="shared" si="10"/>
        <v>299.96974799999998</v>
      </c>
      <c r="E111" s="222">
        <f t="shared" si="10"/>
        <v>334.00257699999997</v>
      </c>
      <c r="F111" s="222">
        <f t="shared" si="10"/>
        <v>344.27402000000001</v>
      </c>
      <c r="G111" s="222">
        <f t="shared" si="10"/>
        <v>345.27097199999997</v>
      </c>
      <c r="H111" s="222">
        <f t="shared" si="10"/>
        <v>336.454024</v>
      </c>
      <c r="I111" s="222">
        <f t="shared" si="10"/>
        <v>385.38923699999998</v>
      </c>
      <c r="J111" s="222">
        <f t="shared" si="10"/>
        <v>378.80650600000001</v>
      </c>
      <c r="K111" s="222">
        <f t="shared" si="10"/>
        <v>348.45388100000002</v>
      </c>
      <c r="L111" s="222">
        <f t="shared" si="10"/>
        <v>367.45549899999997</v>
      </c>
      <c r="M111" s="222">
        <f t="shared" si="10"/>
        <v>394.85902099999998</v>
      </c>
      <c r="N111" s="222">
        <f t="shared" si="10"/>
        <v>413.99197600000002</v>
      </c>
      <c r="O111" s="222">
        <f t="shared" si="10"/>
        <v>406.75990000000002</v>
      </c>
    </row>
    <row r="112" spans="2:16">
      <c r="B112" s="221" t="s">
        <v>139</v>
      </c>
      <c r="C112" s="222">
        <f t="shared" si="10"/>
        <v>21556.189304470005</v>
      </c>
      <c r="D112" s="222">
        <f t="shared" si="10"/>
        <v>21281.078610050001</v>
      </c>
      <c r="E112" s="222">
        <f t="shared" si="10"/>
        <v>21628.289005981998</v>
      </c>
      <c r="F112" s="222">
        <f t="shared" si="10"/>
        <v>19309.408760851995</v>
      </c>
      <c r="G112" s="222">
        <f t="shared" si="10"/>
        <v>20023.431263333994</v>
      </c>
      <c r="H112" s="222">
        <f t="shared" si="10"/>
        <v>16685.116102575998</v>
      </c>
      <c r="I112" s="222">
        <f t="shared" si="10"/>
        <v>17122.893467811999</v>
      </c>
      <c r="J112" s="222">
        <f t="shared" si="10"/>
        <v>18391.536358046003</v>
      </c>
      <c r="K112" s="222">
        <f t="shared" si="10"/>
        <v>22863.453982241997</v>
      </c>
      <c r="L112" s="222">
        <f t="shared" si="10"/>
        <v>21403.100989644001</v>
      </c>
      <c r="M112" s="222">
        <f t="shared" si="10"/>
        <v>20323.939667720006</v>
      </c>
      <c r="N112" s="222">
        <f t="shared" si="10"/>
        <v>19944.399084091998</v>
      </c>
      <c r="O112" s="222">
        <f t="shared" si="10"/>
        <v>19022.011600000002</v>
      </c>
    </row>
    <row r="113" spans="2:18">
      <c r="B113" s="221" t="s">
        <v>140</v>
      </c>
      <c r="C113" s="222"/>
      <c r="D113" s="222"/>
      <c r="E113" s="222"/>
      <c r="F113" s="222"/>
      <c r="G113" s="222"/>
      <c r="H113" s="222"/>
      <c r="I113" s="222"/>
      <c r="J113" s="222"/>
      <c r="K113" s="222"/>
      <c r="L113" s="222"/>
      <c r="M113" s="222"/>
      <c r="N113" s="222"/>
      <c r="O113" s="222"/>
    </row>
    <row r="114" spans="2:18">
      <c r="B114" s="221" t="s">
        <v>141</v>
      </c>
      <c r="C114" s="222"/>
      <c r="D114" s="222"/>
      <c r="E114" s="222"/>
      <c r="F114" s="222"/>
      <c r="G114" s="222"/>
      <c r="H114" s="222"/>
      <c r="I114" s="222"/>
      <c r="J114" s="222"/>
      <c r="K114" s="222"/>
      <c r="L114" s="222"/>
      <c r="M114" s="222"/>
      <c r="N114" s="222"/>
      <c r="O114" s="222"/>
    </row>
    <row r="115" spans="2:18">
      <c r="B115" s="221" t="s">
        <v>142</v>
      </c>
      <c r="C115" s="222"/>
      <c r="D115" s="222"/>
      <c r="E115" s="222"/>
      <c r="F115" s="222"/>
      <c r="G115" s="222"/>
      <c r="H115" s="222"/>
      <c r="I115" s="222"/>
      <c r="J115" s="222"/>
      <c r="K115" s="222"/>
      <c r="L115" s="222"/>
      <c r="M115" s="222"/>
      <c r="N115" s="222"/>
      <c r="O115" s="222"/>
    </row>
    <row r="116" spans="2:18">
      <c r="B116" s="223" t="s">
        <v>143</v>
      </c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</row>
    <row r="118" spans="2:18">
      <c r="B118" s="225" t="s">
        <v>593</v>
      </c>
      <c r="C118" s="226">
        <f>SUM(C99:C101,C105:C107,C110:C111)</f>
        <v>14535.033731969999</v>
      </c>
      <c r="D118" s="226">
        <f t="shared" ref="D118:O118" si="11">SUM(D99:D101,D105:D107,D110:D111)</f>
        <v>15648.10193805</v>
      </c>
      <c r="E118" s="226">
        <f t="shared" si="11"/>
        <v>14892.819514981999</v>
      </c>
      <c r="F118" s="226">
        <f t="shared" si="11"/>
        <v>13703.294964352001</v>
      </c>
      <c r="G118" s="226">
        <f t="shared" si="11"/>
        <v>15763.214412834002</v>
      </c>
      <c r="H118" s="226">
        <f t="shared" si="11"/>
        <v>12587.757026075999</v>
      </c>
      <c r="I118" s="226">
        <f t="shared" si="11"/>
        <v>12636.306908811999</v>
      </c>
      <c r="J118" s="226">
        <f t="shared" si="11"/>
        <v>12151.988951046</v>
      </c>
      <c r="K118" s="226">
        <f t="shared" si="11"/>
        <v>14300.819969242</v>
      </c>
      <c r="L118" s="226">
        <f t="shared" si="11"/>
        <v>13645.594058143999</v>
      </c>
      <c r="M118" s="226">
        <f t="shared" si="11"/>
        <v>12922.085373220001</v>
      </c>
      <c r="N118" s="226">
        <f t="shared" si="11"/>
        <v>14409.826007591999</v>
      </c>
      <c r="O118" s="226">
        <f t="shared" si="11"/>
        <v>12870.675599999999</v>
      </c>
    </row>
    <row r="119" spans="2:18">
      <c r="B119" s="223" t="s">
        <v>594</v>
      </c>
      <c r="C119" s="224">
        <f>SUM(C102:C104,C108:C109)</f>
        <v>7021.1555724999998</v>
      </c>
      <c r="D119" s="224">
        <f t="shared" ref="D119:O119" si="12">SUM(D102:D104,D108:D109)</f>
        <v>5632.9766719999998</v>
      </c>
      <c r="E119" s="224">
        <f t="shared" si="12"/>
        <v>6735.4694910000007</v>
      </c>
      <c r="F119" s="224">
        <f t="shared" si="12"/>
        <v>5606.1137964999998</v>
      </c>
      <c r="G119" s="224">
        <f t="shared" si="12"/>
        <v>4260.2168505</v>
      </c>
      <c r="H119" s="224">
        <f t="shared" si="12"/>
        <v>4097.3590764999999</v>
      </c>
      <c r="I119" s="224">
        <f t="shared" si="12"/>
        <v>4486.5865590000003</v>
      </c>
      <c r="J119" s="224">
        <f t="shared" si="12"/>
        <v>6239.547407</v>
      </c>
      <c r="K119" s="224">
        <f t="shared" si="12"/>
        <v>8562.6340130000008</v>
      </c>
      <c r="L119" s="224">
        <f t="shared" si="12"/>
        <v>7757.5069315000001</v>
      </c>
      <c r="M119" s="224">
        <f t="shared" si="12"/>
        <v>7401.8542944999999</v>
      </c>
      <c r="N119" s="224">
        <f t="shared" si="12"/>
        <v>5534.5730764999998</v>
      </c>
      <c r="O119" s="224">
        <f t="shared" si="12"/>
        <v>6151.3360000000002</v>
      </c>
      <c r="R119" s="228"/>
    </row>
    <row r="121" spans="2:18">
      <c r="B121" s="225" t="s">
        <v>592</v>
      </c>
      <c r="C121" s="227">
        <f>SUM(C99/SUM(C118:C119)*100,C100/SUM(C118:C119)*100,C101/SUM(C118:C119)*100,C105/SUM(C118:C119)*100,C106/SUM(C118:C119)*100,C107/SUM(C118:C119)*100,C111/SUM(C118:C119)*100,C110/SUM(C118:C119)*100)</f>
        <v>67.428586410474438</v>
      </c>
      <c r="D121" s="227">
        <f t="shared" ref="D121:O121" si="13">SUM(D99/SUM(D118:D119)*100,D100/SUM(D118:D119)*100,D101/SUM(D118:D119)*100,D105/SUM(D118:D119)*100,D106/SUM(D118:D119)*100,D107/SUM(D118:D119)*100,D111/SUM(D118:D119)*100,D110/SUM(D118:D119)*100)</f>
        <v>73.530586605982336</v>
      </c>
      <c r="E121" s="227">
        <f t="shared" si="13"/>
        <v>68.858056737002698</v>
      </c>
      <c r="F121" s="227">
        <f t="shared" si="13"/>
        <v>70.9669318935033</v>
      </c>
      <c r="G121" s="227">
        <f t="shared" si="13"/>
        <v>78.723842110412335</v>
      </c>
      <c r="H121" s="227">
        <f t="shared" si="13"/>
        <v>75.443029276449508</v>
      </c>
      <c r="I121" s="227">
        <f t="shared" si="13"/>
        <v>73.797731280440487</v>
      </c>
      <c r="J121" s="227">
        <f t="shared" si="13"/>
        <v>66.073810879479353</v>
      </c>
      <c r="K121" s="227">
        <f t="shared" si="13"/>
        <v>62.548816903821347</v>
      </c>
      <c r="L121" s="227">
        <f t="shared" si="13"/>
        <v>63.755219698054454</v>
      </c>
      <c r="M121" s="227">
        <f t="shared" si="13"/>
        <v>63.580612737912325</v>
      </c>
      <c r="N121" s="227">
        <f t="shared" si="13"/>
        <v>72.24998831419056</v>
      </c>
      <c r="O121" s="227">
        <f t="shared" si="13"/>
        <v>67.662011098763088</v>
      </c>
    </row>
    <row r="122" spans="2:18">
      <c r="B122" s="223" t="s">
        <v>595</v>
      </c>
      <c r="C122" s="315">
        <f t="shared" ref="C122:O122" si="14">100-C121</f>
        <v>32.571413589525562</v>
      </c>
      <c r="D122" s="315">
        <f t="shared" si="14"/>
        <v>26.469413394017664</v>
      </c>
      <c r="E122" s="315">
        <f t="shared" si="14"/>
        <v>31.141943262997302</v>
      </c>
      <c r="F122" s="315">
        <f t="shared" si="14"/>
        <v>29.0330681064967</v>
      </c>
      <c r="G122" s="315">
        <f t="shared" si="14"/>
        <v>21.276157889587665</v>
      </c>
      <c r="H122" s="315">
        <f t="shared" si="14"/>
        <v>24.556970723550492</v>
      </c>
      <c r="I122" s="315">
        <f t="shared" si="14"/>
        <v>26.202268719559513</v>
      </c>
      <c r="J122" s="315">
        <f t="shared" si="14"/>
        <v>33.926189120520647</v>
      </c>
      <c r="K122" s="315">
        <f t="shared" si="14"/>
        <v>37.451183096178653</v>
      </c>
      <c r="L122" s="315">
        <f t="shared" si="14"/>
        <v>36.244780301945546</v>
      </c>
      <c r="M122" s="315">
        <f t="shared" si="14"/>
        <v>36.419387262087675</v>
      </c>
      <c r="N122" s="315">
        <f t="shared" si="14"/>
        <v>27.75001168580944</v>
      </c>
      <c r="O122" s="315">
        <f t="shared" si="14"/>
        <v>32.337988901236912</v>
      </c>
    </row>
    <row r="124" spans="2:18">
      <c r="B124" s="151" t="s">
        <v>145</v>
      </c>
      <c r="C124" s="229"/>
      <c r="D124" s="229"/>
      <c r="E124" s="229"/>
      <c r="F124" s="229"/>
      <c r="G124" s="229"/>
      <c r="H124" s="229"/>
      <c r="I124" s="229"/>
      <c r="J124" s="229"/>
      <c r="K124" s="229"/>
      <c r="L124" s="229"/>
      <c r="M124" s="229"/>
      <c r="N124" s="229"/>
      <c r="O124" s="229"/>
    </row>
    <row r="125" spans="2:18">
      <c r="B125" s="218"/>
      <c r="C125" s="219" t="str">
        <f>Dat_01!B140</f>
        <v>N</v>
      </c>
      <c r="D125" s="219" t="str">
        <f>Dat_01!C140</f>
        <v>D</v>
      </c>
      <c r="E125" s="219" t="str">
        <f>Dat_01!D140</f>
        <v>E</v>
      </c>
      <c r="F125" s="219" t="str">
        <f>Dat_01!E140</f>
        <v>F</v>
      </c>
      <c r="G125" s="219" t="str">
        <f>Dat_01!F140</f>
        <v>M</v>
      </c>
      <c r="H125" s="219" t="str">
        <f>Dat_01!G140</f>
        <v>A</v>
      </c>
      <c r="I125" s="219" t="str">
        <f>Dat_01!H140</f>
        <v>M</v>
      </c>
      <c r="J125" s="219" t="str">
        <f>Dat_01!I140</f>
        <v>J</v>
      </c>
      <c r="K125" s="219" t="str">
        <f>Dat_01!J140</f>
        <v>J</v>
      </c>
      <c r="L125" s="219" t="str">
        <f>Dat_01!K140</f>
        <v>A</v>
      </c>
      <c r="M125" s="219" t="str">
        <f>Dat_01!L140</f>
        <v>S</v>
      </c>
      <c r="N125" s="219" t="str">
        <f>Dat_01!M140</f>
        <v>O</v>
      </c>
      <c r="O125" s="219" t="str">
        <f>Dat_01!N140</f>
        <v>N</v>
      </c>
    </row>
    <row r="126" spans="2:18">
      <c r="B126" s="221" t="s">
        <v>2</v>
      </c>
      <c r="C126" s="222">
        <f>C69</f>
        <v>2663.0366552999999</v>
      </c>
      <c r="D126" s="222">
        <f t="shared" ref="D126:O126" si="15">D69</f>
        <v>4638.9097267759998</v>
      </c>
      <c r="E126" s="222">
        <f t="shared" si="15"/>
        <v>3728.0292889299999</v>
      </c>
      <c r="F126" s="222">
        <f t="shared" si="15"/>
        <v>2837.657916438</v>
      </c>
      <c r="G126" s="222">
        <f t="shared" si="15"/>
        <v>3112.6634564460001</v>
      </c>
      <c r="H126" s="222">
        <f t="shared" si="15"/>
        <v>2861.140589526</v>
      </c>
      <c r="I126" s="222">
        <f t="shared" si="15"/>
        <v>2858.8119126259999</v>
      </c>
      <c r="J126" s="222">
        <f t="shared" si="15"/>
        <v>2261.9890331500001</v>
      </c>
      <c r="K126" s="222">
        <f t="shared" si="15"/>
        <v>1836.794019208</v>
      </c>
      <c r="L126" s="222">
        <f t="shared" si="15"/>
        <v>1880.071061444</v>
      </c>
      <c r="M126" s="222">
        <f t="shared" si="15"/>
        <v>1674.6629713719999</v>
      </c>
      <c r="N126" s="222">
        <f t="shared" si="15"/>
        <v>1889.582088462</v>
      </c>
      <c r="O126" s="222">
        <f t="shared" si="15"/>
        <v>2481.4675999999999</v>
      </c>
      <c r="P126" s="230"/>
    </row>
    <row r="127" spans="2:18">
      <c r="B127" s="221" t="s">
        <v>81</v>
      </c>
      <c r="C127" s="222">
        <f t="shared" ref="C127:O139" si="16">C70</f>
        <v>172.10635217000001</v>
      </c>
      <c r="D127" s="222">
        <f t="shared" si="16"/>
        <v>321.94269827400001</v>
      </c>
      <c r="E127" s="222">
        <f t="shared" si="16"/>
        <v>233.77888705199999</v>
      </c>
      <c r="F127" s="222">
        <f t="shared" si="16"/>
        <v>229.83714941400001</v>
      </c>
      <c r="G127" s="222">
        <f t="shared" si="16"/>
        <v>303.52379088800001</v>
      </c>
      <c r="H127" s="222">
        <f t="shared" si="16"/>
        <v>314.35098405000002</v>
      </c>
      <c r="I127" s="222">
        <f t="shared" si="16"/>
        <v>243.63992918599999</v>
      </c>
      <c r="J127" s="222">
        <f t="shared" si="16"/>
        <v>152.39581989600001</v>
      </c>
      <c r="K127" s="222">
        <f t="shared" si="16"/>
        <v>167.16093403400001</v>
      </c>
      <c r="L127" s="222">
        <f t="shared" si="16"/>
        <v>158.85512120000001</v>
      </c>
      <c r="M127" s="222">
        <f t="shared" si="16"/>
        <v>187.668031348</v>
      </c>
      <c r="N127" s="222">
        <f t="shared" si="16"/>
        <v>229.96712263000001</v>
      </c>
      <c r="O127" s="222">
        <f t="shared" si="16"/>
        <v>198.0479</v>
      </c>
    </row>
    <row r="128" spans="2:18">
      <c r="B128" s="221" t="s">
        <v>3</v>
      </c>
      <c r="C128" s="222">
        <f t="shared" si="16"/>
        <v>3427.5262950000001</v>
      </c>
      <c r="D128" s="222">
        <f t="shared" si="16"/>
        <v>4349.8902129999997</v>
      </c>
      <c r="E128" s="222">
        <f t="shared" si="16"/>
        <v>5289.1958240000004</v>
      </c>
      <c r="F128" s="222">
        <f t="shared" si="16"/>
        <v>4885.6830239999999</v>
      </c>
      <c r="G128" s="222">
        <f t="shared" si="16"/>
        <v>5174.9451150000004</v>
      </c>
      <c r="H128" s="222">
        <f t="shared" si="16"/>
        <v>4085.604789</v>
      </c>
      <c r="I128" s="222">
        <f t="shared" si="16"/>
        <v>3078.9784669999999</v>
      </c>
      <c r="J128" s="222">
        <f t="shared" si="16"/>
        <v>3621.3812859999998</v>
      </c>
      <c r="K128" s="222">
        <f t="shared" si="16"/>
        <v>5159.0193049999998</v>
      </c>
      <c r="L128" s="222">
        <f t="shared" si="16"/>
        <v>5151.9122530000004</v>
      </c>
      <c r="M128" s="222">
        <f t="shared" si="16"/>
        <v>4871.2094020000004</v>
      </c>
      <c r="N128" s="222">
        <f t="shared" si="16"/>
        <v>4528.3442359999999</v>
      </c>
      <c r="O128" s="222">
        <f t="shared" si="16"/>
        <v>4654.2524999999996</v>
      </c>
    </row>
    <row r="129" spans="2:15">
      <c r="B129" s="221" t="s">
        <v>4</v>
      </c>
      <c r="C129" s="222">
        <f t="shared" si="16"/>
        <v>548.13411599999995</v>
      </c>
      <c r="D129" s="222">
        <f t="shared" si="16"/>
        <v>374.11610899999999</v>
      </c>
      <c r="E129" s="222">
        <f t="shared" si="16"/>
        <v>869.06686000000002</v>
      </c>
      <c r="F129" s="222">
        <f t="shared" si="16"/>
        <v>822.66154500000005</v>
      </c>
      <c r="G129" s="222">
        <f t="shared" si="16"/>
        <v>476.52099399999997</v>
      </c>
      <c r="H129" s="222">
        <f t="shared" si="16"/>
        <v>306.83838200000002</v>
      </c>
      <c r="I129" s="222">
        <f t="shared" si="16"/>
        <v>244.57665399999999</v>
      </c>
      <c r="J129" s="222">
        <f t="shared" si="16"/>
        <v>362.74284999999998</v>
      </c>
      <c r="K129" s="222">
        <f t="shared" si="16"/>
        <v>303.34445399999998</v>
      </c>
      <c r="L129" s="222">
        <f t="shared" si="16"/>
        <v>338.34975300000002</v>
      </c>
      <c r="M129" s="222">
        <f t="shared" si="16"/>
        <v>282.63350100000002</v>
      </c>
      <c r="N129" s="222">
        <f t="shared" si="16"/>
        <v>235.10996900000001</v>
      </c>
      <c r="O129" s="222">
        <f t="shared" si="16"/>
        <v>340.17090000000002</v>
      </c>
    </row>
    <row r="130" spans="2:15">
      <c r="B130" s="221" t="s">
        <v>132</v>
      </c>
      <c r="C130" s="222">
        <f t="shared" si="16"/>
        <v>0</v>
      </c>
      <c r="D130" s="222">
        <f t="shared" si="16"/>
        <v>0</v>
      </c>
      <c r="E130" s="222">
        <f t="shared" si="16"/>
        <v>0</v>
      </c>
      <c r="F130" s="222">
        <f t="shared" si="16"/>
        <v>0</v>
      </c>
      <c r="G130" s="222">
        <f t="shared" si="16"/>
        <v>0</v>
      </c>
      <c r="H130" s="222">
        <f t="shared" si="16"/>
        <v>0</v>
      </c>
      <c r="I130" s="222">
        <f t="shared" si="16"/>
        <v>0</v>
      </c>
      <c r="J130" s="222">
        <f t="shared" si="16"/>
        <v>0</v>
      </c>
      <c r="K130" s="222">
        <f t="shared" si="16"/>
        <v>0</v>
      </c>
      <c r="L130" s="222">
        <f t="shared" si="16"/>
        <v>0</v>
      </c>
      <c r="M130" s="222">
        <f t="shared" si="16"/>
        <v>0</v>
      </c>
      <c r="N130" s="222">
        <f t="shared" si="16"/>
        <v>0</v>
      </c>
      <c r="O130" s="222">
        <f t="shared" si="16"/>
        <v>0</v>
      </c>
    </row>
    <row r="131" spans="2:15">
      <c r="B131" s="221" t="s">
        <v>133</v>
      </c>
      <c r="C131" s="222">
        <f t="shared" si="16"/>
        <v>3860.487071</v>
      </c>
      <c r="D131" s="222">
        <f t="shared" si="16"/>
        <v>2755.5232569999998</v>
      </c>
      <c r="E131" s="222">
        <f t="shared" si="16"/>
        <v>3272.2781909999999</v>
      </c>
      <c r="F131" s="222">
        <f t="shared" si="16"/>
        <v>2388.4234710000001</v>
      </c>
      <c r="G131" s="222">
        <f t="shared" si="16"/>
        <v>1386.2401649999999</v>
      </c>
      <c r="H131" s="222">
        <f t="shared" si="16"/>
        <v>1731.0447300000001</v>
      </c>
      <c r="I131" s="222">
        <f t="shared" si="16"/>
        <v>2018.170026</v>
      </c>
      <c r="J131" s="222">
        <f t="shared" si="16"/>
        <v>3556.6723459999998</v>
      </c>
      <c r="K131" s="222">
        <f t="shared" si="16"/>
        <v>5829.9045759999999</v>
      </c>
      <c r="L131" s="222">
        <f t="shared" si="16"/>
        <v>5051.1759540000003</v>
      </c>
      <c r="M131" s="222">
        <f t="shared" si="16"/>
        <v>4546.4520769999999</v>
      </c>
      <c r="N131" s="222">
        <f t="shared" si="16"/>
        <v>2791.4263310000001</v>
      </c>
      <c r="O131" s="222">
        <f t="shared" si="16"/>
        <v>3232.4526000000001</v>
      </c>
    </row>
    <row r="132" spans="2:15">
      <c r="B132" s="221" t="s">
        <v>5</v>
      </c>
      <c r="C132" s="222">
        <f t="shared" si="16"/>
        <v>7333.0039489999999</v>
      </c>
      <c r="D132" s="222">
        <f t="shared" si="16"/>
        <v>5408.226525</v>
      </c>
      <c r="E132" s="222">
        <f t="shared" si="16"/>
        <v>4566.2618409999995</v>
      </c>
      <c r="F132" s="222">
        <f t="shared" si="16"/>
        <v>4177.8229469999997</v>
      </c>
      <c r="G132" s="222">
        <f t="shared" si="16"/>
        <v>5503.3027240000001</v>
      </c>
      <c r="H132" s="222">
        <f t="shared" si="16"/>
        <v>3639.4121740000001</v>
      </c>
      <c r="I132" s="222">
        <f t="shared" si="16"/>
        <v>3893.3025899999998</v>
      </c>
      <c r="J132" s="222">
        <f t="shared" si="16"/>
        <v>3239.7574049999998</v>
      </c>
      <c r="K132" s="222">
        <f t="shared" si="16"/>
        <v>4098.9654170000003</v>
      </c>
      <c r="L132" s="222">
        <f t="shared" si="16"/>
        <v>3508.2136180000002</v>
      </c>
      <c r="M132" s="222">
        <f t="shared" si="16"/>
        <v>3861.739051</v>
      </c>
      <c r="N132" s="222">
        <f t="shared" si="16"/>
        <v>5668.7251050000004</v>
      </c>
      <c r="O132" s="222">
        <f t="shared" si="16"/>
        <v>4149.5803999999998</v>
      </c>
    </row>
    <row r="133" spans="2:15">
      <c r="B133" s="221" t="s">
        <v>134</v>
      </c>
      <c r="C133" s="222">
        <f t="shared" si="16"/>
        <v>501.06963000000002</v>
      </c>
      <c r="D133" s="222">
        <f t="shared" si="16"/>
        <v>494.84732300000002</v>
      </c>
      <c r="E133" s="222">
        <f t="shared" si="16"/>
        <v>600.39744800000005</v>
      </c>
      <c r="F133" s="222">
        <f t="shared" si="16"/>
        <v>944.08554600000002</v>
      </c>
      <c r="G133" s="222">
        <f t="shared" si="16"/>
        <v>1036.1513669999999</v>
      </c>
      <c r="H133" s="222">
        <f t="shared" si="16"/>
        <v>1114.1793740000001</v>
      </c>
      <c r="I133" s="222">
        <f t="shared" si="16"/>
        <v>1592.9087930000001</v>
      </c>
      <c r="J133" s="222">
        <f t="shared" si="16"/>
        <v>1758.5537770000001</v>
      </c>
      <c r="K133" s="222">
        <f t="shared" si="16"/>
        <v>1862.4341910000001</v>
      </c>
      <c r="L133" s="222">
        <f t="shared" si="16"/>
        <v>1768.5077249999999</v>
      </c>
      <c r="M133" s="222">
        <f t="shared" si="16"/>
        <v>1421.280176</v>
      </c>
      <c r="N133" s="222">
        <f t="shared" si="16"/>
        <v>1273.972949</v>
      </c>
      <c r="O133" s="222">
        <f t="shared" si="16"/>
        <v>789.42206363100001</v>
      </c>
    </row>
    <row r="134" spans="2:15">
      <c r="B134" s="221" t="s">
        <v>135</v>
      </c>
      <c r="C134" s="222">
        <f t="shared" si="16"/>
        <v>69.970612000000003</v>
      </c>
      <c r="D134" s="222">
        <f t="shared" si="16"/>
        <v>68.978174999999993</v>
      </c>
      <c r="E134" s="222">
        <f t="shared" si="16"/>
        <v>85.969313</v>
      </c>
      <c r="F134" s="222">
        <f t="shared" si="16"/>
        <v>227.955996</v>
      </c>
      <c r="G134" s="222">
        <f t="shared" si="16"/>
        <v>235.96742</v>
      </c>
      <c r="H134" s="222">
        <f t="shared" si="16"/>
        <v>206.86543699999999</v>
      </c>
      <c r="I134" s="222">
        <f t="shared" si="16"/>
        <v>552.48475099999996</v>
      </c>
      <c r="J134" s="222">
        <f t="shared" si="16"/>
        <v>711.64684799999998</v>
      </c>
      <c r="K134" s="222">
        <f t="shared" si="16"/>
        <v>796.17204200000003</v>
      </c>
      <c r="L134" s="222">
        <f t="shared" si="16"/>
        <v>744.54166099999998</v>
      </c>
      <c r="M134" s="222">
        <f t="shared" si="16"/>
        <v>452.15903400000002</v>
      </c>
      <c r="N134" s="222">
        <f t="shared" si="16"/>
        <v>340.27470899999997</v>
      </c>
      <c r="O134" s="222">
        <f t="shared" si="16"/>
        <v>123.95233636899999</v>
      </c>
    </row>
    <row r="135" spans="2:15">
      <c r="B135" s="221" t="s">
        <v>9</v>
      </c>
      <c r="C135" s="222">
        <f t="shared" si="16"/>
        <v>2467.9510030000001</v>
      </c>
      <c r="D135" s="222">
        <f t="shared" si="16"/>
        <v>2342.3448360000002</v>
      </c>
      <c r="E135" s="222">
        <f t="shared" si="16"/>
        <v>2436.1478390000002</v>
      </c>
      <c r="F135" s="222">
        <f t="shared" si="16"/>
        <v>2231.4833699999999</v>
      </c>
      <c r="G135" s="222">
        <f t="shared" si="16"/>
        <v>2231.357293</v>
      </c>
      <c r="H135" s="222">
        <f t="shared" si="16"/>
        <v>1925.2418520000001</v>
      </c>
      <c r="I135" s="222">
        <f t="shared" si="16"/>
        <v>2084.3367929999999</v>
      </c>
      <c r="J135" s="222">
        <f t="shared" si="16"/>
        <v>2185.8913440000001</v>
      </c>
      <c r="K135" s="222">
        <f t="shared" si="16"/>
        <v>2299.6183460000002</v>
      </c>
      <c r="L135" s="222">
        <f t="shared" si="16"/>
        <v>2189.017257</v>
      </c>
      <c r="M135" s="222">
        <f t="shared" si="16"/>
        <v>2398.8736269999999</v>
      </c>
      <c r="N135" s="222">
        <f t="shared" si="16"/>
        <v>2351.5301490000002</v>
      </c>
      <c r="O135" s="222">
        <f t="shared" si="16"/>
        <v>2400.6185</v>
      </c>
    </row>
    <row r="136" spans="2:15">
      <c r="B136" s="221" t="s">
        <v>136</v>
      </c>
      <c r="C136" s="222">
        <f t="shared" si="16"/>
        <v>144.5833825</v>
      </c>
      <c r="D136" s="222">
        <f t="shared" si="16"/>
        <v>160.99247</v>
      </c>
      <c r="E136" s="222">
        <f t="shared" si="16"/>
        <v>157.97660099999999</v>
      </c>
      <c r="F136" s="222">
        <f t="shared" si="16"/>
        <v>163.5454105</v>
      </c>
      <c r="G136" s="222">
        <f t="shared" si="16"/>
        <v>166.0983985</v>
      </c>
      <c r="H136" s="222">
        <f t="shared" si="16"/>
        <v>134.23411250000001</v>
      </c>
      <c r="I136" s="222">
        <f t="shared" si="16"/>
        <v>139.503086</v>
      </c>
      <c r="J136" s="222">
        <f t="shared" si="16"/>
        <v>134.24086700000001</v>
      </c>
      <c r="K136" s="222">
        <f t="shared" si="16"/>
        <v>129.766637</v>
      </c>
      <c r="L136" s="222">
        <f t="shared" si="16"/>
        <v>178.9639675</v>
      </c>
      <c r="M136" s="222">
        <f t="shared" si="16"/>
        <v>173.89508950000001</v>
      </c>
      <c r="N136" s="222">
        <f t="shared" si="16"/>
        <v>156.50662750000001</v>
      </c>
      <c r="O136" s="222">
        <f t="shared" si="16"/>
        <v>178.09399999999999</v>
      </c>
    </row>
    <row r="137" spans="2:15">
      <c r="B137" s="221" t="s">
        <v>137</v>
      </c>
      <c r="C137" s="222">
        <f t="shared" si="16"/>
        <v>60.149876499999998</v>
      </c>
      <c r="D137" s="222">
        <f t="shared" si="16"/>
        <v>65.337529000000004</v>
      </c>
      <c r="E137" s="222">
        <f t="shared" si="16"/>
        <v>55.184336000000002</v>
      </c>
      <c r="F137" s="222">
        <f t="shared" si="16"/>
        <v>55.978365500000002</v>
      </c>
      <c r="G137" s="222">
        <f t="shared" si="16"/>
        <v>51.389567499999998</v>
      </c>
      <c r="H137" s="222">
        <f t="shared" si="16"/>
        <v>29.749654499999998</v>
      </c>
      <c r="I137" s="222">
        <f t="shared" si="16"/>
        <v>30.791229000000001</v>
      </c>
      <c r="J137" s="222">
        <f t="shared" si="16"/>
        <v>27.458276000000001</v>
      </c>
      <c r="K137" s="222">
        <f t="shared" si="16"/>
        <v>31.820180000000001</v>
      </c>
      <c r="L137" s="222">
        <f t="shared" si="16"/>
        <v>66.037119500000003</v>
      </c>
      <c r="M137" s="222">
        <f t="shared" si="16"/>
        <v>58.507686499999998</v>
      </c>
      <c r="N137" s="222">
        <f t="shared" si="16"/>
        <v>64.967821499999999</v>
      </c>
      <c r="O137" s="222">
        <f t="shared" si="16"/>
        <v>67.192899999999995</v>
      </c>
    </row>
    <row r="138" spans="2:15">
      <c r="B138" s="221" t="s">
        <v>138</v>
      </c>
      <c r="C138" s="222">
        <f t="shared" si="16"/>
        <v>308.17036200000001</v>
      </c>
      <c r="D138" s="222">
        <f t="shared" si="16"/>
        <v>299.96974799999998</v>
      </c>
      <c r="E138" s="222">
        <f t="shared" si="16"/>
        <v>334.00257699999997</v>
      </c>
      <c r="F138" s="222">
        <f t="shared" si="16"/>
        <v>344.27402000000001</v>
      </c>
      <c r="G138" s="222">
        <f t="shared" si="16"/>
        <v>345.27097199999997</v>
      </c>
      <c r="H138" s="222">
        <f t="shared" si="16"/>
        <v>336.454024</v>
      </c>
      <c r="I138" s="222">
        <f t="shared" si="16"/>
        <v>385.38923699999998</v>
      </c>
      <c r="J138" s="222">
        <f t="shared" si="16"/>
        <v>378.80650600000001</v>
      </c>
      <c r="K138" s="222">
        <f t="shared" si="16"/>
        <v>348.45388100000002</v>
      </c>
      <c r="L138" s="222">
        <f t="shared" si="16"/>
        <v>367.45549899999997</v>
      </c>
      <c r="M138" s="222">
        <f t="shared" si="16"/>
        <v>394.85902099999998</v>
      </c>
      <c r="N138" s="222">
        <f t="shared" si="16"/>
        <v>413.99197600000002</v>
      </c>
      <c r="O138" s="222">
        <f t="shared" si="16"/>
        <v>406.75990000000002</v>
      </c>
    </row>
    <row r="139" spans="2:15">
      <c r="B139" s="221" t="s">
        <v>139</v>
      </c>
      <c r="C139" s="222">
        <f t="shared" si="16"/>
        <v>21556.189304470005</v>
      </c>
      <c r="D139" s="222">
        <f t="shared" si="16"/>
        <v>21281.078610050001</v>
      </c>
      <c r="E139" s="222">
        <f t="shared" si="16"/>
        <v>21628.289005981998</v>
      </c>
      <c r="F139" s="222">
        <f t="shared" si="16"/>
        <v>19309.408760851995</v>
      </c>
      <c r="G139" s="222">
        <f t="shared" si="16"/>
        <v>20023.431263333994</v>
      </c>
      <c r="H139" s="222">
        <f t="shared" si="16"/>
        <v>16685.116102575998</v>
      </c>
      <c r="I139" s="222">
        <f t="shared" si="16"/>
        <v>17122.893467811999</v>
      </c>
      <c r="J139" s="222">
        <f t="shared" si="16"/>
        <v>18391.536358046003</v>
      </c>
      <c r="K139" s="222">
        <f t="shared" si="16"/>
        <v>22863.453982241997</v>
      </c>
      <c r="L139" s="222">
        <f t="shared" si="16"/>
        <v>21403.100989644001</v>
      </c>
      <c r="M139" s="222">
        <f t="shared" si="16"/>
        <v>20323.939667720006</v>
      </c>
      <c r="N139" s="222">
        <f t="shared" si="16"/>
        <v>19944.399084091998</v>
      </c>
      <c r="O139" s="222">
        <f t="shared" si="16"/>
        <v>19022.011600000002</v>
      </c>
    </row>
    <row r="140" spans="2:15">
      <c r="B140" s="221" t="s">
        <v>140</v>
      </c>
      <c r="C140" s="222"/>
      <c r="D140" s="222"/>
      <c r="E140" s="222"/>
      <c r="F140" s="222"/>
      <c r="G140" s="222"/>
      <c r="H140" s="222"/>
      <c r="I140" s="222"/>
      <c r="J140" s="222"/>
      <c r="K140" s="222"/>
      <c r="L140" s="222"/>
      <c r="M140" s="222"/>
      <c r="N140" s="222"/>
      <c r="O140" s="222"/>
    </row>
    <row r="141" spans="2:15">
      <c r="B141" s="221" t="s">
        <v>141</v>
      </c>
      <c r="C141" s="222"/>
      <c r="D141" s="222"/>
      <c r="E141" s="222"/>
      <c r="F141" s="222"/>
      <c r="G141" s="222"/>
      <c r="H141" s="222"/>
      <c r="I141" s="222"/>
      <c r="J141" s="222"/>
      <c r="K141" s="222"/>
      <c r="L141" s="222"/>
      <c r="M141" s="222"/>
      <c r="N141" s="222"/>
      <c r="O141" s="222"/>
    </row>
    <row r="142" spans="2:15">
      <c r="B142" s="221" t="s">
        <v>142</v>
      </c>
      <c r="C142" s="222"/>
      <c r="D142" s="222"/>
      <c r="E142" s="222"/>
      <c r="F142" s="222"/>
      <c r="G142" s="222"/>
      <c r="H142" s="222"/>
      <c r="I142" s="222"/>
      <c r="J142" s="222"/>
      <c r="K142" s="222"/>
      <c r="L142" s="222"/>
      <c r="M142" s="222"/>
      <c r="N142" s="222"/>
      <c r="O142" s="222"/>
    </row>
    <row r="143" spans="2:15">
      <c r="B143" s="223" t="s">
        <v>143</v>
      </c>
      <c r="C143" s="224"/>
      <c r="D143" s="224"/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4"/>
    </row>
    <row r="145" spans="2:15">
      <c r="B145" s="225" t="s">
        <v>17</v>
      </c>
      <c r="C145" s="226">
        <f>SUM(C126,C132:C134,C137:C138)</f>
        <v>10935.4010848</v>
      </c>
      <c r="D145" s="226">
        <f t="shared" ref="D145:N145" si="17">SUM(D126,D132:D134,D137:D138)</f>
        <v>10976.269026775999</v>
      </c>
      <c r="E145" s="226">
        <f t="shared" si="17"/>
        <v>9369.8448039299983</v>
      </c>
      <c r="F145" s="226">
        <f t="shared" si="17"/>
        <v>8587.7747909379996</v>
      </c>
      <c r="G145" s="226">
        <f t="shared" si="17"/>
        <v>10284.745506946003</v>
      </c>
      <c r="H145" s="226">
        <f t="shared" si="17"/>
        <v>8187.8012530260012</v>
      </c>
      <c r="I145" s="226">
        <f t="shared" si="17"/>
        <v>9313.6885126260004</v>
      </c>
      <c r="J145" s="226">
        <f t="shared" si="17"/>
        <v>8378.211845150001</v>
      </c>
      <c r="K145" s="226">
        <f t="shared" si="17"/>
        <v>8974.6397302080004</v>
      </c>
      <c r="L145" s="226">
        <f t="shared" si="17"/>
        <v>8334.8266839440003</v>
      </c>
      <c r="M145" s="226">
        <f t="shared" si="17"/>
        <v>7863.2079398720007</v>
      </c>
      <c r="N145" s="226">
        <f t="shared" si="17"/>
        <v>9651.5146489620001</v>
      </c>
      <c r="O145" s="226">
        <f>SUM(O126,O132:O134,O137:O138)</f>
        <v>8018.3751999999995</v>
      </c>
    </row>
    <row r="146" spans="2:15">
      <c r="B146" s="223" t="s">
        <v>16</v>
      </c>
      <c r="C146" s="224">
        <f>SUM(C127:C131,C135:C136)</f>
        <v>10620.788219670001</v>
      </c>
      <c r="D146" s="224">
        <f t="shared" ref="D146:O146" si="18">SUM(D127:D131,D135:D136)</f>
        <v>10304.809583273998</v>
      </c>
      <c r="E146" s="224">
        <f t="shared" si="18"/>
        <v>12258.444202052002</v>
      </c>
      <c r="F146" s="224">
        <f t="shared" si="18"/>
        <v>10721.633969914001</v>
      </c>
      <c r="G146" s="224">
        <f t="shared" si="18"/>
        <v>9738.6857563880003</v>
      </c>
      <c r="H146" s="224">
        <f t="shared" si="18"/>
        <v>8497.3148495500009</v>
      </c>
      <c r="I146" s="224">
        <f t="shared" si="18"/>
        <v>7809.2049551859991</v>
      </c>
      <c r="J146" s="224">
        <f t="shared" si="18"/>
        <v>10013.324512895999</v>
      </c>
      <c r="K146" s="224">
        <f t="shared" si="18"/>
        <v>13888.814252034001</v>
      </c>
      <c r="L146" s="224">
        <f t="shared" si="18"/>
        <v>13068.274305700001</v>
      </c>
      <c r="M146" s="224">
        <f t="shared" si="18"/>
        <v>12460.731727848002</v>
      </c>
      <c r="N146" s="224">
        <f t="shared" si="18"/>
        <v>10292.884435130001</v>
      </c>
      <c r="O146" s="224">
        <f t="shared" si="18"/>
        <v>11003.636399999999</v>
      </c>
    </row>
    <row r="148" spans="2:15">
      <c r="B148" s="225" t="s">
        <v>17</v>
      </c>
      <c r="C148" s="227">
        <f>SUM(C126/SUM(C145:C146)*100,C132/SUM(C145:C146)*100,C133/SUM(C145:C146)*100,C134/SUM(C145:C146)*100,C137/SUM(C145:C146)*100,C138/SUM(C145:C146)*100)</f>
        <v>50.729750654640888</v>
      </c>
      <c r="D148" s="227">
        <f t="shared" ref="D148:I148" si="19">SUM(D126/SUM(D145:D146)*100,D132/SUM(D145:D146)*100,D133/SUM(D145:D146)*100,D134/SUM(D145:D146)*100,D137/SUM(D145:D146)*100,D138/SUM(D145:D146)*100)</f>
        <v>51.577597300883291</v>
      </c>
      <c r="E148" s="227">
        <f t="shared" si="19"/>
        <v>43.322173110126599</v>
      </c>
      <c r="F148" s="227">
        <f t="shared" si="19"/>
        <v>44.474561066566174</v>
      </c>
      <c r="G148" s="227">
        <f t="shared" si="19"/>
        <v>51.363551889225704</v>
      </c>
      <c r="H148" s="227">
        <f t="shared" si="19"/>
        <v>49.072485937103508</v>
      </c>
      <c r="I148" s="227">
        <f t="shared" si="19"/>
        <v>54.393193125531511</v>
      </c>
      <c r="J148" s="227">
        <f>SUM(J126/SUM(J145:J146)*100,J132/SUM(J145:J146)*100,J133/SUM(J145:J146)*100,J134/SUM(J145:J146)*100,J137/SUM(J145:J146)*100,J138/SUM(J145:J146)*100)</f>
        <v>45.554714310121604</v>
      </c>
      <c r="K148" s="227">
        <f t="shared" ref="K148:O148" si="20">SUM(K126/SUM(K145:K146)*100,K132/SUM(K145:K146)*100,K133/SUM(K145:K146)*100,K134/SUM(K145:K146)*100,K137/SUM(K145:K146)*100,K138/SUM(K145:K146)*100)</f>
        <v>39.25321054805886</v>
      </c>
      <c r="L148" s="227">
        <f t="shared" si="20"/>
        <v>38.942145289959846</v>
      </c>
      <c r="M148" s="227">
        <f t="shared" si="20"/>
        <v>38.689388319533997</v>
      </c>
      <c r="N148" s="227">
        <f t="shared" si="20"/>
        <v>48.392105514275514</v>
      </c>
      <c r="O148" s="227">
        <f t="shared" si="20"/>
        <v>42.153140102175108</v>
      </c>
    </row>
    <row r="149" spans="2:15">
      <c r="B149" s="223" t="s">
        <v>16</v>
      </c>
      <c r="C149" s="315">
        <f t="shared" ref="C149" si="21">100-C148</f>
        <v>49.270249345359112</v>
      </c>
      <c r="D149" s="315">
        <f t="shared" ref="D149:J149" si="22">100-D148</f>
        <v>48.422402699116709</v>
      </c>
      <c r="E149" s="315">
        <f t="shared" si="22"/>
        <v>56.677826889873401</v>
      </c>
      <c r="F149" s="315">
        <f t="shared" si="22"/>
        <v>55.525438933433826</v>
      </c>
      <c r="G149" s="315">
        <f t="shared" si="22"/>
        <v>48.636448110774296</v>
      </c>
      <c r="H149" s="315">
        <f t="shared" si="22"/>
        <v>50.927514062896492</v>
      </c>
      <c r="I149" s="315">
        <f t="shared" si="22"/>
        <v>45.606806874468489</v>
      </c>
      <c r="J149" s="315">
        <f t="shared" si="22"/>
        <v>54.445285689878396</v>
      </c>
      <c r="K149" s="315">
        <f t="shared" ref="K149:O149" si="23">100-K148</f>
        <v>60.74678945194114</v>
      </c>
      <c r="L149" s="315">
        <f t="shared" si="23"/>
        <v>61.057854710040154</v>
      </c>
      <c r="M149" s="315">
        <f t="shared" si="23"/>
        <v>61.310611680466003</v>
      </c>
      <c r="N149" s="315">
        <f t="shared" si="23"/>
        <v>51.607894485724486</v>
      </c>
      <c r="O149" s="315">
        <f t="shared" si="23"/>
        <v>57.846859897824892</v>
      </c>
    </row>
    <row r="153" spans="2:15">
      <c r="B153" s="151" t="s">
        <v>24</v>
      </c>
    </row>
    <row r="154" spans="2:15">
      <c r="B154" s="225"/>
      <c r="C154" s="225"/>
      <c r="D154" s="333" t="s">
        <v>22</v>
      </c>
      <c r="E154" s="333" t="s">
        <v>23</v>
      </c>
    </row>
    <row r="155" spans="2:15">
      <c r="B155" s="223" t="s">
        <v>146</v>
      </c>
      <c r="C155" s="223" t="s">
        <v>147</v>
      </c>
      <c r="D155" s="334"/>
      <c r="E155" s="334"/>
    </row>
    <row r="156" spans="2:15">
      <c r="B156" s="231">
        <f>DATE(YEAR(Dat_01!B$2),MONTH(Dat_01!B$2),Dat_01!A180)</f>
        <v>44136</v>
      </c>
      <c r="C156" s="221">
        <f>Dat_01!A180</f>
        <v>1</v>
      </c>
      <c r="D156" s="232">
        <f>Dat_01!W180</f>
        <v>128.73320000000001</v>
      </c>
      <c r="E156" s="233">
        <f>Dat_01!V180</f>
        <v>24.206988393044174</v>
      </c>
    </row>
    <row r="157" spans="2:15">
      <c r="B157" s="231">
        <f>DATE(YEAR(Dat_01!B$2),MONTH(Dat_01!B$2),Dat_01!A181)</f>
        <v>44137</v>
      </c>
      <c r="C157" s="221">
        <f>Dat_01!A181</f>
        <v>2</v>
      </c>
      <c r="D157" s="232">
        <f>Dat_01!W181</f>
        <v>84.921899999999994</v>
      </c>
      <c r="E157" s="233">
        <f>Dat_01!V181</f>
        <v>15.123677642782168</v>
      </c>
    </row>
    <row r="158" spans="2:15">
      <c r="B158" s="231">
        <f>DATE(YEAR(Dat_01!B$2),MONTH(Dat_01!B$2),Dat_01!A182)</f>
        <v>44138</v>
      </c>
      <c r="C158" s="221">
        <f>Dat_01!A182</f>
        <v>3</v>
      </c>
      <c r="D158" s="232">
        <f>Dat_01!W182</f>
        <v>172.1371</v>
      </c>
      <c r="E158" s="233">
        <f>Dat_01!V182</f>
        <v>27.448483794135136</v>
      </c>
    </row>
    <row r="159" spans="2:15">
      <c r="B159" s="231">
        <f>DATE(YEAR(Dat_01!B$2),MONTH(Dat_01!B$2),Dat_01!A183)</f>
        <v>44139</v>
      </c>
      <c r="C159" s="221">
        <f>Dat_01!A183</f>
        <v>4</v>
      </c>
      <c r="D159" s="232">
        <f>Dat_01!W183</f>
        <v>214.43929999999997</v>
      </c>
      <c r="E159" s="233">
        <f>Dat_01!V183</f>
        <v>32.169647589391296</v>
      </c>
    </row>
    <row r="160" spans="2:15">
      <c r="B160" s="231">
        <f>DATE(YEAR(Dat_01!B$2),MONTH(Dat_01!B$2),Dat_01!A184)</f>
        <v>44140</v>
      </c>
      <c r="C160" s="221">
        <f>Dat_01!A184</f>
        <v>5</v>
      </c>
      <c r="D160" s="232">
        <f>Dat_01!W184</f>
        <v>306.63709999999998</v>
      </c>
      <c r="E160" s="233">
        <f>Dat_01!V184</f>
        <v>43.406290772522922</v>
      </c>
    </row>
    <row r="161" spans="2:5">
      <c r="B161" s="231">
        <f>DATE(YEAR(Dat_01!B$2),MONTH(Dat_01!B$2),Dat_01!A185)</f>
        <v>44141</v>
      </c>
      <c r="C161" s="221">
        <f>Dat_01!A185</f>
        <v>6</v>
      </c>
      <c r="D161" s="232">
        <f>Dat_01!W185</f>
        <v>329.87809999999996</v>
      </c>
      <c r="E161" s="233">
        <f>Dat_01!V185</f>
        <v>45.724224012286342</v>
      </c>
    </row>
    <row r="162" spans="2:5">
      <c r="B162" s="231">
        <f>DATE(YEAR(Dat_01!B$2),MONTH(Dat_01!B$2),Dat_01!A186)</f>
        <v>44142</v>
      </c>
      <c r="C162" s="221">
        <f>Dat_01!A186</f>
        <v>7</v>
      </c>
      <c r="D162" s="232">
        <f>Dat_01!W186</f>
        <v>226.16290000000001</v>
      </c>
      <c r="E162" s="233">
        <f>Dat_01!V186</f>
        <v>34.861209740605155</v>
      </c>
    </row>
    <row r="163" spans="2:5">
      <c r="B163" s="231">
        <f>DATE(YEAR(Dat_01!B$2),MONTH(Dat_01!B$2),Dat_01!A187)</f>
        <v>44143</v>
      </c>
      <c r="C163" s="221">
        <f>Dat_01!A187</f>
        <v>8</v>
      </c>
      <c r="D163" s="232">
        <f>Dat_01!W187</f>
        <v>157.23429999999999</v>
      </c>
      <c r="E163" s="233">
        <f>Dat_01!V187</f>
        <v>27.485011088621746</v>
      </c>
    </row>
    <row r="164" spans="2:5">
      <c r="B164" s="231">
        <f>DATE(YEAR(Dat_01!B$2),MONTH(Dat_01!B$2),Dat_01!A188)</f>
        <v>44144</v>
      </c>
      <c r="C164" s="221">
        <f>Dat_01!A188</f>
        <v>9</v>
      </c>
      <c r="D164" s="232">
        <f>Dat_01!W188</f>
        <v>67.509500000000003</v>
      </c>
      <c r="E164" s="233">
        <f>Dat_01!V188</f>
        <v>10.983667875893232</v>
      </c>
    </row>
    <row r="165" spans="2:5">
      <c r="B165" s="231">
        <f>DATE(YEAR(Dat_01!B$2),MONTH(Dat_01!B$2),Dat_01!A189)</f>
        <v>44145</v>
      </c>
      <c r="C165" s="221">
        <f>Dat_01!A189</f>
        <v>10</v>
      </c>
      <c r="D165" s="232">
        <f>Dat_01!W189</f>
        <v>38.072800000000001</v>
      </c>
      <c r="E165" s="233">
        <f>Dat_01!V189</f>
        <v>5.9271132333192913</v>
      </c>
    </row>
    <row r="166" spans="2:5">
      <c r="B166" s="231">
        <f>DATE(YEAR(Dat_01!B$2),MONTH(Dat_01!B$2),Dat_01!A190)</f>
        <v>44146</v>
      </c>
      <c r="C166" s="221">
        <f>Dat_01!A190</f>
        <v>11</v>
      </c>
      <c r="D166" s="232">
        <f>Dat_01!W190</f>
        <v>138.75779999999997</v>
      </c>
      <c r="E166" s="233">
        <f>Dat_01!V190</f>
        <v>21.964432757472789</v>
      </c>
    </row>
    <row r="167" spans="2:5">
      <c r="B167" s="231">
        <f>DATE(YEAR(Dat_01!B$2),MONTH(Dat_01!B$2),Dat_01!A191)</f>
        <v>44147</v>
      </c>
      <c r="C167" s="221">
        <f>Dat_01!A191</f>
        <v>12</v>
      </c>
      <c r="D167" s="232">
        <f>Dat_01!W191</f>
        <v>97.941500000000005</v>
      </c>
      <c r="E167" s="233">
        <f>Dat_01!V191</f>
        <v>15.626842336446794</v>
      </c>
    </row>
    <row r="168" spans="2:5">
      <c r="B168" s="231">
        <f>DATE(YEAR(Dat_01!B$2),MONTH(Dat_01!B$2),Dat_01!A192)</f>
        <v>44148</v>
      </c>
      <c r="C168" s="221">
        <f>Dat_01!A192</f>
        <v>13</v>
      </c>
      <c r="D168" s="232">
        <f>Dat_01!W192</f>
        <v>76.722399999999993</v>
      </c>
      <c r="E168" s="233">
        <f>Dat_01!V192</f>
        <v>12.831856260945496</v>
      </c>
    </row>
    <row r="169" spans="2:5">
      <c r="B169" s="231">
        <f>DATE(YEAR(Dat_01!B$2),MONTH(Dat_01!B$2),Dat_01!A193)</f>
        <v>44149</v>
      </c>
      <c r="C169" s="221">
        <f>Dat_01!A193</f>
        <v>14</v>
      </c>
      <c r="D169" s="232">
        <f>Dat_01!W193</f>
        <v>135.81909999999999</v>
      </c>
      <c r="E169" s="233">
        <f>Dat_01!V193</f>
        <v>24.694134876833051</v>
      </c>
    </row>
    <row r="170" spans="2:5">
      <c r="B170" s="231">
        <f>DATE(YEAR(Dat_01!B$2),MONTH(Dat_01!B$2),Dat_01!A194)</f>
        <v>44150</v>
      </c>
      <c r="C170" s="221">
        <f>Dat_01!A194</f>
        <v>15</v>
      </c>
      <c r="D170" s="232">
        <f>Dat_01!W194</f>
        <v>217.65539999999999</v>
      </c>
      <c r="E170" s="233">
        <f>Dat_01!V194</f>
        <v>36.81896126924066</v>
      </c>
    </row>
    <row r="171" spans="2:5">
      <c r="B171" s="231">
        <f>DATE(YEAR(Dat_01!B$2),MONTH(Dat_01!B$2),Dat_01!A195)</f>
        <v>44151</v>
      </c>
      <c r="C171" s="221">
        <f>Dat_01!A195</f>
        <v>16</v>
      </c>
      <c r="D171" s="232">
        <f>Dat_01!W195</f>
        <v>104.098</v>
      </c>
      <c r="E171" s="233">
        <f>Dat_01!V195</f>
        <v>16.691338039280073</v>
      </c>
    </row>
    <row r="172" spans="2:5">
      <c r="B172" s="231">
        <f>DATE(YEAR(Dat_01!B$2),MONTH(Dat_01!B$2),Dat_01!A196)</f>
        <v>44152</v>
      </c>
      <c r="C172" s="221">
        <f>Dat_01!A196</f>
        <v>17</v>
      </c>
      <c r="D172" s="232">
        <f>Dat_01!W196</f>
        <v>62.576500000000003</v>
      </c>
      <c r="E172" s="233">
        <f>Dat_01!V196</f>
        <v>10.536880555303448</v>
      </c>
    </row>
    <row r="173" spans="2:5">
      <c r="B173" s="231">
        <f>DATE(YEAR(Dat_01!B$2),MONTH(Dat_01!B$2),Dat_01!A197)</f>
        <v>44153</v>
      </c>
      <c r="C173" s="221">
        <f>Dat_01!A197</f>
        <v>18</v>
      </c>
      <c r="D173" s="232">
        <f>Dat_01!W197</f>
        <v>89.039699999999996</v>
      </c>
      <c r="E173" s="233">
        <f>Dat_01!V197</f>
        <v>14.49509714385065</v>
      </c>
    </row>
    <row r="174" spans="2:5">
      <c r="B174" s="231">
        <f>DATE(YEAR(Dat_01!B$2),MONTH(Dat_01!B$2),Dat_01!A198)</f>
        <v>44154</v>
      </c>
      <c r="C174" s="221">
        <f>Dat_01!A198</f>
        <v>19</v>
      </c>
      <c r="D174" s="232">
        <f>Dat_01!W198</f>
        <v>184.89920000000001</v>
      </c>
      <c r="E174" s="233">
        <f>Dat_01!V198</f>
        <v>27.475674486890679</v>
      </c>
    </row>
    <row r="175" spans="2:5">
      <c r="B175" s="231">
        <f>DATE(YEAR(Dat_01!B$2),MONTH(Dat_01!B$2),Dat_01!A199)</f>
        <v>44155</v>
      </c>
      <c r="C175" s="221">
        <f>Dat_01!A199</f>
        <v>20</v>
      </c>
      <c r="D175" s="232">
        <f>Dat_01!W199</f>
        <v>252.0625</v>
      </c>
      <c r="E175" s="233">
        <f>Dat_01!V199</f>
        <v>35.1641647707837</v>
      </c>
    </row>
    <row r="176" spans="2:5">
      <c r="B176" s="231">
        <f>DATE(YEAR(Dat_01!B$2),MONTH(Dat_01!B$2),Dat_01!A200)</f>
        <v>44156</v>
      </c>
      <c r="C176" s="221">
        <f>Dat_01!A200</f>
        <v>21</v>
      </c>
      <c r="D176" s="232">
        <f>Dat_01!W200</f>
        <v>119.71889999999999</v>
      </c>
      <c r="E176" s="233">
        <f>Dat_01!V200</f>
        <v>20.627685634077139</v>
      </c>
    </row>
    <row r="177" spans="2:27">
      <c r="B177" s="231">
        <f>DATE(YEAR(Dat_01!B$2),MONTH(Dat_01!B$2),Dat_01!A201)</f>
        <v>44157</v>
      </c>
      <c r="C177" s="221">
        <f>Dat_01!A201</f>
        <v>22</v>
      </c>
      <c r="D177" s="232">
        <f>Dat_01!W201</f>
        <v>59.758499999999998</v>
      </c>
      <c r="E177" s="233">
        <f>Dat_01!V201</f>
        <v>10.840337735063549</v>
      </c>
    </row>
    <row r="178" spans="2:27">
      <c r="B178" s="231">
        <f>DATE(YEAR(Dat_01!B$2),MONTH(Dat_01!B$2),Dat_01!A202)</f>
        <v>44158</v>
      </c>
      <c r="C178" s="221">
        <f>Dat_01!A202</f>
        <v>23</v>
      </c>
      <c r="D178" s="232">
        <f>Dat_01!W202</f>
        <v>50.143300000000004</v>
      </c>
      <c r="E178" s="233">
        <f>Dat_01!V202</f>
        <v>7.6076732004804013</v>
      </c>
    </row>
    <row r="179" spans="2:27">
      <c r="B179" s="231">
        <f>DATE(YEAR(Dat_01!B$2),MONTH(Dat_01!B$2),Dat_01!A203)</f>
        <v>44159</v>
      </c>
      <c r="C179" s="221">
        <f>Dat_01!A203</f>
        <v>24</v>
      </c>
      <c r="D179" s="232">
        <f>Dat_01!W203</f>
        <v>105.64569999999999</v>
      </c>
      <c r="E179" s="233">
        <f>Dat_01!V203</f>
        <v>15.206033953800274</v>
      </c>
    </row>
    <row r="180" spans="2:27">
      <c r="B180" s="231">
        <f>DATE(YEAR(Dat_01!B$2),MONTH(Dat_01!B$2),Dat_01!A204)</f>
        <v>44160</v>
      </c>
      <c r="C180" s="221">
        <f>Dat_01!A204</f>
        <v>25</v>
      </c>
      <c r="D180" s="232">
        <f>Dat_01!W204</f>
        <v>122.8772</v>
      </c>
      <c r="E180" s="233">
        <f>Dat_01!V204</f>
        <v>18.019922087871411</v>
      </c>
    </row>
    <row r="181" spans="2:27">
      <c r="B181" s="231">
        <f>DATE(YEAR(Dat_01!B$2),MONTH(Dat_01!B$2),Dat_01!A205)</f>
        <v>44161</v>
      </c>
      <c r="C181" s="221">
        <f>Dat_01!A205</f>
        <v>26</v>
      </c>
      <c r="D181" s="232">
        <f>Dat_01!W205</f>
        <v>223.2808</v>
      </c>
      <c r="E181" s="233">
        <f>Dat_01!V205</f>
        <v>30.054629288755869</v>
      </c>
    </row>
    <row r="182" spans="2:27">
      <c r="B182" s="231">
        <f>DATE(YEAR(Dat_01!B$2),MONTH(Dat_01!B$2),Dat_01!A206)</f>
        <v>44162</v>
      </c>
      <c r="C182" s="221">
        <f>Dat_01!A206</f>
        <v>27</v>
      </c>
      <c r="D182" s="232">
        <f>Dat_01!W206</f>
        <v>157.6765</v>
      </c>
      <c r="E182" s="233">
        <f>Dat_01!V206</f>
        <v>21.343648215082908</v>
      </c>
    </row>
    <row r="183" spans="2:27">
      <c r="B183" s="231">
        <f>DATE(YEAR(Dat_01!B$2),MONTH(Dat_01!B$2),Dat_01!A207)</f>
        <v>44163</v>
      </c>
      <c r="C183" s="221">
        <f>Dat_01!A207</f>
        <v>28</v>
      </c>
      <c r="D183" s="232">
        <f>Dat_01!W207</f>
        <v>76.442599999999999</v>
      </c>
      <c r="E183" s="233">
        <f>Dat_01!V207</f>
        <v>12.568217335296437</v>
      </c>
    </row>
    <row r="184" spans="2:27">
      <c r="B184" s="231">
        <f>DATE(YEAR(Dat_01!B$2),MONTH(Dat_01!B$2),Dat_01!A208)</f>
        <v>44164</v>
      </c>
      <c r="C184" s="221">
        <f>Dat_01!A208</f>
        <v>29</v>
      </c>
      <c r="D184" s="232">
        <f>Dat_01!W208</f>
        <v>59.502400000000002</v>
      </c>
      <c r="E184" s="233">
        <f>Dat_01!V208</f>
        <v>10.277471912974914</v>
      </c>
    </row>
    <row r="185" spans="2:27">
      <c r="B185" s="231">
        <f>DATE(YEAR(Dat_01!B$2),MONTH(Dat_01!B$2),Dat_01!A209)</f>
        <v>44165</v>
      </c>
      <c r="C185" s="221">
        <f>Dat_01!A209</f>
        <v>30</v>
      </c>
      <c r="D185" s="232">
        <f>Dat_01!W209</f>
        <v>89.236199999999997</v>
      </c>
      <c r="E185" s="233">
        <f>Dat_01!V209</f>
        <v>13.242267842356286</v>
      </c>
    </row>
    <row r="186" spans="2:27">
      <c r="B186" s="231">
        <f>DATE(YEAR(Dat_01!B$2),MONTH(Dat_01!B$2),Dat_01!A210)</f>
        <v>44135</v>
      </c>
      <c r="C186" s="221">
        <f>Dat_01!A210</f>
        <v>0</v>
      </c>
      <c r="D186" s="232" t="str">
        <f>Dat_01!W210</f>
        <v/>
      </c>
      <c r="E186" s="233" t="str">
        <f>Dat_01!V210</f>
        <v/>
      </c>
    </row>
    <row r="187" spans="2:27">
      <c r="B187" s="234"/>
      <c r="C187" s="221"/>
      <c r="D187" s="232"/>
      <c r="E187" s="232"/>
    </row>
    <row r="188" spans="2:27">
      <c r="B188" s="221"/>
      <c r="C188" s="221"/>
      <c r="D188" s="221"/>
      <c r="E188" s="221"/>
    </row>
    <row r="189" spans="2:27">
      <c r="B189" s="223" t="s">
        <v>148</v>
      </c>
      <c r="C189" s="223"/>
      <c r="D189" s="235">
        <f>MAX(D156:D186)</f>
        <v>329.87809999999996</v>
      </c>
      <c r="E189" s="236">
        <f>VLOOKUP(D189,D156:E186,2)</f>
        <v>13.242267842356286</v>
      </c>
    </row>
    <row r="191" spans="2:27">
      <c r="B191" s="151" t="s">
        <v>149</v>
      </c>
    </row>
    <row r="192" spans="2:27">
      <c r="B192" s="237"/>
      <c r="C192" s="238">
        <v>1</v>
      </c>
      <c r="D192" s="238">
        <v>2</v>
      </c>
      <c r="E192" s="238">
        <v>3</v>
      </c>
      <c r="F192" s="238">
        <v>4</v>
      </c>
      <c r="G192" s="238">
        <v>5</v>
      </c>
      <c r="H192" s="238">
        <v>6</v>
      </c>
      <c r="I192" s="238">
        <v>7</v>
      </c>
      <c r="J192" s="238">
        <v>8</v>
      </c>
      <c r="K192" s="238">
        <v>9</v>
      </c>
      <c r="L192" s="238">
        <v>10</v>
      </c>
      <c r="M192" s="238">
        <v>11</v>
      </c>
      <c r="N192" s="238">
        <v>12</v>
      </c>
      <c r="O192" s="238">
        <v>13</v>
      </c>
      <c r="P192" s="238">
        <v>14</v>
      </c>
      <c r="Q192" s="238">
        <v>15</v>
      </c>
      <c r="R192" s="238">
        <v>16</v>
      </c>
      <c r="S192" s="238">
        <v>17</v>
      </c>
      <c r="T192" s="238">
        <v>18</v>
      </c>
      <c r="U192" s="238">
        <v>19</v>
      </c>
      <c r="V192" s="238">
        <v>20</v>
      </c>
      <c r="W192" s="238">
        <v>21</v>
      </c>
      <c r="X192" s="238">
        <v>22</v>
      </c>
      <c r="Y192" s="238">
        <v>23</v>
      </c>
      <c r="Z192" s="238">
        <v>24</v>
      </c>
      <c r="AA192" s="239" t="s">
        <v>15</v>
      </c>
    </row>
    <row r="193" spans="2:27">
      <c r="B193" s="221" t="s">
        <v>5</v>
      </c>
      <c r="C193" s="222">
        <v>9.1643000000000008</v>
      </c>
      <c r="D193" s="222">
        <v>8.7952999999999992</v>
      </c>
      <c r="E193" s="222">
        <v>8.8308</v>
      </c>
      <c r="F193" s="222">
        <v>8.5412999999999997</v>
      </c>
      <c r="G193" s="222">
        <v>8.3774999999999995</v>
      </c>
      <c r="H193" s="222">
        <v>8.2622</v>
      </c>
      <c r="I193" s="222">
        <v>8.3582999999999998</v>
      </c>
      <c r="J193" s="222">
        <v>8.2825000000000006</v>
      </c>
      <c r="K193" s="222">
        <v>7.7236000000000002</v>
      </c>
      <c r="L193" s="222">
        <v>7.4927000000000001</v>
      </c>
      <c r="M193" s="222">
        <v>7.0507</v>
      </c>
      <c r="N193" s="222">
        <v>6.7298999999999998</v>
      </c>
      <c r="O193" s="222">
        <v>5.7401</v>
      </c>
      <c r="P193" s="222">
        <v>5.3799000000000001</v>
      </c>
      <c r="Q193" s="222">
        <v>4.9191000000000003</v>
      </c>
      <c r="R193" s="222">
        <v>5.3954000000000004</v>
      </c>
      <c r="S193" s="222">
        <v>5.3757000000000001</v>
      </c>
      <c r="T193" s="222">
        <v>5.6306000000000003</v>
      </c>
      <c r="U193" s="222">
        <v>5.8331</v>
      </c>
      <c r="V193" s="222">
        <v>6.3666999999999998</v>
      </c>
      <c r="W193" s="222">
        <v>6.7653999999999996</v>
      </c>
      <c r="X193" s="222">
        <v>6.9931999999999999</v>
      </c>
      <c r="Y193" s="222">
        <v>7.2034000000000002</v>
      </c>
      <c r="Z193" s="222">
        <v>7.3064</v>
      </c>
      <c r="AA193" s="222">
        <f t="shared" ref="AA193:AA194" si="24">SUM(C193:Z193)</f>
        <v>170.5181</v>
      </c>
    </row>
    <row r="194" spans="2:27">
      <c r="B194" s="221" t="s">
        <v>10</v>
      </c>
      <c r="C194" s="222">
        <v>25.1279</v>
      </c>
      <c r="D194" s="222">
        <v>24.4297</v>
      </c>
      <c r="E194" s="222">
        <v>23.810600000000001</v>
      </c>
      <c r="F194" s="222">
        <v>23.1861</v>
      </c>
      <c r="G194" s="222">
        <v>22.812899999999999</v>
      </c>
      <c r="H194" s="222">
        <v>22.671399999999998</v>
      </c>
      <c r="I194" s="222">
        <v>22.881699999999999</v>
      </c>
      <c r="J194" s="222">
        <v>22.9634</v>
      </c>
      <c r="K194" s="222">
        <v>23.478000000000002</v>
      </c>
      <c r="L194" s="222">
        <v>24.83</v>
      </c>
      <c r="M194" s="222">
        <v>25.264600000000002</v>
      </c>
      <c r="N194" s="222">
        <v>26.226400000000002</v>
      </c>
      <c r="O194" s="222">
        <v>26.419699999999999</v>
      </c>
      <c r="P194" s="222">
        <v>26.6785</v>
      </c>
      <c r="Q194" s="222">
        <v>26.776900000000001</v>
      </c>
      <c r="R194" s="222">
        <v>26.777999999999999</v>
      </c>
      <c r="S194" s="222">
        <v>26.0596</v>
      </c>
      <c r="T194" s="222">
        <v>25.779599999999999</v>
      </c>
      <c r="U194" s="222">
        <v>26.1708</v>
      </c>
      <c r="V194" s="222">
        <v>27.240100000000002</v>
      </c>
      <c r="W194" s="222">
        <v>27.512499999999999</v>
      </c>
      <c r="X194" s="222">
        <v>27.726400000000002</v>
      </c>
      <c r="Y194" s="222">
        <v>27.232600000000001</v>
      </c>
      <c r="Z194" s="222">
        <v>25.386600000000001</v>
      </c>
      <c r="AA194" s="222">
        <f t="shared" si="24"/>
        <v>607.44400000000019</v>
      </c>
    </row>
    <row r="195" spans="2:27">
      <c r="B195" s="221"/>
      <c r="C195" s="221"/>
      <c r="D195" s="221"/>
      <c r="E195" s="221"/>
      <c r="F195" s="221"/>
      <c r="G195" s="221"/>
      <c r="H195" s="221"/>
      <c r="I195" s="221"/>
      <c r="J195" s="221"/>
      <c r="K195" s="221"/>
      <c r="L195" s="221"/>
      <c r="M195" s="221"/>
      <c r="N195" s="221"/>
      <c r="O195" s="221"/>
      <c r="P195" s="221"/>
      <c r="Q195" s="221"/>
      <c r="R195" s="221"/>
      <c r="S195" s="221"/>
      <c r="T195" s="221"/>
      <c r="U195" s="221"/>
      <c r="V195" s="221"/>
      <c r="W195" s="221"/>
      <c r="X195" s="221"/>
      <c r="Y195" s="221"/>
      <c r="Z195" s="221"/>
      <c r="AA195" s="221"/>
    </row>
    <row r="196" spans="2:27">
      <c r="B196" s="221"/>
      <c r="C196" s="221"/>
      <c r="D196" s="221"/>
      <c r="E196" s="221"/>
      <c r="F196" s="221"/>
      <c r="G196" s="221"/>
      <c r="H196" s="221"/>
      <c r="I196" s="221"/>
      <c r="J196" s="221"/>
      <c r="K196" s="221"/>
      <c r="L196" s="221"/>
      <c r="M196" s="221"/>
      <c r="N196" s="221"/>
      <c r="O196" s="221"/>
      <c r="P196" s="221"/>
      <c r="Q196" s="221"/>
      <c r="R196" s="221"/>
      <c r="S196" s="221"/>
      <c r="T196" s="221"/>
      <c r="U196" s="221"/>
      <c r="V196" s="221"/>
      <c r="W196" s="221"/>
      <c r="X196" s="221"/>
      <c r="Y196" s="221"/>
      <c r="Z196" s="221"/>
      <c r="AA196" s="221"/>
    </row>
    <row r="197" spans="2:27">
      <c r="B197" s="223" t="s">
        <v>127</v>
      </c>
      <c r="C197" s="240">
        <f>C193/C194*100</f>
        <v>36.470616326871728</v>
      </c>
      <c r="D197" s="240">
        <f t="shared" ref="D197:AA197" si="25">D193/D194*100</f>
        <v>36.002488773910443</v>
      </c>
      <c r="E197" s="240">
        <f t="shared" si="25"/>
        <v>37.087683636699623</v>
      </c>
      <c r="F197" s="240">
        <f t="shared" si="25"/>
        <v>36.838019330547176</v>
      </c>
      <c r="G197" s="240">
        <f t="shared" si="25"/>
        <v>36.722643767342163</v>
      </c>
      <c r="H197" s="240">
        <f t="shared" si="25"/>
        <v>36.443272140229546</v>
      </c>
      <c r="I197" s="240">
        <f t="shared" si="25"/>
        <v>36.528317389005188</v>
      </c>
      <c r="J197" s="240">
        <f t="shared" si="25"/>
        <v>36.068265152372909</v>
      </c>
      <c r="K197" s="240">
        <f t="shared" si="25"/>
        <v>32.897180339040801</v>
      </c>
      <c r="L197" s="240">
        <f t="shared" si="25"/>
        <v>30.175996778091026</v>
      </c>
      <c r="M197" s="240">
        <f t="shared" si="25"/>
        <v>27.90742778433064</v>
      </c>
      <c r="N197" s="240">
        <f t="shared" si="25"/>
        <v>25.660784552969524</v>
      </c>
      <c r="O197" s="240">
        <f t="shared" si="25"/>
        <v>21.726590385204979</v>
      </c>
      <c r="P197" s="240">
        <f t="shared" si="25"/>
        <v>20.165676481061528</v>
      </c>
      <c r="Q197" s="240">
        <f t="shared" si="25"/>
        <v>18.370685180136611</v>
      </c>
      <c r="R197" s="240">
        <f t="shared" si="25"/>
        <v>20.148629471954592</v>
      </c>
      <c r="S197" s="240">
        <f t="shared" si="25"/>
        <v>20.62848240187877</v>
      </c>
      <c r="T197" s="240">
        <f t="shared" si="25"/>
        <v>21.841300873558943</v>
      </c>
      <c r="U197" s="240">
        <f t="shared" si="25"/>
        <v>22.288581166796583</v>
      </c>
      <c r="V197" s="240">
        <f t="shared" si="25"/>
        <v>23.372528000998528</v>
      </c>
      <c r="W197" s="240">
        <f t="shared" si="25"/>
        <v>24.590277146751475</v>
      </c>
      <c r="X197" s="240">
        <f t="shared" si="25"/>
        <v>25.222170927347221</v>
      </c>
      <c r="Y197" s="240">
        <f t="shared" si="25"/>
        <v>26.451385471824214</v>
      </c>
      <c r="Z197" s="240">
        <f t="shared" si="25"/>
        <v>28.780537764017232</v>
      </c>
      <c r="AA197" s="240">
        <f t="shared" si="25"/>
        <v>28.071410697940873</v>
      </c>
    </row>
  </sheetData>
  <mergeCells count="2">
    <mergeCell ref="D154:D155"/>
    <mergeCell ref="E154:E15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6"/>
  <dimension ref="A1:Z262"/>
  <sheetViews>
    <sheetView topLeftCell="J238" zoomScale="85" zoomScaleNormal="85" workbookViewId="0">
      <selection activeCell="Q263" sqref="Q263"/>
    </sheetView>
  </sheetViews>
  <sheetFormatPr baseColWidth="10" defaultRowHeight="12.75"/>
  <cols>
    <col min="1" max="1" width="22" bestFit="1" customWidth="1"/>
    <col min="2" max="2" width="33.42578125" bestFit="1" customWidth="1"/>
    <col min="3" max="15" width="17.5703125" bestFit="1" customWidth="1"/>
    <col min="16" max="18" width="14.7109375" customWidth="1"/>
    <col min="19" max="26" width="17.5703125" customWidth="1"/>
    <col min="27" max="235" width="14.7109375" customWidth="1"/>
  </cols>
  <sheetData>
    <row r="1" spans="1:13">
      <c r="A1" s="186" t="s">
        <v>30</v>
      </c>
      <c r="B1" s="186" t="s">
        <v>108</v>
      </c>
    </row>
    <row r="2" spans="1:13">
      <c r="A2" s="180" t="s">
        <v>623</v>
      </c>
      <c r="B2" s="180" t="s">
        <v>624</v>
      </c>
    </row>
    <row r="4" spans="1:13">
      <c r="A4" s="177" t="s">
        <v>30</v>
      </c>
      <c r="B4" s="343" t="s">
        <v>623</v>
      </c>
      <c r="C4" s="344"/>
      <c r="D4" s="344"/>
      <c r="E4" s="344"/>
      <c r="F4" s="344"/>
      <c r="G4" s="344"/>
      <c r="H4" s="344"/>
      <c r="I4" s="344"/>
      <c r="J4" s="344"/>
      <c r="L4" s="177" t="s">
        <v>30</v>
      </c>
      <c r="M4" s="314" t="s">
        <v>617</v>
      </c>
    </row>
    <row r="5" spans="1:13">
      <c r="A5" s="177" t="s">
        <v>105</v>
      </c>
      <c r="B5" s="335" t="s">
        <v>98</v>
      </c>
      <c r="C5" s="345"/>
      <c r="D5" s="345"/>
      <c r="E5" s="345"/>
      <c r="F5" s="345"/>
      <c r="G5" s="345"/>
      <c r="H5" s="345"/>
      <c r="I5" s="345"/>
      <c r="J5" s="345"/>
      <c r="L5" s="186" t="s">
        <v>105</v>
      </c>
      <c r="M5" s="178" t="s">
        <v>98</v>
      </c>
    </row>
    <row r="6" spans="1:13">
      <c r="A6" s="177" t="s">
        <v>106</v>
      </c>
      <c r="B6" s="178" t="s">
        <v>99</v>
      </c>
      <c r="C6" s="178" t="s">
        <v>590</v>
      </c>
      <c r="D6" s="178" t="s">
        <v>100</v>
      </c>
      <c r="E6" s="178" t="s">
        <v>101</v>
      </c>
      <c r="F6" s="178" t="s">
        <v>577</v>
      </c>
      <c r="G6" s="178" t="s">
        <v>102</v>
      </c>
      <c r="H6" s="178" t="s">
        <v>103</v>
      </c>
      <c r="I6" s="178" t="s">
        <v>591</v>
      </c>
      <c r="J6" s="178" t="s">
        <v>104</v>
      </c>
      <c r="L6" s="177" t="s">
        <v>106</v>
      </c>
      <c r="M6" s="178" t="s">
        <v>597</v>
      </c>
    </row>
    <row r="7" spans="1:13">
      <c r="A7" s="177" t="s">
        <v>107</v>
      </c>
      <c r="B7" s="179"/>
      <c r="C7" s="179"/>
      <c r="D7" s="179"/>
      <c r="E7" s="179"/>
      <c r="F7" s="179"/>
      <c r="G7" s="179"/>
      <c r="H7" s="179"/>
      <c r="I7" s="179"/>
      <c r="J7" s="179"/>
      <c r="L7" s="177" t="s">
        <v>107</v>
      </c>
      <c r="M7" s="179"/>
    </row>
    <row r="8" spans="1:13">
      <c r="A8" s="180" t="s">
        <v>2</v>
      </c>
      <c r="B8" s="210">
        <v>2481467.6</v>
      </c>
      <c r="C8" s="210">
        <v>2663036.6553000002</v>
      </c>
      <c r="D8" s="182">
        <v>-6.8181207699999996E-2</v>
      </c>
      <c r="E8" s="210">
        <v>27422869.937601998</v>
      </c>
      <c r="F8" s="210">
        <v>20076596.019735999</v>
      </c>
      <c r="G8" s="182">
        <v>0.3659123245</v>
      </c>
      <c r="H8" s="210">
        <v>32061779.664377999</v>
      </c>
      <c r="I8" s="210">
        <v>22563024.85238</v>
      </c>
      <c r="J8" s="182">
        <v>0.4209876501</v>
      </c>
      <c r="L8" s="180" t="s">
        <v>2</v>
      </c>
      <c r="M8" s="181">
        <v>17082.648229999999</v>
      </c>
    </row>
    <row r="9" spans="1:13">
      <c r="A9" s="180" t="s">
        <v>81</v>
      </c>
      <c r="B9" s="210">
        <v>198047.9</v>
      </c>
      <c r="C9" s="210">
        <v>172106.35217</v>
      </c>
      <c r="D9" s="182">
        <v>0.15072975229999999</v>
      </c>
      <c r="E9" s="210">
        <v>2419225.669698</v>
      </c>
      <c r="F9" s="210">
        <v>1323562.3580680001</v>
      </c>
      <c r="G9" s="182">
        <v>0.82781389549999995</v>
      </c>
      <c r="H9" s="210">
        <v>2741168.367972</v>
      </c>
      <c r="I9" s="210">
        <v>1456040.9216440001</v>
      </c>
      <c r="J9" s="182">
        <v>0.88261767040000005</v>
      </c>
      <c r="L9" s="180" t="s">
        <v>81</v>
      </c>
      <c r="M9" s="181">
        <v>3328.8900000000003</v>
      </c>
    </row>
    <row r="10" spans="1:13">
      <c r="A10" s="180" t="s">
        <v>3</v>
      </c>
      <c r="B10" s="210">
        <v>4654252.5</v>
      </c>
      <c r="C10" s="210">
        <v>3427526.2949999999</v>
      </c>
      <c r="D10" s="182">
        <v>0.35790424329999998</v>
      </c>
      <c r="E10" s="210">
        <v>50500526.200999998</v>
      </c>
      <c r="F10" s="210">
        <v>51474336.561999999</v>
      </c>
      <c r="G10" s="182">
        <v>-1.8918366400000001E-2</v>
      </c>
      <c r="H10" s="210">
        <v>54850416.413999997</v>
      </c>
      <c r="I10" s="210">
        <v>55761097.237000003</v>
      </c>
      <c r="J10" s="182">
        <v>-1.6331831099999999E-2</v>
      </c>
      <c r="L10" s="180" t="s">
        <v>3</v>
      </c>
      <c r="M10" s="181">
        <v>7117.29</v>
      </c>
    </row>
    <row r="11" spans="1:13">
      <c r="A11" s="180" t="s">
        <v>4</v>
      </c>
      <c r="B11" s="210">
        <v>340170.9</v>
      </c>
      <c r="C11" s="210">
        <v>548134.11600000004</v>
      </c>
      <c r="D11" s="182">
        <v>-0.37940206589999997</v>
      </c>
      <c r="E11" s="210">
        <v>4582015.8619999997</v>
      </c>
      <c r="F11" s="210">
        <v>10296581.594000001</v>
      </c>
      <c r="G11" s="182">
        <v>-0.55499640149999996</v>
      </c>
      <c r="H11" s="210">
        <v>4956131.9709999999</v>
      </c>
      <c r="I11" s="210">
        <v>13141791.976</v>
      </c>
      <c r="J11" s="182">
        <v>-0.62287243780000001</v>
      </c>
      <c r="L11" s="180" t="s">
        <v>4</v>
      </c>
      <c r="M11" s="181">
        <v>5977.875</v>
      </c>
    </row>
    <row r="12" spans="1:13">
      <c r="A12" s="180" t="s">
        <v>95</v>
      </c>
      <c r="B12" s="210">
        <v>0</v>
      </c>
      <c r="C12" s="210">
        <v>0</v>
      </c>
      <c r="D12" s="182">
        <v>0</v>
      </c>
      <c r="E12" s="210">
        <v>0</v>
      </c>
      <c r="F12" s="210">
        <v>-1E-3</v>
      </c>
      <c r="G12" s="182">
        <v>-1</v>
      </c>
      <c r="H12" s="210">
        <v>0</v>
      </c>
      <c r="I12" s="210">
        <v>-1E-3</v>
      </c>
      <c r="J12" s="182">
        <v>-1</v>
      </c>
      <c r="L12" s="180" t="s">
        <v>95</v>
      </c>
      <c r="M12" s="181">
        <v>0</v>
      </c>
    </row>
    <row r="13" spans="1:13">
      <c r="A13" s="180" t="s">
        <v>11</v>
      </c>
      <c r="B13" s="210">
        <v>3232452.6</v>
      </c>
      <c r="C13" s="210">
        <v>3860487.071</v>
      </c>
      <c r="D13" s="182">
        <v>-0.1626827028</v>
      </c>
      <c r="E13" s="210">
        <v>35804240.467</v>
      </c>
      <c r="F13" s="210">
        <v>48387732.362000003</v>
      </c>
      <c r="G13" s="182">
        <v>-0.26005541650000003</v>
      </c>
      <c r="H13" s="210">
        <v>38559763.723999999</v>
      </c>
      <c r="I13" s="210">
        <v>51284423.280000001</v>
      </c>
      <c r="J13" s="182">
        <v>-0.24811938480000001</v>
      </c>
      <c r="L13" s="180" t="s">
        <v>11</v>
      </c>
      <c r="M13" s="181">
        <v>24561.86</v>
      </c>
    </row>
    <row r="14" spans="1:13">
      <c r="A14" s="180" t="s">
        <v>5</v>
      </c>
      <c r="B14" s="210">
        <v>4149580.4</v>
      </c>
      <c r="C14" s="210">
        <v>7333003.949</v>
      </c>
      <c r="D14" s="182">
        <v>-0.43412271029999999</v>
      </c>
      <c r="E14" s="210">
        <v>46307083.272</v>
      </c>
      <c r="F14" s="210">
        <v>47692627.979000002</v>
      </c>
      <c r="G14" s="182">
        <v>-2.90515488E-2</v>
      </c>
      <c r="H14" s="210">
        <v>51715309.796999998</v>
      </c>
      <c r="I14" s="210">
        <v>52011661.351000004</v>
      </c>
      <c r="J14" s="182">
        <v>-5.6977905999999997E-3</v>
      </c>
      <c r="L14" s="180" t="s">
        <v>5</v>
      </c>
      <c r="M14" s="181">
        <v>26614.926500000005</v>
      </c>
    </row>
    <row r="15" spans="1:13">
      <c r="A15" s="180" t="s">
        <v>6</v>
      </c>
      <c r="B15" s="210">
        <v>789422.063631</v>
      </c>
      <c r="C15" s="210">
        <v>501069.63</v>
      </c>
      <c r="D15" s="182">
        <v>0.57547377919999998</v>
      </c>
      <c r="E15" s="210">
        <v>14161893.409631001</v>
      </c>
      <c r="F15" s="210">
        <v>8357126.0539999995</v>
      </c>
      <c r="G15" s="182">
        <v>0.69458894339999999</v>
      </c>
      <c r="H15" s="210">
        <v>14656740.732631</v>
      </c>
      <c r="I15" s="210">
        <v>8761858.1989999991</v>
      </c>
      <c r="J15" s="182">
        <v>0.67278908189999997</v>
      </c>
      <c r="L15" s="180" t="s">
        <v>6</v>
      </c>
      <c r="M15" s="181">
        <v>10182.223726000126</v>
      </c>
    </row>
    <row r="16" spans="1:13">
      <c r="A16" s="180" t="s">
        <v>7</v>
      </c>
      <c r="B16" s="210">
        <v>123952.336369</v>
      </c>
      <c r="C16" s="210">
        <v>69970.611999999994</v>
      </c>
      <c r="D16" s="182">
        <v>0.77149138510000004</v>
      </c>
      <c r="E16" s="210">
        <v>4477989.5473689996</v>
      </c>
      <c r="F16" s="210">
        <v>5097452.97</v>
      </c>
      <c r="G16" s="182">
        <v>-0.12152410750000001</v>
      </c>
      <c r="H16" s="210">
        <v>4546967.7223690003</v>
      </c>
      <c r="I16" s="210">
        <v>5207027.8439999996</v>
      </c>
      <c r="J16" s="182">
        <v>-0.12676331709999999</v>
      </c>
      <c r="L16" s="180" t="s">
        <v>7</v>
      </c>
      <c r="M16" s="181">
        <v>2304.0129999999999</v>
      </c>
    </row>
    <row r="17" spans="1:13">
      <c r="A17" s="180" t="s">
        <v>8</v>
      </c>
      <c r="B17" s="210">
        <v>406759.9</v>
      </c>
      <c r="C17" s="210">
        <v>308170.36200000002</v>
      </c>
      <c r="D17" s="182">
        <v>0.31991894789999997</v>
      </c>
      <c r="E17" s="210">
        <v>4055717.6129999999</v>
      </c>
      <c r="F17" s="210">
        <v>3306832.5389999999</v>
      </c>
      <c r="G17" s="182">
        <v>0.22646598070000001</v>
      </c>
      <c r="H17" s="210">
        <v>4355687.3609999996</v>
      </c>
      <c r="I17" s="210">
        <v>3606248.2409999999</v>
      </c>
      <c r="J17" s="182">
        <v>0.2078168417</v>
      </c>
      <c r="L17" s="180" t="s">
        <v>8</v>
      </c>
      <c r="M17" s="181">
        <v>1070.5939999999998</v>
      </c>
    </row>
    <row r="18" spans="1:13">
      <c r="A18" s="180" t="s">
        <v>9</v>
      </c>
      <c r="B18" s="210">
        <v>2400618.5</v>
      </c>
      <c r="C18" s="210">
        <v>2467951.003</v>
      </c>
      <c r="D18" s="182">
        <v>-2.7282755200000001E-2</v>
      </c>
      <c r="E18" s="210">
        <v>24734116.370000001</v>
      </c>
      <c r="F18" s="210">
        <v>27238366.743000001</v>
      </c>
      <c r="G18" s="182">
        <v>-9.1938345500000004E-2</v>
      </c>
      <c r="H18" s="210">
        <v>27076461.206</v>
      </c>
      <c r="I18" s="210">
        <v>29768308.065000001</v>
      </c>
      <c r="J18" s="182">
        <v>-9.0426599100000005E-2</v>
      </c>
      <c r="L18" s="180" t="s">
        <v>9</v>
      </c>
      <c r="M18" s="181">
        <v>5655.7725000000009</v>
      </c>
    </row>
    <row r="19" spans="1:13">
      <c r="A19" s="180" t="s">
        <v>69</v>
      </c>
      <c r="B19" s="210">
        <v>67192.899999999994</v>
      </c>
      <c r="C19" s="210">
        <v>60149.876499999998</v>
      </c>
      <c r="D19" s="182">
        <v>0.11709123790000001</v>
      </c>
      <c r="E19" s="210">
        <v>539077.13600000006</v>
      </c>
      <c r="F19" s="210">
        <v>673615.96149999998</v>
      </c>
      <c r="G19" s="182">
        <v>-0.19972630280000001</v>
      </c>
      <c r="H19" s="210">
        <v>604414.66500000004</v>
      </c>
      <c r="I19" s="210">
        <v>743528.80949999997</v>
      </c>
      <c r="J19" s="182">
        <v>-0.18709987119999999</v>
      </c>
      <c r="L19" s="180" t="s">
        <v>69</v>
      </c>
      <c r="M19" s="181">
        <v>121.7915</v>
      </c>
    </row>
    <row r="20" spans="1:13">
      <c r="A20" s="180" t="s">
        <v>70</v>
      </c>
      <c r="B20" s="210">
        <v>178094</v>
      </c>
      <c r="C20" s="210">
        <v>144583.38250000001</v>
      </c>
      <c r="D20" s="182">
        <v>0.23177364449999999</v>
      </c>
      <c r="E20" s="210">
        <v>1712824.797</v>
      </c>
      <c r="F20" s="210">
        <v>1910610.5774999999</v>
      </c>
      <c r="G20" s="182">
        <v>-0.1035196721</v>
      </c>
      <c r="H20" s="210">
        <v>1873817.267</v>
      </c>
      <c r="I20" s="210">
        <v>2101371.3925000001</v>
      </c>
      <c r="J20" s="182">
        <v>-0.1082883903</v>
      </c>
      <c r="L20" s="180" t="s">
        <v>70</v>
      </c>
      <c r="M20" s="181">
        <v>441.44749999999999</v>
      </c>
    </row>
    <row r="21" spans="1:13">
      <c r="A21" s="183" t="s">
        <v>10</v>
      </c>
      <c r="B21" s="211">
        <v>19022011.600000001</v>
      </c>
      <c r="C21" s="211">
        <v>21556189.304469999</v>
      </c>
      <c r="D21" s="185">
        <v>-0.11756148869999999</v>
      </c>
      <c r="E21" s="211">
        <v>216717580.2823</v>
      </c>
      <c r="F21" s="211">
        <v>225835441.718804</v>
      </c>
      <c r="G21" s="185">
        <v>-4.0373917299999999E-2</v>
      </c>
      <c r="H21" s="211">
        <v>237998658.89234999</v>
      </c>
      <c r="I21" s="211">
        <v>246406382.168024</v>
      </c>
      <c r="J21" s="185">
        <v>-3.4121369800000002E-2</v>
      </c>
      <c r="L21" s="183" t="s">
        <v>10</v>
      </c>
      <c r="M21" s="285">
        <f>SUM(M8:M20)</f>
        <v>104459.33195600014</v>
      </c>
    </row>
    <row r="22" spans="1:13">
      <c r="A22" s="180" t="s">
        <v>123</v>
      </c>
      <c r="B22" s="210">
        <v>-293668.8</v>
      </c>
      <c r="C22" s="210">
        <v>-350171.47100000002</v>
      </c>
      <c r="D22" s="182">
        <v>-0.16135715119999999</v>
      </c>
      <c r="E22" s="210">
        <v>-4142016.8831250002</v>
      </c>
      <c r="F22" s="210">
        <v>-2324203.065246</v>
      </c>
      <c r="G22" s="182">
        <v>0.78212349219999999</v>
      </c>
      <c r="H22" s="210">
        <v>-4845124.4411249999</v>
      </c>
      <c r="I22" s="210">
        <v>-2547277.6040540002</v>
      </c>
      <c r="J22" s="182">
        <v>0.90207947239999997</v>
      </c>
    </row>
    <row r="23" spans="1:13">
      <c r="A23" s="180" t="s">
        <v>97</v>
      </c>
      <c r="B23" s="210">
        <v>-96525</v>
      </c>
      <c r="C23" s="210">
        <v>-91396.834000000003</v>
      </c>
      <c r="D23" s="182">
        <v>5.6108792599999999E-2</v>
      </c>
      <c r="E23" s="210">
        <v>-1288473.3060000001</v>
      </c>
      <c r="F23" s="210">
        <v>-1575226.2439999999</v>
      </c>
      <c r="G23" s="182">
        <v>-0.18203920809999999</v>
      </c>
      <c r="H23" s="210">
        <v>-1408087.584</v>
      </c>
      <c r="I23" s="210">
        <v>-1687801.6850000001</v>
      </c>
      <c r="J23" s="182">
        <v>-0.16572687629999999</v>
      </c>
    </row>
    <row r="24" spans="1:13">
      <c r="A24" s="180" t="s">
        <v>124</v>
      </c>
      <c r="B24" s="210">
        <v>1106442.3</v>
      </c>
      <c r="C24" s="210">
        <v>-297394.45500000002</v>
      </c>
      <c r="D24" s="182">
        <v>-4.7204536984000001</v>
      </c>
      <c r="E24" s="210">
        <v>4095410.946</v>
      </c>
      <c r="F24" s="210">
        <v>6413517.7869999995</v>
      </c>
      <c r="G24" s="182">
        <v>-0.36144077520000001</v>
      </c>
      <c r="H24" s="210">
        <v>4544218.2079999996</v>
      </c>
      <c r="I24" s="210">
        <v>7352703.7850000001</v>
      </c>
      <c r="J24" s="182">
        <v>-0.38196637030000002</v>
      </c>
    </row>
    <row r="25" spans="1:13">
      <c r="A25" s="183" t="s">
        <v>125</v>
      </c>
      <c r="B25" s="211">
        <v>19738260.100000001</v>
      </c>
      <c r="C25" s="211">
        <v>20817226.544470001</v>
      </c>
      <c r="D25" s="185">
        <v>-5.1830460799999999E-2</v>
      </c>
      <c r="E25" s="211">
        <v>215382501.039175</v>
      </c>
      <c r="F25" s="211">
        <v>228349530.196558</v>
      </c>
      <c r="G25" s="185">
        <v>-5.6785880599999998E-2</v>
      </c>
      <c r="H25" s="211">
        <v>236289665.075225</v>
      </c>
      <c r="I25" s="211">
        <v>249524006.66396999</v>
      </c>
      <c r="J25" s="185">
        <v>-5.3038349999999998E-2</v>
      </c>
    </row>
    <row r="31" spans="1:13">
      <c r="A31" s="105" t="s">
        <v>56</v>
      </c>
      <c r="B31" s="167"/>
      <c r="C31" s="167"/>
      <c r="D31" s="167"/>
      <c r="E31" s="168"/>
      <c r="F31" s="168"/>
    </row>
    <row r="32" spans="1:13">
      <c r="A32" s="106"/>
      <c r="B32" s="89" t="s">
        <v>57</v>
      </c>
      <c r="C32" s="89" t="s">
        <v>14</v>
      </c>
      <c r="D32" s="107"/>
      <c r="E32" s="172"/>
      <c r="F32" s="173" t="s">
        <v>14</v>
      </c>
      <c r="I32" s="44"/>
    </row>
    <row r="33" spans="1:9">
      <c r="A33" s="133" t="s">
        <v>81</v>
      </c>
      <c r="B33" s="129">
        <f>VLOOKUP(A33,L$8:M$22,2,FALSE)</f>
        <v>3328.8900000000003</v>
      </c>
      <c r="C33" s="109">
        <f t="shared" ref="C33:C44" si="0">B33/$B$45*100</f>
        <v>3.1867808626252563</v>
      </c>
      <c r="D33" s="107"/>
      <c r="E33" s="170" t="s">
        <v>16</v>
      </c>
      <c r="F33" s="171">
        <f>SUM(C33:C38)</f>
        <v>45.073172610209824</v>
      </c>
      <c r="I33" s="44"/>
    </row>
    <row r="34" spans="1:9">
      <c r="A34" s="108" t="s">
        <v>3</v>
      </c>
      <c r="B34" s="129">
        <f t="shared" ref="B34:B44" si="1">VLOOKUP(A34,L$8:M$22,2,FALSE)</f>
        <v>7117.29</v>
      </c>
      <c r="C34" s="109">
        <f t="shared" si="0"/>
        <v>6.8134554057821388</v>
      </c>
      <c r="D34" s="107"/>
      <c r="E34" s="174" t="s">
        <v>17</v>
      </c>
      <c r="F34" s="175">
        <f>SUM(C39:C44)</f>
        <v>54.926827389790184</v>
      </c>
      <c r="I34" s="44"/>
    </row>
    <row r="35" spans="1:9">
      <c r="A35" s="108" t="s">
        <v>4</v>
      </c>
      <c r="B35" s="129">
        <f t="shared" si="1"/>
        <v>5977.875</v>
      </c>
      <c r="C35" s="109">
        <f t="shared" si="0"/>
        <v>5.7226816293617242</v>
      </c>
      <c r="D35" s="107"/>
      <c r="E35" s="168"/>
      <c r="F35" s="168"/>
      <c r="I35" s="44"/>
    </row>
    <row r="36" spans="1:9">
      <c r="A36" s="108" t="s">
        <v>11</v>
      </c>
      <c r="B36" s="129">
        <f t="shared" si="1"/>
        <v>24561.86</v>
      </c>
      <c r="C36" s="109">
        <f t="shared" si="0"/>
        <v>23.51332287894186</v>
      </c>
      <c r="D36" s="107"/>
      <c r="E36" s="168"/>
      <c r="F36" s="168"/>
      <c r="I36" s="44"/>
    </row>
    <row r="37" spans="1:9">
      <c r="A37" s="108" t="s">
        <v>9</v>
      </c>
      <c r="B37" s="129">
        <f t="shared" si="1"/>
        <v>5655.7725000000009</v>
      </c>
      <c r="C37" s="109">
        <f t="shared" si="0"/>
        <v>5.414329571227106</v>
      </c>
      <c r="D37" s="107"/>
      <c r="E37" s="168"/>
      <c r="F37" s="168"/>
      <c r="I37" s="44"/>
    </row>
    <row r="38" spans="1:9">
      <c r="A38" s="108" t="s">
        <v>70</v>
      </c>
      <c r="B38" s="129">
        <f t="shared" si="1"/>
        <v>441.44749999999999</v>
      </c>
      <c r="C38" s="109">
        <f t="shared" si="0"/>
        <v>0.42260226227173692</v>
      </c>
      <c r="D38" s="107"/>
      <c r="E38" s="168"/>
      <c r="F38" s="168"/>
      <c r="I38" s="44"/>
    </row>
    <row r="39" spans="1:9">
      <c r="A39" s="108" t="s">
        <v>69</v>
      </c>
      <c r="B39" s="129">
        <f t="shared" si="1"/>
        <v>121.7915</v>
      </c>
      <c r="C39" s="109">
        <f t="shared" si="0"/>
        <v>0.11659226391692841</v>
      </c>
      <c r="D39" s="107"/>
      <c r="E39" s="168"/>
      <c r="F39" s="168"/>
      <c r="I39" s="44"/>
    </row>
    <row r="40" spans="1:9">
      <c r="A40" s="108" t="s">
        <v>5</v>
      </c>
      <c r="B40" s="129">
        <f t="shared" si="1"/>
        <v>26614.926500000005</v>
      </c>
      <c r="C40" s="109">
        <f t="shared" si="0"/>
        <v>25.478744695792827</v>
      </c>
      <c r="D40" s="107"/>
      <c r="E40" s="168"/>
      <c r="F40" s="168"/>
      <c r="I40" s="44"/>
    </row>
    <row r="41" spans="1:9">
      <c r="A41" s="108" t="s">
        <v>2</v>
      </c>
      <c r="B41" s="129">
        <f t="shared" si="1"/>
        <v>17082.648229999999</v>
      </c>
      <c r="C41" s="109">
        <f t="shared" si="0"/>
        <v>16.353396015585734</v>
      </c>
      <c r="D41" s="107"/>
      <c r="E41" s="168"/>
      <c r="F41" s="168"/>
      <c r="I41" s="44"/>
    </row>
    <row r="42" spans="1:9">
      <c r="A42" s="108" t="s">
        <v>6</v>
      </c>
      <c r="B42" s="129">
        <f t="shared" si="1"/>
        <v>10182.223726000126</v>
      </c>
      <c r="C42" s="109">
        <f t="shared" si="0"/>
        <v>9.7475481944389948</v>
      </c>
      <c r="D42" s="107"/>
      <c r="E42" s="168"/>
      <c r="F42" s="168"/>
      <c r="I42" s="44"/>
    </row>
    <row r="43" spans="1:9">
      <c r="A43" s="108" t="s">
        <v>7</v>
      </c>
      <c r="B43" s="129">
        <f t="shared" si="1"/>
        <v>2304.0129999999999</v>
      </c>
      <c r="C43" s="109">
        <f t="shared" si="0"/>
        <v>2.205655499472738</v>
      </c>
      <c r="D43" s="107"/>
      <c r="E43" s="168"/>
      <c r="F43" s="168"/>
      <c r="I43" s="44"/>
    </row>
    <row r="44" spans="1:9">
      <c r="A44" s="108" t="s">
        <v>8</v>
      </c>
      <c r="B44" s="129">
        <f t="shared" si="1"/>
        <v>1070.5939999999998</v>
      </c>
      <c r="C44" s="109">
        <f t="shared" si="0"/>
        <v>1.0248907205829638</v>
      </c>
      <c r="D44" s="107"/>
      <c r="E44" s="168"/>
      <c r="F44" s="168"/>
    </row>
    <row r="45" spans="1:9">
      <c r="A45" s="110" t="s">
        <v>15</v>
      </c>
      <c r="B45" s="130">
        <f>SUM(B33:B44)</f>
        <v>104459.33195600013</v>
      </c>
      <c r="C45" s="111">
        <f>SUM(C33:C44)</f>
        <v>100</v>
      </c>
      <c r="D45" s="107" t="str">
        <f>CONCATENATE(TEXT(B45,"#.##0")," MW")</f>
        <v>104.459 MW</v>
      </c>
      <c r="E45" s="168"/>
      <c r="F45" s="168"/>
    </row>
    <row r="48" spans="1:9">
      <c r="A48" s="105" t="s">
        <v>59</v>
      </c>
      <c r="B48" s="167"/>
      <c r="C48" s="167"/>
      <c r="D48" s="167"/>
      <c r="E48" s="168"/>
      <c r="F48" s="168"/>
    </row>
    <row r="49" spans="1:10">
      <c r="A49" s="106"/>
      <c r="B49" s="89" t="s">
        <v>0</v>
      </c>
      <c r="C49" s="89" t="s">
        <v>14</v>
      </c>
      <c r="D49" s="107"/>
      <c r="E49" s="172"/>
      <c r="F49" s="173" t="s">
        <v>14</v>
      </c>
    </row>
    <row r="50" spans="1:10">
      <c r="A50" s="133" t="s">
        <v>81</v>
      </c>
      <c r="B50" s="176">
        <f>VLOOKUP(A33,A$8:B$22,2,FALSE)/1000</f>
        <v>198.0479</v>
      </c>
      <c r="C50" s="109">
        <f t="shared" ref="C50:C61" si="2">B50/$B$62*100</f>
        <v>1.041151189288519</v>
      </c>
      <c r="D50" s="131"/>
      <c r="E50" s="170" t="s">
        <v>16</v>
      </c>
      <c r="F50" s="171">
        <f>SUM(C50:C55)</f>
        <v>57.846859897824906</v>
      </c>
      <c r="G50" s="171"/>
      <c r="J50" s="44"/>
    </row>
    <row r="51" spans="1:10">
      <c r="A51" s="108" t="s">
        <v>3</v>
      </c>
      <c r="B51" s="176">
        <f t="shared" ref="B51:B61" si="3">VLOOKUP(A34,A$8:B$22,2,FALSE)/1000</f>
        <v>4654.2524999999996</v>
      </c>
      <c r="C51" s="109">
        <f t="shared" si="2"/>
        <v>24.467719807299456</v>
      </c>
      <c r="D51" s="131"/>
      <c r="E51" s="174" t="s">
        <v>17</v>
      </c>
      <c r="F51" s="175">
        <f>SUM(C56:C61)</f>
        <v>42.153140102175108</v>
      </c>
      <c r="J51" s="44"/>
    </row>
    <row r="52" spans="1:10">
      <c r="A52" s="108" t="s">
        <v>4</v>
      </c>
      <c r="B52" s="176">
        <f t="shared" si="3"/>
        <v>340.17090000000002</v>
      </c>
      <c r="C52" s="109">
        <f t="shared" si="2"/>
        <v>1.7883014013092078</v>
      </c>
      <c r="D52" s="131"/>
      <c r="E52" s="168"/>
      <c r="F52" s="168"/>
      <c r="J52" s="44"/>
    </row>
    <row r="53" spans="1:10">
      <c r="A53" s="108" t="s">
        <v>11</v>
      </c>
      <c r="B53" s="176">
        <f t="shared" si="3"/>
        <v>3232.4526000000001</v>
      </c>
      <c r="C53" s="109">
        <f t="shared" si="2"/>
        <v>16.993221684293371</v>
      </c>
      <c r="D53" s="131"/>
      <c r="E53" s="168"/>
      <c r="F53" s="168"/>
      <c r="J53" s="44"/>
    </row>
    <row r="54" spans="1:10">
      <c r="A54" s="108" t="s">
        <v>9</v>
      </c>
      <c r="B54" s="176">
        <f t="shared" si="3"/>
        <v>2400.6185</v>
      </c>
      <c r="C54" s="109">
        <f t="shared" si="2"/>
        <v>12.620213626617705</v>
      </c>
      <c r="D54" s="131"/>
      <c r="E54" s="168"/>
      <c r="F54" s="169"/>
      <c r="J54" s="44"/>
    </row>
    <row r="55" spans="1:10">
      <c r="A55" s="108" t="s">
        <v>70</v>
      </c>
      <c r="B55" s="176">
        <f t="shared" si="3"/>
        <v>178.09399999999999</v>
      </c>
      <c r="C55" s="109">
        <f t="shared" si="2"/>
        <v>0.93625218901664431</v>
      </c>
      <c r="D55" s="131"/>
      <c r="E55" s="168"/>
      <c r="F55" s="168"/>
      <c r="J55" s="44"/>
    </row>
    <row r="56" spans="1:10">
      <c r="A56" s="108" t="s">
        <v>69</v>
      </c>
      <c r="B56" s="176">
        <f t="shared" si="3"/>
        <v>67.192899999999995</v>
      </c>
      <c r="C56" s="109">
        <f t="shared" si="2"/>
        <v>0.35323761446975466</v>
      </c>
      <c r="D56" s="131"/>
      <c r="E56" s="168"/>
      <c r="F56" s="168"/>
      <c r="J56" s="44"/>
    </row>
    <row r="57" spans="1:10">
      <c r="A57" s="108" t="s">
        <v>5</v>
      </c>
      <c r="B57" s="176">
        <f t="shared" si="3"/>
        <v>4149.5803999999998</v>
      </c>
      <c r="C57" s="109">
        <f t="shared" si="2"/>
        <v>21.814624484825782</v>
      </c>
      <c r="D57" s="131"/>
      <c r="E57" s="168"/>
      <c r="F57" s="168"/>
      <c r="J57" s="44"/>
    </row>
    <row r="58" spans="1:10">
      <c r="A58" s="108" t="s">
        <v>2</v>
      </c>
      <c r="B58" s="176">
        <f t="shared" si="3"/>
        <v>2481.4675999999999</v>
      </c>
      <c r="C58" s="109">
        <f t="shared" si="2"/>
        <v>13.045242807022579</v>
      </c>
      <c r="D58" s="131"/>
      <c r="E58" s="168"/>
      <c r="F58" s="168"/>
      <c r="J58" s="44"/>
    </row>
    <row r="59" spans="1:10">
      <c r="A59" s="108" t="s">
        <v>6</v>
      </c>
      <c r="B59" s="176">
        <f t="shared" si="3"/>
        <v>789.42206363100001</v>
      </c>
      <c r="C59" s="109">
        <f t="shared" si="2"/>
        <v>4.1500451173681343</v>
      </c>
      <c r="D59" s="131"/>
      <c r="E59" s="168"/>
      <c r="F59" s="168"/>
      <c r="J59" s="44"/>
    </row>
    <row r="60" spans="1:10">
      <c r="A60" s="108" t="s">
        <v>7</v>
      </c>
      <c r="B60" s="176">
        <f t="shared" si="3"/>
        <v>123.95233636899999</v>
      </c>
      <c r="C60" s="109">
        <f t="shared" si="2"/>
        <v>0.65162580580594331</v>
      </c>
      <c r="D60" s="131"/>
      <c r="E60" s="168"/>
      <c r="F60" s="168"/>
      <c r="J60" s="44"/>
    </row>
    <row r="61" spans="1:10">
      <c r="A61" s="108" t="s">
        <v>8</v>
      </c>
      <c r="B61" s="176">
        <f t="shared" si="3"/>
        <v>406.75990000000002</v>
      </c>
      <c r="C61" s="109">
        <f t="shared" si="2"/>
        <v>2.1383642726829168</v>
      </c>
      <c r="D61" s="131"/>
      <c r="E61" s="168"/>
      <c r="F61" s="168"/>
      <c r="J61" s="44"/>
    </row>
    <row r="62" spans="1:10">
      <c r="A62" s="110" t="s">
        <v>15</v>
      </c>
      <c r="B62" s="130">
        <f>SUM(B50:B61)</f>
        <v>19022.011599999998</v>
      </c>
      <c r="C62" s="111">
        <f>SUM(C50:C61)</f>
        <v>100.00000000000003</v>
      </c>
      <c r="D62" s="168"/>
      <c r="E62" s="168"/>
      <c r="F62" s="168"/>
    </row>
    <row r="66" spans="1:8">
      <c r="A66" s="177" t="s">
        <v>31</v>
      </c>
      <c r="B66" s="316" t="s">
        <v>627</v>
      </c>
      <c r="G66" s="177" t="s">
        <v>31</v>
      </c>
      <c r="H66" s="316" t="s">
        <v>122</v>
      </c>
    </row>
    <row r="67" spans="1:8">
      <c r="A67" s="177" t="s">
        <v>106</v>
      </c>
      <c r="B67" s="178" t="s">
        <v>109</v>
      </c>
      <c r="G67" s="177" t="s">
        <v>106</v>
      </c>
      <c r="H67" s="178" t="s">
        <v>109</v>
      </c>
    </row>
    <row r="68" spans="1:8">
      <c r="A68" s="177" t="s">
        <v>110</v>
      </c>
      <c r="B68" s="179"/>
      <c r="G68" s="177" t="s">
        <v>111</v>
      </c>
      <c r="H68" s="179"/>
    </row>
    <row r="69" spans="1:8">
      <c r="A69" s="180" t="s">
        <v>2</v>
      </c>
      <c r="B69" s="181">
        <v>69.0398</v>
      </c>
      <c r="G69" s="180" t="s">
        <v>2</v>
      </c>
      <c r="H69" s="181">
        <v>171.761425718</v>
      </c>
    </row>
    <row r="70" spans="1:8">
      <c r="A70" s="180" t="s">
        <v>81</v>
      </c>
      <c r="B70" s="181">
        <v>2.7444000000000002</v>
      </c>
      <c r="G70" s="180" t="s">
        <v>81</v>
      </c>
      <c r="H70" s="181">
        <v>11.144527282</v>
      </c>
    </row>
    <row r="71" spans="1:8">
      <c r="A71" s="180" t="s">
        <v>3</v>
      </c>
      <c r="B71" s="181">
        <v>145.7792</v>
      </c>
      <c r="G71" s="180" t="s">
        <v>3</v>
      </c>
      <c r="H71" s="181">
        <v>145.826773</v>
      </c>
    </row>
    <row r="72" spans="1:8">
      <c r="A72" s="180" t="s">
        <v>4</v>
      </c>
      <c r="B72" s="181">
        <v>11.149800000000001</v>
      </c>
      <c r="G72" s="180" t="s">
        <v>4</v>
      </c>
      <c r="H72" s="181">
        <v>36.112304999999999</v>
      </c>
    </row>
    <row r="73" spans="1:8">
      <c r="A73" s="180" t="s">
        <v>11</v>
      </c>
      <c r="B73" s="181">
        <v>44.252499999999998</v>
      </c>
      <c r="G73" s="180" t="s">
        <v>95</v>
      </c>
      <c r="H73" s="181">
        <v>0</v>
      </c>
    </row>
    <row r="74" spans="1:8">
      <c r="A74" s="180" t="s">
        <v>5</v>
      </c>
      <c r="B74" s="181">
        <v>329.87810000000002</v>
      </c>
      <c r="G74" s="180" t="s">
        <v>11</v>
      </c>
      <c r="H74" s="181">
        <v>35.756722000000003</v>
      </c>
    </row>
    <row r="75" spans="1:8">
      <c r="A75" s="180" t="s">
        <v>6</v>
      </c>
      <c r="B75" s="181">
        <v>16.357032656000001</v>
      </c>
      <c r="G75" s="180" t="s">
        <v>5</v>
      </c>
      <c r="H75" s="181">
        <v>326.92698000000001</v>
      </c>
    </row>
    <row r="76" spans="1:8">
      <c r="A76" s="180" t="s">
        <v>7</v>
      </c>
      <c r="B76" s="181">
        <v>0.49396734399999997</v>
      </c>
      <c r="G76" s="180" t="s">
        <v>6</v>
      </c>
      <c r="H76" s="181">
        <v>19.805879000000001</v>
      </c>
    </row>
    <row r="77" spans="1:8">
      <c r="A77" s="180" t="s">
        <v>8</v>
      </c>
      <c r="B77" s="181">
        <v>12.671099999999999</v>
      </c>
      <c r="G77" s="180" t="s">
        <v>7</v>
      </c>
      <c r="H77" s="181">
        <v>11.256307</v>
      </c>
    </row>
    <row r="78" spans="1:8">
      <c r="A78" s="180" t="s">
        <v>9</v>
      </c>
      <c r="B78" s="181">
        <v>82.122299999999996</v>
      </c>
      <c r="G78" s="180" t="s">
        <v>8</v>
      </c>
      <c r="H78" s="181">
        <v>8.0477620000000005</v>
      </c>
    </row>
    <row r="79" spans="1:8">
      <c r="A79" s="180" t="s">
        <v>69</v>
      </c>
      <c r="B79" s="181">
        <v>2.0211999999999999</v>
      </c>
      <c r="G79" s="180" t="s">
        <v>9</v>
      </c>
      <c r="H79" s="181">
        <v>79.388705999999999</v>
      </c>
    </row>
    <row r="80" spans="1:8">
      <c r="A80" s="180" t="s">
        <v>70</v>
      </c>
      <c r="B80" s="181">
        <v>4.9420999999999999</v>
      </c>
      <c r="G80" s="180" t="s">
        <v>69</v>
      </c>
      <c r="H80" s="181">
        <v>2.128638</v>
      </c>
    </row>
    <row r="81" spans="1:11">
      <c r="A81" s="183" t="s">
        <v>10</v>
      </c>
      <c r="B81" s="184">
        <v>721.45150000000001</v>
      </c>
      <c r="G81" s="180" t="s">
        <v>70</v>
      </c>
      <c r="H81" s="181">
        <v>7.1086039999999997</v>
      </c>
    </row>
    <row r="82" spans="1:11">
      <c r="A82" s="180" t="s">
        <v>123</v>
      </c>
      <c r="B82" s="181">
        <v>-16.666599999999999</v>
      </c>
      <c r="G82" s="183" t="s">
        <v>10</v>
      </c>
      <c r="H82" s="184">
        <v>855.26462900000001</v>
      </c>
    </row>
    <row r="83" spans="1:11">
      <c r="A83" s="180" t="s">
        <v>97</v>
      </c>
      <c r="B83" s="181">
        <v>-3.58</v>
      </c>
      <c r="G83" s="180" t="s">
        <v>123</v>
      </c>
      <c r="H83" s="181">
        <v>-16.683171999999999</v>
      </c>
    </row>
    <row r="84" spans="1:11">
      <c r="A84" s="180" t="s">
        <v>124</v>
      </c>
      <c r="B84" s="181">
        <v>-28.126899999999999</v>
      </c>
      <c r="G84" s="180" t="s">
        <v>97</v>
      </c>
      <c r="H84" s="181">
        <v>-2.1485099999999999</v>
      </c>
    </row>
    <row r="85" spans="1:11">
      <c r="A85" s="183" t="s">
        <v>125</v>
      </c>
      <c r="B85" s="184">
        <v>673.07799999999997</v>
      </c>
      <c r="G85" s="180" t="s">
        <v>124</v>
      </c>
      <c r="H85" s="181">
        <v>-47.434305999999999</v>
      </c>
    </row>
    <row r="86" spans="1:11">
      <c r="G86" s="183" t="s">
        <v>125</v>
      </c>
      <c r="H86" s="184">
        <v>788.99864100000002</v>
      </c>
    </row>
    <row r="91" spans="1:11">
      <c r="B91" s="191" t="str">
        <f>"Mes " &amp;B66</f>
        <v>Mes 06/11/2020</v>
      </c>
      <c r="H91" s="191" t="str">
        <f>"Histórico " &amp;H66</f>
        <v>Histórico 20/03/2018</v>
      </c>
    </row>
    <row r="92" spans="1:11">
      <c r="A92" s="151" t="str">
        <f>"Estructura de generacion mensual de energía eléctrica peninsular " &amp; B66</f>
        <v>Estructura de generacion mensual de energía eléctrica peninsular 06/11/2020</v>
      </c>
      <c r="B92" s="167"/>
      <c r="C92" s="167"/>
      <c r="D92" s="167"/>
      <c r="E92" s="190" t="str">
        <f>CONCATENATE("Mes",CHAR(13),MID(A92,66,10))</f>
        <v>Mes_x000D_06/11/2020</v>
      </c>
      <c r="G92" s="151" t="str">
        <f>"Estructura de generacion mensual de energía eléctrica peninsular " &amp; H66</f>
        <v>Estructura de generacion mensual de energía eléctrica peninsular 20/03/2018</v>
      </c>
      <c r="H92" s="167"/>
      <c r="I92" s="167"/>
      <c r="J92" s="167"/>
      <c r="K92" s="167"/>
    </row>
    <row r="93" spans="1:11">
      <c r="A93" s="106"/>
      <c r="B93" s="89" t="s">
        <v>14</v>
      </c>
      <c r="C93" s="107"/>
      <c r="G93" s="106"/>
      <c r="H93" s="89" t="s">
        <v>14</v>
      </c>
      <c r="I93" s="107"/>
    </row>
    <row r="94" spans="1:11">
      <c r="A94" s="108" t="s">
        <v>81</v>
      </c>
      <c r="B94" s="189">
        <f>IF(B$72&lt;0,VLOOKUP(A94,A$69:B$84,2,FALSE)/SUM(B$69:B$71,B$73:B$81)*100,VLOOKUP(A94,A$69:B$84,2,FALSE)/VLOOKUP("Generación",A$69:B$84,2,FALSE)*100)</f>
        <v>0.38039979125415918</v>
      </c>
      <c r="C94" s="107"/>
      <c r="G94" s="108" t="s">
        <v>81</v>
      </c>
      <c r="H94" s="189">
        <f>VLOOKUP(G94,G$69:H$84,2,FALSE)/VLOOKUP("Generación",G$69:H$84,2,FALSE)*100</f>
        <v>1.3030501793381193</v>
      </c>
      <c r="I94" s="107"/>
    </row>
    <row r="95" spans="1:11">
      <c r="A95" s="108" t="s">
        <v>3</v>
      </c>
      <c r="B95" s="189">
        <f>IF(B$72&lt;0,VLOOKUP(A95,A$69:B$84,2,FALSE)/SUM(B$69:B$71,B$73:B$81)*100,VLOOKUP(A95,A$69:B$84,2,FALSE)/VLOOKUP("Generación",A$69:B$84,2,FALSE)*100)</f>
        <v>20.206375619151114</v>
      </c>
      <c r="C95" s="107"/>
      <c r="G95" s="108" t="s">
        <v>3</v>
      </c>
      <c r="H95" s="189">
        <f>VLOOKUP(G95,G$69:H$84,2,FALSE)/VLOOKUP("Generación",G$69:H$84,2,FALSE)*100</f>
        <v>17.050485669038466</v>
      </c>
      <c r="I95" s="107"/>
    </row>
    <row r="96" spans="1:11">
      <c r="A96" s="108" t="s">
        <v>4</v>
      </c>
      <c r="B96" s="189">
        <f>IF(B$72&lt;0,,VLOOKUP(A96,A$69:B$84,2,FALSE)/VLOOKUP("Generación",A$69:B$84,2,FALSE)*100)</f>
        <v>1.5454677133528727</v>
      </c>
      <c r="C96" s="107"/>
      <c r="D96" s="168"/>
      <c r="E96" s="168"/>
      <c r="G96" s="108" t="s">
        <v>4</v>
      </c>
      <c r="H96" s="189">
        <f t="shared" ref="H96:H105" si="4">VLOOKUP(G96,G$69:H$84,2,FALSE)/VLOOKUP("Generación",G$69:H$84,2,FALSE)*100</f>
        <v>4.2223545526749469</v>
      </c>
      <c r="I96" s="107"/>
      <c r="J96" s="168"/>
      <c r="K96" s="168"/>
    </row>
    <row r="97" spans="1:11">
      <c r="A97" s="108" t="s">
        <v>11</v>
      </c>
      <c r="B97" s="189">
        <f t="shared" ref="B97:B105" si="5">IF(B$72&lt;0,VLOOKUP(A97,A$69:B$84,2,FALSE)/SUM(B$69:B$71,B$73:B$81)*100,VLOOKUP(A97,A$69:B$84,2,FALSE)/VLOOKUP("Generación",A$69:B$84,2,FALSE)*100)</f>
        <v>6.1338149549900436</v>
      </c>
      <c r="C97" s="107"/>
      <c r="D97" s="168"/>
      <c r="E97" s="168"/>
      <c r="G97" s="108" t="s">
        <v>11</v>
      </c>
      <c r="H97" s="189">
        <f t="shared" si="4"/>
        <v>4.1807787657263216</v>
      </c>
      <c r="I97" s="107"/>
      <c r="J97" s="168"/>
      <c r="K97" s="168"/>
    </row>
    <row r="98" spans="1:11">
      <c r="A98" s="108" t="s">
        <v>9</v>
      </c>
      <c r="B98" s="189">
        <f t="shared" si="5"/>
        <v>11.382927334685698</v>
      </c>
      <c r="C98" s="107"/>
      <c r="D98" s="107"/>
      <c r="E98" s="107"/>
      <c r="G98" s="108" t="s">
        <v>9</v>
      </c>
      <c r="H98" s="189">
        <f t="shared" si="4"/>
        <v>9.2823558122383183</v>
      </c>
      <c r="I98" s="107"/>
      <c r="J98" s="107"/>
      <c r="K98" s="107"/>
    </row>
    <row r="99" spans="1:11">
      <c r="A99" s="108" t="s">
        <v>70</v>
      </c>
      <c r="B99" s="189">
        <f t="shared" si="5"/>
        <v>0.68502179287173148</v>
      </c>
      <c r="C99" s="107"/>
      <c r="D99" s="107"/>
      <c r="E99" s="107"/>
      <c r="G99" s="108" t="s">
        <v>70</v>
      </c>
      <c r="H99" s="189">
        <f t="shared" si="4"/>
        <v>0.83115842266405715</v>
      </c>
      <c r="I99" s="107"/>
      <c r="J99" s="107"/>
      <c r="K99" s="107"/>
    </row>
    <row r="100" spans="1:11">
      <c r="A100" s="108" t="s">
        <v>69</v>
      </c>
      <c r="B100" s="189">
        <f t="shared" si="5"/>
        <v>0.28015743262021076</v>
      </c>
      <c r="C100" s="107"/>
      <c r="D100" s="107"/>
      <c r="E100" s="107"/>
      <c r="G100" s="108" t="s">
        <v>69</v>
      </c>
      <c r="H100" s="189">
        <f t="shared" si="4"/>
        <v>0.24888647651532891</v>
      </c>
      <c r="I100" s="107"/>
      <c r="J100" s="107"/>
      <c r="K100" s="107"/>
    </row>
    <row r="101" spans="1:11">
      <c r="A101" s="108" t="s">
        <v>5</v>
      </c>
      <c r="B101" s="189">
        <f t="shared" si="5"/>
        <v>45.724224012286349</v>
      </c>
      <c r="C101" s="107"/>
      <c r="D101" s="107"/>
      <c r="E101" s="107"/>
      <c r="G101" s="108" t="s">
        <v>5</v>
      </c>
      <c r="H101" s="189">
        <f t="shared" si="4"/>
        <v>38.2252426809995</v>
      </c>
      <c r="I101" s="107"/>
      <c r="J101" s="107"/>
      <c r="K101" s="107"/>
    </row>
    <row r="102" spans="1:11">
      <c r="A102" s="108" t="s">
        <v>2</v>
      </c>
      <c r="B102" s="189">
        <f t="shared" si="5"/>
        <v>9.569569125575315</v>
      </c>
      <c r="C102" s="107"/>
      <c r="D102" s="107"/>
      <c r="E102" s="107"/>
      <c r="G102" s="108" t="s">
        <v>2</v>
      </c>
      <c r="H102" s="189">
        <f t="shared" si="4"/>
        <v>20.082839847922671</v>
      </c>
      <c r="I102" s="107"/>
      <c r="J102" s="107"/>
      <c r="K102" s="107"/>
    </row>
    <row r="103" spans="1:11">
      <c r="A103" s="108" t="s">
        <v>6</v>
      </c>
      <c r="B103" s="189">
        <f t="shared" si="5"/>
        <v>2.2672393994606708</v>
      </c>
      <c r="C103" s="107"/>
      <c r="D103" s="107"/>
      <c r="E103" s="107"/>
      <c r="G103" s="108" t="s">
        <v>6</v>
      </c>
      <c r="H103" s="189">
        <f t="shared" si="4"/>
        <v>2.3157603305958769</v>
      </c>
      <c r="I103" s="107"/>
      <c r="J103" s="107"/>
      <c r="K103" s="107"/>
    </row>
    <row r="104" spans="1:11">
      <c r="A104" s="108" t="s">
        <v>7</v>
      </c>
      <c r="B104" s="189">
        <f t="shared" si="5"/>
        <v>6.846854487099964E-2</v>
      </c>
      <c r="C104" s="107"/>
      <c r="D104" s="107"/>
      <c r="E104" s="107"/>
      <c r="G104" s="108" t="s">
        <v>7</v>
      </c>
      <c r="H104" s="189">
        <f t="shared" si="4"/>
        <v>1.3161197854237463</v>
      </c>
      <c r="I104" s="107"/>
      <c r="J104" s="107"/>
      <c r="K104" s="107"/>
    </row>
    <row r="105" spans="1:11">
      <c r="A105" s="108" t="s">
        <v>8</v>
      </c>
      <c r="B105" s="189">
        <f t="shared" si="5"/>
        <v>1.7563342788808394</v>
      </c>
      <c r="C105" s="167"/>
      <c r="D105" s="167"/>
      <c r="E105" s="167"/>
      <c r="G105" s="108" t="s">
        <v>8</v>
      </c>
      <c r="H105" s="189">
        <f t="shared" si="4"/>
        <v>0.94096747686264959</v>
      </c>
      <c r="I105" s="168"/>
      <c r="J105" s="168"/>
      <c r="K105" s="168"/>
    </row>
    <row r="106" spans="1:11">
      <c r="A106" s="110" t="s">
        <v>15</v>
      </c>
      <c r="B106" s="111">
        <f>SUM(B94:B105)</f>
        <v>100</v>
      </c>
      <c r="C106" s="167"/>
      <c r="D106" s="167"/>
      <c r="E106" s="167"/>
      <c r="G106" s="110" t="s">
        <v>15</v>
      </c>
      <c r="H106" s="111">
        <f>SUM(H94:H105)</f>
        <v>100.00000000000001</v>
      </c>
      <c r="I106" s="168"/>
      <c r="J106" s="168"/>
      <c r="K106" s="168"/>
    </row>
    <row r="108" spans="1:11">
      <c r="A108" s="172"/>
      <c r="B108" s="173" t="s">
        <v>14</v>
      </c>
      <c r="G108" s="172"/>
      <c r="H108" s="173" t="s">
        <v>14</v>
      </c>
    </row>
    <row r="109" spans="1:11">
      <c r="A109" s="170" t="s">
        <v>16</v>
      </c>
      <c r="B109" s="171">
        <f>SUM(B94:B99)</f>
        <v>40.334007206305621</v>
      </c>
      <c r="G109" s="170" t="s">
        <v>16</v>
      </c>
      <c r="H109" s="171">
        <f>SUM(H94:H99)</f>
        <v>36.870183401680237</v>
      </c>
    </row>
    <row r="110" spans="1:11">
      <c r="A110" s="174" t="s">
        <v>17</v>
      </c>
      <c r="B110" s="175">
        <f>SUM(B100:B105)</f>
        <v>59.665992793694386</v>
      </c>
      <c r="G110" s="174" t="s">
        <v>17</v>
      </c>
      <c r="H110" s="175">
        <f>SUM(H100:H105)</f>
        <v>63.129816598319778</v>
      </c>
    </row>
    <row r="114" spans="1:26">
      <c r="C114">
        <v>1</v>
      </c>
      <c r="D114">
        <v>2</v>
      </c>
      <c r="E114">
        <v>3</v>
      </c>
      <c r="F114">
        <v>4</v>
      </c>
      <c r="G114">
        <v>5</v>
      </c>
      <c r="H114">
        <v>6</v>
      </c>
      <c r="I114">
        <v>7</v>
      </c>
      <c r="J114">
        <v>8</v>
      </c>
      <c r="K114">
        <v>9</v>
      </c>
      <c r="L114">
        <v>10</v>
      </c>
      <c r="M114">
        <v>11</v>
      </c>
      <c r="N114">
        <v>12</v>
      </c>
      <c r="O114">
        <v>1</v>
      </c>
      <c r="P114">
        <v>2</v>
      </c>
      <c r="Q114">
        <v>3</v>
      </c>
      <c r="R114">
        <v>4</v>
      </c>
      <c r="S114">
        <v>5</v>
      </c>
      <c r="T114">
        <v>6</v>
      </c>
      <c r="U114">
        <v>7</v>
      </c>
      <c r="V114">
        <v>8</v>
      </c>
      <c r="W114">
        <v>9</v>
      </c>
      <c r="X114">
        <v>10</v>
      </c>
      <c r="Y114">
        <v>11</v>
      </c>
      <c r="Z114">
        <v>12</v>
      </c>
    </row>
    <row r="115" spans="1:26">
      <c r="A115" s="177" t="s">
        <v>105</v>
      </c>
      <c r="B115" s="343" t="s">
        <v>98</v>
      </c>
      <c r="C115" s="344"/>
      <c r="D115" s="344"/>
      <c r="E115" s="344"/>
      <c r="F115" s="344"/>
      <c r="G115" s="344"/>
      <c r="H115" s="344"/>
      <c r="I115" s="344"/>
      <c r="J115" s="344"/>
      <c r="K115" s="344"/>
      <c r="L115" s="344"/>
      <c r="M115" s="344"/>
      <c r="N115" s="344"/>
      <c r="O115" s="344"/>
      <c r="P115" s="344"/>
      <c r="Q115" s="344"/>
      <c r="R115" s="344"/>
      <c r="S115" s="344"/>
      <c r="T115" s="344"/>
      <c r="U115" s="344"/>
      <c r="V115" s="344"/>
      <c r="W115" s="344"/>
      <c r="X115" s="344"/>
      <c r="Y115" s="344"/>
      <c r="Z115" s="344"/>
    </row>
    <row r="116" spans="1:26">
      <c r="A116" s="177" t="s">
        <v>106</v>
      </c>
      <c r="B116" s="337" t="s">
        <v>109</v>
      </c>
      <c r="C116" s="348"/>
      <c r="D116" s="348"/>
      <c r="E116" s="348"/>
      <c r="F116" s="348"/>
      <c r="G116" s="348"/>
      <c r="H116" s="348"/>
      <c r="I116" s="348"/>
      <c r="J116" s="348"/>
      <c r="K116" s="348"/>
      <c r="L116" s="348"/>
      <c r="M116" s="348"/>
      <c r="N116" s="348"/>
      <c r="O116" s="348"/>
      <c r="P116" s="348"/>
      <c r="Q116" s="348"/>
      <c r="R116" s="348"/>
      <c r="S116" s="348"/>
      <c r="T116" s="348"/>
      <c r="U116" s="348"/>
      <c r="V116" s="348"/>
      <c r="W116" s="348"/>
      <c r="X116" s="348"/>
      <c r="Y116" s="348"/>
      <c r="Z116" s="348"/>
    </row>
    <row r="117" spans="1:26">
      <c r="A117" s="186" t="s">
        <v>30</v>
      </c>
      <c r="B117" s="316" t="s">
        <v>560</v>
      </c>
      <c r="C117" s="316" t="s">
        <v>561</v>
      </c>
      <c r="D117" s="316" t="s">
        <v>562</v>
      </c>
      <c r="E117" s="316" t="s">
        <v>563</v>
      </c>
      <c r="F117" s="316" t="s">
        <v>564</v>
      </c>
      <c r="G117" s="316" t="s">
        <v>566</v>
      </c>
      <c r="H117" s="316" t="s">
        <v>567</v>
      </c>
      <c r="I117" s="316" t="s">
        <v>589</v>
      </c>
      <c r="J117" s="316" t="s">
        <v>596</v>
      </c>
      <c r="K117" s="316" t="s">
        <v>598</v>
      </c>
      <c r="L117" s="316" t="s">
        <v>600</v>
      </c>
      <c r="M117" s="316" t="s">
        <v>601</v>
      </c>
      <c r="N117" s="316" t="s">
        <v>602</v>
      </c>
      <c r="O117" s="316" t="s">
        <v>604</v>
      </c>
      <c r="P117" s="316" t="s">
        <v>608</v>
      </c>
      <c r="Q117" s="316" t="s">
        <v>609</v>
      </c>
      <c r="R117" s="316" t="s">
        <v>611</v>
      </c>
      <c r="S117" s="316" t="s">
        <v>615</v>
      </c>
      <c r="T117" s="316" t="s">
        <v>616</v>
      </c>
      <c r="U117" s="316" t="s">
        <v>617</v>
      </c>
      <c r="V117" s="316" t="s">
        <v>618</v>
      </c>
      <c r="W117" s="316" t="s">
        <v>619</v>
      </c>
      <c r="X117" s="316" t="s">
        <v>620</v>
      </c>
      <c r="Y117" s="316" t="s">
        <v>622</v>
      </c>
      <c r="Z117" s="316" t="s">
        <v>623</v>
      </c>
    </row>
    <row r="118" spans="1:26">
      <c r="A118" s="177" t="s">
        <v>107</v>
      </c>
      <c r="B118" s="192"/>
      <c r="C118" s="192"/>
      <c r="D118" s="192"/>
      <c r="E118" s="192"/>
      <c r="F118" s="192"/>
      <c r="G118" s="192"/>
      <c r="H118" s="192"/>
      <c r="I118" s="192"/>
      <c r="J118" s="192"/>
      <c r="K118" s="192"/>
      <c r="L118" s="192"/>
      <c r="M118" s="192"/>
      <c r="N118" s="192"/>
      <c r="O118" s="192"/>
      <c r="P118" s="192"/>
      <c r="Q118" s="192"/>
      <c r="R118" s="192"/>
      <c r="S118" s="192"/>
      <c r="T118" s="192"/>
      <c r="U118" s="192"/>
      <c r="V118" s="192"/>
      <c r="W118" s="192"/>
      <c r="X118" s="192"/>
      <c r="Y118" s="192"/>
      <c r="Z118" s="192"/>
    </row>
    <row r="119" spans="1:26">
      <c r="A119" s="180" t="s">
        <v>2</v>
      </c>
      <c r="B119" s="181">
        <v>2161.7754838139999</v>
      </c>
      <c r="C119" s="181">
        <v>2486.4288326440001</v>
      </c>
      <c r="D119" s="181">
        <v>2126.922141256</v>
      </c>
      <c r="E119" s="181">
        <v>2483.1404345719998</v>
      </c>
      <c r="F119" s="181">
        <v>2132.3689869519999</v>
      </c>
      <c r="G119" s="181">
        <v>1925.7686431879999</v>
      </c>
      <c r="H119" s="181">
        <v>1935.0616367759999</v>
      </c>
      <c r="I119" s="181">
        <v>1626.6262979099999</v>
      </c>
      <c r="J119" s="181">
        <v>1581.9464948259999</v>
      </c>
      <c r="K119" s="181">
        <v>1254.7128498279999</v>
      </c>
      <c r="L119" s="181">
        <v>1224.9819326679999</v>
      </c>
      <c r="M119" s="181">
        <v>1122.02994646</v>
      </c>
      <c r="N119" s="181">
        <v>2663.0366552999999</v>
      </c>
      <c r="O119" s="181">
        <v>4638.9097267759998</v>
      </c>
      <c r="P119" s="181">
        <v>3728.0292889299999</v>
      </c>
      <c r="Q119" s="181">
        <v>2837.657916438</v>
      </c>
      <c r="R119" s="181">
        <v>3112.6634564460001</v>
      </c>
      <c r="S119" s="181">
        <v>2861.140589526</v>
      </c>
      <c r="T119" s="181">
        <v>2858.8119126259999</v>
      </c>
      <c r="U119" s="181">
        <v>2261.9890331500001</v>
      </c>
      <c r="V119" s="181">
        <v>1836.794019208</v>
      </c>
      <c r="W119" s="181">
        <v>1880.071061444</v>
      </c>
      <c r="X119" s="181">
        <v>1674.6629713719999</v>
      </c>
      <c r="Y119" s="181">
        <v>1889.582088462</v>
      </c>
      <c r="Z119" s="181">
        <v>2481.4675999999999</v>
      </c>
    </row>
    <row r="120" spans="1:26">
      <c r="A120" s="180" t="s">
        <v>81</v>
      </c>
      <c r="B120" s="181">
        <v>138.76057288800001</v>
      </c>
      <c r="C120" s="181">
        <v>132.478563576</v>
      </c>
      <c r="D120" s="181">
        <v>160.23613672600001</v>
      </c>
      <c r="E120" s="181">
        <v>184.627649926</v>
      </c>
      <c r="F120" s="181">
        <v>182.227465258</v>
      </c>
      <c r="G120" s="181">
        <v>129.46685282000001</v>
      </c>
      <c r="H120" s="181">
        <v>124.931396316</v>
      </c>
      <c r="I120" s="181">
        <v>54.725804748000002</v>
      </c>
      <c r="J120" s="181">
        <v>24.305235333999999</v>
      </c>
      <c r="K120" s="181">
        <v>70.640000060000006</v>
      </c>
      <c r="L120" s="181">
        <v>104.26472390000001</v>
      </c>
      <c r="M120" s="181">
        <v>116.03074081</v>
      </c>
      <c r="N120" s="181">
        <v>172.10635217000001</v>
      </c>
      <c r="O120" s="181">
        <v>321.94269827400001</v>
      </c>
      <c r="P120" s="181">
        <v>233.77888705199999</v>
      </c>
      <c r="Q120" s="181">
        <v>229.83714941400001</v>
      </c>
      <c r="R120" s="181">
        <v>303.52379088800001</v>
      </c>
      <c r="S120" s="181">
        <v>314.35098405000002</v>
      </c>
      <c r="T120" s="181">
        <v>243.63992918599999</v>
      </c>
      <c r="U120" s="181">
        <v>152.39581989600001</v>
      </c>
      <c r="V120" s="181">
        <v>167.16093403400001</v>
      </c>
      <c r="W120" s="181">
        <v>158.85512120000001</v>
      </c>
      <c r="X120" s="181">
        <v>187.668031348</v>
      </c>
      <c r="Y120" s="181">
        <v>229.96712263000001</v>
      </c>
      <c r="Z120" s="181">
        <v>198.0479</v>
      </c>
    </row>
    <row r="121" spans="1:26">
      <c r="A121" s="180" t="s">
        <v>3</v>
      </c>
      <c r="B121" s="181">
        <v>3829.983448</v>
      </c>
      <c r="C121" s="181">
        <v>4286.7606750000004</v>
      </c>
      <c r="D121" s="181">
        <v>5041.3888260000003</v>
      </c>
      <c r="E121" s="181">
        <v>4766.7856579999998</v>
      </c>
      <c r="F121" s="181">
        <v>5274.7472820000003</v>
      </c>
      <c r="G121" s="181">
        <v>4621.6629220000004</v>
      </c>
      <c r="H121" s="181">
        <v>3976.917465</v>
      </c>
      <c r="I121" s="181">
        <v>4647.8769560000001</v>
      </c>
      <c r="J121" s="181">
        <v>5123.1117279999999</v>
      </c>
      <c r="K121" s="181">
        <v>5068.1443870000003</v>
      </c>
      <c r="L121" s="181">
        <v>4995.5062809999999</v>
      </c>
      <c r="M121" s="181">
        <v>4530.6687620000002</v>
      </c>
      <c r="N121" s="181">
        <v>3427.5262950000001</v>
      </c>
      <c r="O121" s="181">
        <v>4349.8902129999997</v>
      </c>
      <c r="P121" s="181">
        <v>5289.1958240000004</v>
      </c>
      <c r="Q121" s="181">
        <v>4885.6830239999999</v>
      </c>
      <c r="R121" s="181">
        <v>5174.9451150000004</v>
      </c>
      <c r="S121" s="181">
        <v>4085.604789</v>
      </c>
      <c r="T121" s="181">
        <v>3078.9784669999999</v>
      </c>
      <c r="U121" s="181">
        <v>3621.3812859999998</v>
      </c>
      <c r="V121" s="181">
        <v>5159.0193049999998</v>
      </c>
      <c r="W121" s="181">
        <v>5151.9122530000004</v>
      </c>
      <c r="X121" s="181">
        <v>4871.2094020000004</v>
      </c>
      <c r="Y121" s="181">
        <v>4528.3442359999999</v>
      </c>
      <c r="Z121" s="181">
        <v>4654.2524999999996</v>
      </c>
    </row>
    <row r="122" spans="1:26">
      <c r="A122" s="180" t="s">
        <v>4</v>
      </c>
      <c r="B122" s="181">
        <v>3875.2183620000001</v>
      </c>
      <c r="C122" s="181">
        <v>2845.2103820000002</v>
      </c>
      <c r="D122" s="181">
        <v>3075.0126260000002</v>
      </c>
      <c r="E122" s="181">
        <v>2246.7762189999999</v>
      </c>
      <c r="F122" s="181">
        <v>824.57770700000003</v>
      </c>
      <c r="G122" s="181">
        <v>722.87866599999995</v>
      </c>
      <c r="H122" s="181">
        <v>342.70352400000002</v>
      </c>
      <c r="I122" s="181">
        <v>416.29855400000002</v>
      </c>
      <c r="J122" s="181">
        <v>660.87899600000003</v>
      </c>
      <c r="K122" s="181">
        <v>340.84407900000002</v>
      </c>
      <c r="L122" s="181">
        <v>443.178541</v>
      </c>
      <c r="M122" s="181">
        <v>675.29856600000005</v>
      </c>
      <c r="N122" s="181">
        <v>548.13411599999995</v>
      </c>
      <c r="O122" s="181">
        <v>374.11610899999999</v>
      </c>
      <c r="P122" s="181">
        <v>869.06686000000002</v>
      </c>
      <c r="Q122" s="181">
        <v>822.66154500000005</v>
      </c>
      <c r="R122" s="181">
        <v>476.52099399999997</v>
      </c>
      <c r="S122" s="181">
        <v>306.83838200000002</v>
      </c>
      <c r="T122" s="181">
        <v>244.57665399999999</v>
      </c>
      <c r="U122" s="181">
        <v>362.74284999999998</v>
      </c>
      <c r="V122" s="181">
        <v>303.34445399999998</v>
      </c>
      <c r="W122" s="181">
        <v>338.34975300000002</v>
      </c>
      <c r="X122" s="181">
        <v>282.63350100000002</v>
      </c>
      <c r="Y122" s="181">
        <v>235.10996900000001</v>
      </c>
      <c r="Z122" s="181">
        <v>340.17090000000002</v>
      </c>
    </row>
    <row r="123" spans="1:26">
      <c r="A123" s="180" t="s">
        <v>95</v>
      </c>
      <c r="B123" s="181">
        <v>0</v>
      </c>
      <c r="C123" s="181">
        <v>0</v>
      </c>
      <c r="D123" s="181">
        <v>0</v>
      </c>
      <c r="E123" s="181">
        <v>0</v>
      </c>
      <c r="F123" s="181">
        <v>0</v>
      </c>
      <c r="G123" s="181">
        <v>9.9999999999999995E-7</v>
      </c>
      <c r="H123" s="181">
        <v>-9.9999999999999995E-7</v>
      </c>
      <c r="I123" s="181">
        <v>0</v>
      </c>
      <c r="J123" s="181">
        <v>0</v>
      </c>
      <c r="K123" s="181">
        <v>-9.9999999999999995E-7</v>
      </c>
      <c r="L123" s="181">
        <v>9.9999999999999995E-7</v>
      </c>
      <c r="M123" s="181">
        <v>-9.9999999999999995E-7</v>
      </c>
      <c r="N123" s="181">
        <v>0</v>
      </c>
      <c r="O123" s="181">
        <v>0</v>
      </c>
      <c r="P123" s="181">
        <v>0</v>
      </c>
      <c r="Q123" s="181">
        <v>0</v>
      </c>
      <c r="R123" s="181">
        <v>9.9999999999999995E-7</v>
      </c>
      <c r="S123" s="181">
        <v>0</v>
      </c>
      <c r="T123" s="181">
        <v>-9.9999999999999995E-7</v>
      </c>
      <c r="U123" s="181">
        <v>0</v>
      </c>
      <c r="V123" s="181">
        <v>0</v>
      </c>
      <c r="W123" s="181">
        <v>0</v>
      </c>
      <c r="X123" s="181">
        <v>0</v>
      </c>
      <c r="Y123" s="181">
        <v>0</v>
      </c>
      <c r="Z123" s="181">
        <v>0</v>
      </c>
    </row>
    <row r="124" spans="1:26">
      <c r="A124" s="180" t="s">
        <v>11</v>
      </c>
      <c r="B124" s="181">
        <v>3160.857532</v>
      </c>
      <c r="C124" s="181">
        <v>2896.6909179999998</v>
      </c>
      <c r="D124" s="181">
        <v>3198.741031</v>
      </c>
      <c r="E124" s="181">
        <v>2453.2141339999998</v>
      </c>
      <c r="F124" s="181">
        <v>2128.911576</v>
      </c>
      <c r="G124" s="181">
        <v>2714.2505219999998</v>
      </c>
      <c r="H124" s="181">
        <v>3899.400517</v>
      </c>
      <c r="I124" s="181">
        <v>5107.4552830000002</v>
      </c>
      <c r="J124" s="181">
        <v>6956.6262459999998</v>
      </c>
      <c r="K124" s="181">
        <v>7016.5746319999998</v>
      </c>
      <c r="L124" s="181">
        <v>5427.2638960000004</v>
      </c>
      <c r="M124" s="181">
        <v>5624.8074539999998</v>
      </c>
      <c r="N124" s="181">
        <v>3860.487071</v>
      </c>
      <c r="O124" s="181">
        <v>2755.5232569999998</v>
      </c>
      <c r="P124" s="181">
        <v>3272.2781909999999</v>
      </c>
      <c r="Q124" s="181">
        <v>2388.4234710000001</v>
      </c>
      <c r="R124" s="181">
        <v>1386.2401649999999</v>
      </c>
      <c r="S124" s="181">
        <v>1731.0447300000001</v>
      </c>
      <c r="T124" s="181">
        <v>2018.170026</v>
      </c>
      <c r="U124" s="181">
        <v>3556.6723459999998</v>
      </c>
      <c r="V124" s="181">
        <v>5829.9045759999999</v>
      </c>
      <c r="W124" s="181">
        <v>5051.1759540000003</v>
      </c>
      <c r="X124" s="181">
        <v>4546.4520769999999</v>
      </c>
      <c r="Y124" s="181">
        <v>2791.4263310000001</v>
      </c>
      <c r="Z124" s="181">
        <v>3232.4526000000001</v>
      </c>
    </row>
    <row r="125" spans="1:26">
      <c r="A125" s="180" t="s">
        <v>5</v>
      </c>
      <c r="B125" s="181">
        <v>4526.0070180000002</v>
      </c>
      <c r="C125" s="181">
        <v>4319.0333719999999</v>
      </c>
      <c r="D125" s="181">
        <v>5970.6822620000003</v>
      </c>
      <c r="E125" s="181">
        <v>3646.796961</v>
      </c>
      <c r="F125" s="181">
        <v>4823.647892</v>
      </c>
      <c r="G125" s="181">
        <v>4595.9458759999998</v>
      </c>
      <c r="H125" s="181">
        <v>4580.991387</v>
      </c>
      <c r="I125" s="181">
        <v>3212.811933</v>
      </c>
      <c r="J125" s="181">
        <v>3282.4549670000001</v>
      </c>
      <c r="K125" s="181">
        <v>2731.9189540000002</v>
      </c>
      <c r="L125" s="181">
        <v>3794.4408159999998</v>
      </c>
      <c r="M125" s="181">
        <v>3719.9329819999998</v>
      </c>
      <c r="N125" s="181">
        <v>7333.0039489999999</v>
      </c>
      <c r="O125" s="181">
        <v>5408.226525</v>
      </c>
      <c r="P125" s="181">
        <v>4566.2618409999995</v>
      </c>
      <c r="Q125" s="181">
        <v>4177.8229469999997</v>
      </c>
      <c r="R125" s="181">
        <v>5503.3027240000001</v>
      </c>
      <c r="S125" s="181">
        <v>3639.4121740000001</v>
      </c>
      <c r="T125" s="181">
        <v>3893.3025899999998</v>
      </c>
      <c r="U125" s="181">
        <v>3239.7574049999998</v>
      </c>
      <c r="V125" s="181">
        <v>4098.9654170000003</v>
      </c>
      <c r="W125" s="181">
        <v>3508.2136180000002</v>
      </c>
      <c r="X125" s="181">
        <v>3861.739051</v>
      </c>
      <c r="Y125" s="181">
        <v>5668.7251050000004</v>
      </c>
      <c r="Z125" s="181">
        <v>4149.5803999999998</v>
      </c>
    </row>
    <row r="126" spans="1:26">
      <c r="A126" s="180" t="s">
        <v>6</v>
      </c>
      <c r="B126" s="181">
        <v>354.26862799999998</v>
      </c>
      <c r="C126" s="181">
        <v>404.732145</v>
      </c>
      <c r="D126" s="181">
        <v>482.13161500000001</v>
      </c>
      <c r="E126" s="181">
        <v>604.07747800000004</v>
      </c>
      <c r="F126" s="181">
        <v>776.41137100000003</v>
      </c>
      <c r="G126" s="181">
        <v>668.27649899999994</v>
      </c>
      <c r="H126" s="181">
        <v>898.00119700000005</v>
      </c>
      <c r="I126" s="181">
        <v>897.87639000000001</v>
      </c>
      <c r="J126" s="181">
        <v>961.45264399999996</v>
      </c>
      <c r="K126" s="181">
        <v>975.19046400000002</v>
      </c>
      <c r="L126" s="181">
        <v>827.93207900000004</v>
      </c>
      <c r="M126" s="181">
        <v>764.70668699999999</v>
      </c>
      <c r="N126" s="181">
        <v>501.06963000000002</v>
      </c>
      <c r="O126" s="181">
        <v>494.84732300000002</v>
      </c>
      <c r="P126" s="181">
        <v>600.39744800000005</v>
      </c>
      <c r="Q126" s="181">
        <v>944.08554600000002</v>
      </c>
      <c r="R126" s="181">
        <v>1036.1513669999999</v>
      </c>
      <c r="S126" s="181">
        <v>1114.1793740000001</v>
      </c>
      <c r="T126" s="181">
        <v>1592.9087930000001</v>
      </c>
      <c r="U126" s="181">
        <v>1758.5537770000001</v>
      </c>
      <c r="V126" s="181">
        <v>1862.4341910000001</v>
      </c>
      <c r="W126" s="181">
        <v>1768.5077249999999</v>
      </c>
      <c r="X126" s="181">
        <v>1421.280176</v>
      </c>
      <c r="Y126" s="181">
        <v>1273.972949</v>
      </c>
      <c r="Z126" s="181">
        <v>789.42206363100001</v>
      </c>
    </row>
    <row r="127" spans="1:26">
      <c r="A127" s="180" t="s">
        <v>7</v>
      </c>
      <c r="B127" s="181">
        <v>78.576116999999996</v>
      </c>
      <c r="C127" s="181">
        <v>109.57487399999999</v>
      </c>
      <c r="D127" s="181">
        <v>166.15012899999999</v>
      </c>
      <c r="E127" s="181">
        <v>261.97860300000002</v>
      </c>
      <c r="F127" s="181">
        <v>477.846093</v>
      </c>
      <c r="G127" s="181">
        <v>379.26881700000001</v>
      </c>
      <c r="H127" s="181">
        <v>740.99772700000005</v>
      </c>
      <c r="I127" s="181">
        <v>775.05760599999996</v>
      </c>
      <c r="J127" s="181">
        <v>722.86748999999998</v>
      </c>
      <c r="K127" s="181">
        <v>745.49877100000003</v>
      </c>
      <c r="L127" s="181">
        <v>454.73186500000003</v>
      </c>
      <c r="M127" s="181">
        <v>303.08525700000001</v>
      </c>
      <c r="N127" s="181">
        <v>69.970612000000003</v>
      </c>
      <c r="O127" s="181">
        <v>68.978174999999993</v>
      </c>
      <c r="P127" s="181">
        <v>85.969313</v>
      </c>
      <c r="Q127" s="181">
        <v>227.955996</v>
      </c>
      <c r="R127" s="181">
        <v>235.96742</v>
      </c>
      <c r="S127" s="181">
        <v>206.86543699999999</v>
      </c>
      <c r="T127" s="181">
        <v>552.48475099999996</v>
      </c>
      <c r="U127" s="181">
        <v>711.64684799999998</v>
      </c>
      <c r="V127" s="181">
        <v>796.17204200000003</v>
      </c>
      <c r="W127" s="181">
        <v>744.54166099999998</v>
      </c>
      <c r="X127" s="181">
        <v>452.15903400000002</v>
      </c>
      <c r="Y127" s="181">
        <v>340.27470899999997</v>
      </c>
      <c r="Z127" s="181">
        <v>123.95233636899999</v>
      </c>
    </row>
    <row r="128" spans="1:26">
      <c r="A128" s="180" t="s">
        <v>8</v>
      </c>
      <c r="B128" s="181">
        <v>292.56813</v>
      </c>
      <c r="C128" s="181">
        <v>299.41570200000001</v>
      </c>
      <c r="D128" s="181">
        <v>303.48312600000003</v>
      </c>
      <c r="E128" s="181">
        <v>284.79867300000001</v>
      </c>
      <c r="F128" s="181">
        <v>309.41400099999998</v>
      </c>
      <c r="G128" s="181">
        <v>274.24438400000003</v>
      </c>
      <c r="H128" s="181">
        <v>282.125969</v>
      </c>
      <c r="I128" s="181">
        <v>285.68225699999999</v>
      </c>
      <c r="J128" s="181">
        <v>325.85171400000002</v>
      </c>
      <c r="K128" s="181">
        <v>320.61878899999999</v>
      </c>
      <c r="L128" s="181">
        <v>301.518664</v>
      </c>
      <c r="M128" s="181">
        <v>310.9246</v>
      </c>
      <c r="N128" s="181">
        <v>308.17036200000001</v>
      </c>
      <c r="O128" s="181">
        <v>299.96974799999998</v>
      </c>
      <c r="P128" s="181">
        <v>334.00257699999997</v>
      </c>
      <c r="Q128" s="181">
        <v>344.27402000000001</v>
      </c>
      <c r="R128" s="181">
        <v>345.27097199999997</v>
      </c>
      <c r="S128" s="181">
        <v>336.454024</v>
      </c>
      <c r="T128" s="181">
        <v>385.38923699999998</v>
      </c>
      <c r="U128" s="181">
        <v>378.80650600000001</v>
      </c>
      <c r="V128" s="181">
        <v>348.45388100000002</v>
      </c>
      <c r="W128" s="181">
        <v>367.45549899999997</v>
      </c>
      <c r="X128" s="181">
        <v>394.85902099999998</v>
      </c>
      <c r="Y128" s="181">
        <v>413.99197600000002</v>
      </c>
      <c r="Z128" s="181">
        <v>406.75990000000002</v>
      </c>
    </row>
    <row r="129" spans="1:26">
      <c r="A129" s="180" t="s">
        <v>9</v>
      </c>
      <c r="B129" s="181">
        <v>2472.1865079999998</v>
      </c>
      <c r="C129" s="181">
        <v>2529.9413220000001</v>
      </c>
      <c r="D129" s="181">
        <v>2671.4589550000001</v>
      </c>
      <c r="E129" s="181">
        <v>2391.3661729999999</v>
      </c>
      <c r="F129" s="181">
        <v>2591.3057229999999</v>
      </c>
      <c r="G129" s="181">
        <v>2489.5602039999999</v>
      </c>
      <c r="H129" s="181">
        <v>2544.944947</v>
      </c>
      <c r="I129" s="181">
        <v>2420.4633720000002</v>
      </c>
      <c r="J129" s="181">
        <v>2458.0859449999998</v>
      </c>
      <c r="K129" s="181">
        <v>2355.228345</v>
      </c>
      <c r="L129" s="181">
        <v>2354.323535</v>
      </c>
      <c r="M129" s="181">
        <v>2493.6785410000002</v>
      </c>
      <c r="N129" s="181">
        <v>2467.9510030000001</v>
      </c>
      <c r="O129" s="181">
        <v>2342.3448360000002</v>
      </c>
      <c r="P129" s="181">
        <v>2436.1478390000002</v>
      </c>
      <c r="Q129" s="181">
        <v>2231.4833699999999</v>
      </c>
      <c r="R129" s="181">
        <v>2231.357293</v>
      </c>
      <c r="S129" s="181">
        <v>1925.2418520000001</v>
      </c>
      <c r="T129" s="181">
        <v>2084.3367929999999</v>
      </c>
      <c r="U129" s="181">
        <v>2185.8913440000001</v>
      </c>
      <c r="V129" s="181">
        <v>2299.6183460000002</v>
      </c>
      <c r="W129" s="181">
        <v>2189.017257</v>
      </c>
      <c r="X129" s="181">
        <v>2398.8736269999999</v>
      </c>
      <c r="Y129" s="181">
        <v>2351.5301490000002</v>
      </c>
      <c r="Z129" s="181">
        <v>2400.6185</v>
      </c>
    </row>
    <row r="130" spans="1:26">
      <c r="A130" s="180" t="s">
        <v>69</v>
      </c>
      <c r="B130" s="181">
        <v>61.593868999999998</v>
      </c>
      <c r="C130" s="181">
        <v>69.912847999999997</v>
      </c>
      <c r="D130" s="181">
        <v>63.503646000000003</v>
      </c>
      <c r="E130" s="181">
        <v>61.891773000000001</v>
      </c>
      <c r="F130" s="181">
        <v>67.360605500000005</v>
      </c>
      <c r="G130" s="181">
        <v>64.179035999999996</v>
      </c>
      <c r="H130" s="181">
        <v>36.450611000000002</v>
      </c>
      <c r="I130" s="181">
        <v>62.621202500000003</v>
      </c>
      <c r="J130" s="181">
        <v>65.608477500000006</v>
      </c>
      <c r="K130" s="181">
        <v>66.150598000000002</v>
      </c>
      <c r="L130" s="181">
        <v>63.723962499999999</v>
      </c>
      <c r="M130" s="181">
        <v>61.976173000000003</v>
      </c>
      <c r="N130" s="181">
        <v>60.149876499999998</v>
      </c>
      <c r="O130" s="181">
        <v>65.337529000000004</v>
      </c>
      <c r="P130" s="181">
        <v>55.184336000000002</v>
      </c>
      <c r="Q130" s="181">
        <v>55.978365500000002</v>
      </c>
      <c r="R130" s="181">
        <v>51.389567499999998</v>
      </c>
      <c r="S130" s="181">
        <v>29.749654499999998</v>
      </c>
      <c r="T130" s="181">
        <v>30.791229000000001</v>
      </c>
      <c r="U130" s="181">
        <v>27.458276000000001</v>
      </c>
      <c r="V130" s="181">
        <v>31.820180000000001</v>
      </c>
      <c r="W130" s="181">
        <v>66.037119500000003</v>
      </c>
      <c r="X130" s="181">
        <v>58.507686499999998</v>
      </c>
      <c r="Y130" s="181">
        <v>64.967821499999999</v>
      </c>
      <c r="Z130" s="181">
        <v>67.192899999999995</v>
      </c>
    </row>
    <row r="131" spans="1:26">
      <c r="A131" s="180" t="s">
        <v>70</v>
      </c>
      <c r="B131" s="181">
        <v>191.94905</v>
      </c>
      <c r="C131" s="181">
        <v>190.76081500000001</v>
      </c>
      <c r="D131" s="181">
        <v>196.595054</v>
      </c>
      <c r="E131" s="181">
        <v>180.749244</v>
      </c>
      <c r="F131" s="181">
        <v>200.77951049999999</v>
      </c>
      <c r="G131" s="181">
        <v>175.342614</v>
      </c>
      <c r="H131" s="181">
        <v>154.68218999999999</v>
      </c>
      <c r="I131" s="181">
        <v>156.89450450000001</v>
      </c>
      <c r="J131" s="181">
        <v>161.3076265</v>
      </c>
      <c r="K131" s="181">
        <v>182.311137</v>
      </c>
      <c r="L131" s="181">
        <v>188.01692750000001</v>
      </c>
      <c r="M131" s="181">
        <v>169.348387</v>
      </c>
      <c r="N131" s="181">
        <v>144.5833825</v>
      </c>
      <c r="O131" s="181">
        <v>160.99247</v>
      </c>
      <c r="P131" s="181">
        <v>157.97660099999999</v>
      </c>
      <c r="Q131" s="181">
        <v>163.5454105</v>
      </c>
      <c r="R131" s="181">
        <v>166.0983985</v>
      </c>
      <c r="S131" s="181">
        <v>134.23411250000001</v>
      </c>
      <c r="T131" s="181">
        <v>139.503086</v>
      </c>
      <c r="U131" s="181">
        <v>134.24086700000001</v>
      </c>
      <c r="V131" s="181">
        <v>129.766637</v>
      </c>
      <c r="W131" s="181">
        <v>178.9639675</v>
      </c>
      <c r="X131" s="181">
        <v>173.89508950000001</v>
      </c>
      <c r="Y131" s="181">
        <v>156.50662750000001</v>
      </c>
      <c r="Z131" s="181">
        <v>178.09399999999999</v>
      </c>
    </row>
    <row r="132" spans="1:26">
      <c r="A132" s="183" t="s">
        <v>10</v>
      </c>
      <c r="B132" s="184">
        <v>21143.744718702001</v>
      </c>
      <c r="C132" s="184">
        <v>20570.940449220001</v>
      </c>
      <c r="D132" s="184">
        <v>23456.305547982</v>
      </c>
      <c r="E132" s="184">
        <v>19566.203000498001</v>
      </c>
      <c r="F132" s="184">
        <v>19789.59821321</v>
      </c>
      <c r="G132" s="184">
        <v>18760.845037007999</v>
      </c>
      <c r="H132" s="184">
        <v>19517.208566091998</v>
      </c>
      <c r="I132" s="184">
        <v>19664.390160658</v>
      </c>
      <c r="J132" s="184">
        <v>22324.497564159999</v>
      </c>
      <c r="K132" s="184">
        <v>21127.833004888002</v>
      </c>
      <c r="L132" s="184">
        <v>20179.883224567999</v>
      </c>
      <c r="M132" s="184">
        <v>19892.48809527</v>
      </c>
      <c r="N132" s="184">
        <v>21556.189304470001</v>
      </c>
      <c r="O132" s="184">
        <v>21281.078610050001</v>
      </c>
      <c r="P132" s="184">
        <v>21628.289005981998</v>
      </c>
      <c r="Q132" s="184">
        <v>19309.408760851999</v>
      </c>
      <c r="R132" s="184">
        <v>20023.431264334002</v>
      </c>
      <c r="S132" s="184">
        <v>16685.116102576001</v>
      </c>
      <c r="T132" s="184">
        <v>17122.893466811998</v>
      </c>
      <c r="U132" s="184">
        <v>18391.536358046</v>
      </c>
      <c r="V132" s="184">
        <v>22863.453982242001</v>
      </c>
      <c r="W132" s="184">
        <v>21403.100989644001</v>
      </c>
      <c r="X132" s="184">
        <v>20323.939667719998</v>
      </c>
      <c r="Y132" s="184">
        <v>19944.399084092001</v>
      </c>
      <c r="Z132" s="184">
        <v>19022.011600000002</v>
      </c>
    </row>
    <row r="133" spans="1:26">
      <c r="A133" s="180" t="s">
        <v>123</v>
      </c>
      <c r="B133" s="181">
        <v>-220.547036048</v>
      </c>
      <c r="C133" s="181">
        <v>-223.074538808</v>
      </c>
      <c r="D133" s="181">
        <v>-268.75495043199999</v>
      </c>
      <c r="E133" s="181">
        <v>-304.12485214399999</v>
      </c>
      <c r="F133" s="181">
        <v>-332.55576095800001</v>
      </c>
      <c r="G133" s="181">
        <v>-213.481917952</v>
      </c>
      <c r="H133" s="181">
        <v>-222.71179390399999</v>
      </c>
      <c r="I133" s="181">
        <v>-70.794484952000005</v>
      </c>
      <c r="J133" s="181">
        <v>-79.229421951999996</v>
      </c>
      <c r="K133" s="181">
        <v>-113.611379904</v>
      </c>
      <c r="L133" s="181">
        <v>-188.46613504800001</v>
      </c>
      <c r="M133" s="181">
        <v>-180.30089699999999</v>
      </c>
      <c r="N133" s="181">
        <v>-350.171471</v>
      </c>
      <c r="O133" s="181">
        <v>-703.10755800000004</v>
      </c>
      <c r="P133" s="181">
        <v>-399.378153</v>
      </c>
      <c r="Q133" s="181">
        <v>-392.60482500000001</v>
      </c>
      <c r="R133" s="181">
        <v>-600.24192497599995</v>
      </c>
      <c r="S133" s="181">
        <v>-679.70917919199997</v>
      </c>
      <c r="T133" s="181">
        <v>-366.54343990900003</v>
      </c>
      <c r="U133" s="181">
        <v>-213.878454</v>
      </c>
      <c r="V133" s="181">
        <v>-303.17795204800001</v>
      </c>
      <c r="W133" s="181">
        <v>-310.87359900000001</v>
      </c>
      <c r="X133" s="181">
        <v>-221.67967400000001</v>
      </c>
      <c r="Y133" s="181">
        <v>-360.26088199999998</v>
      </c>
      <c r="Z133" s="181">
        <v>-293.66879999999998</v>
      </c>
    </row>
    <row r="134" spans="1:26">
      <c r="A134" s="180" t="s">
        <v>97</v>
      </c>
      <c r="B134" s="181">
        <v>-65.068314999999998</v>
      </c>
      <c r="C134" s="181">
        <v>-112.575441</v>
      </c>
      <c r="D134" s="181">
        <v>-137.254998</v>
      </c>
      <c r="E134" s="181">
        <v>-119.223619</v>
      </c>
      <c r="F134" s="181">
        <v>-122.32533599999999</v>
      </c>
      <c r="G134" s="181">
        <v>-124.430774</v>
      </c>
      <c r="H134" s="181">
        <v>-143.16130000000001</v>
      </c>
      <c r="I134" s="181">
        <v>-159.634671</v>
      </c>
      <c r="J134" s="181">
        <v>-201.16611399999999</v>
      </c>
      <c r="K134" s="181">
        <v>-185.76976199999999</v>
      </c>
      <c r="L134" s="181">
        <v>-153.19726600000001</v>
      </c>
      <c r="M134" s="181">
        <v>-137.66557</v>
      </c>
      <c r="N134" s="181">
        <v>-91.396833999999998</v>
      </c>
      <c r="O134" s="181">
        <v>-119.614278</v>
      </c>
      <c r="P134" s="181">
        <v>-136.155901</v>
      </c>
      <c r="Q134" s="181">
        <v>-115.92849699999999</v>
      </c>
      <c r="R134" s="181">
        <v>-112.780382</v>
      </c>
      <c r="S134" s="181">
        <v>-80.581305999999998</v>
      </c>
      <c r="T134" s="181">
        <v>-79.946523999999997</v>
      </c>
      <c r="U134" s="181">
        <v>-93.289579000000003</v>
      </c>
      <c r="V134" s="181">
        <v>-168.331695</v>
      </c>
      <c r="W134" s="181">
        <v>-182.71595500000001</v>
      </c>
      <c r="X134" s="181">
        <v>-116.274961</v>
      </c>
      <c r="Y134" s="181">
        <v>-105.943506</v>
      </c>
      <c r="Z134" s="181">
        <v>-96.525000000000006</v>
      </c>
    </row>
    <row r="135" spans="1:26">
      <c r="A135" s="180" t="s">
        <v>124</v>
      </c>
      <c r="B135" s="181">
        <v>44.679403999999998</v>
      </c>
      <c r="C135" s="181">
        <v>939.18599800000004</v>
      </c>
      <c r="D135" s="181">
        <v>246.35344599999999</v>
      </c>
      <c r="E135" s="181">
        <v>1011.7751479999999</v>
      </c>
      <c r="F135" s="181">
        <v>1392.1786890000001</v>
      </c>
      <c r="G135" s="181">
        <v>1091.119678</v>
      </c>
      <c r="H135" s="181">
        <v>747.80053699999996</v>
      </c>
      <c r="I135" s="181">
        <v>536.87445300000002</v>
      </c>
      <c r="J135" s="181">
        <v>657.10206200000005</v>
      </c>
      <c r="K135" s="181">
        <v>348.80169899999999</v>
      </c>
      <c r="L135" s="181">
        <v>97.964608999999996</v>
      </c>
      <c r="M135" s="181">
        <v>580.94192099999998</v>
      </c>
      <c r="N135" s="181">
        <v>-297.39445499999999</v>
      </c>
      <c r="O135" s="181">
        <v>448.80726199999998</v>
      </c>
      <c r="P135" s="181">
        <v>1482.378827</v>
      </c>
      <c r="Q135" s="181">
        <v>1035.7817219999999</v>
      </c>
      <c r="R135" s="181">
        <v>493.77581300000003</v>
      </c>
      <c r="S135" s="181">
        <v>232.43756099999999</v>
      </c>
      <c r="T135" s="181">
        <v>683.67150800000002</v>
      </c>
      <c r="U135" s="181">
        <v>268.89827500000001</v>
      </c>
      <c r="V135" s="181">
        <v>-450.84462000000002</v>
      </c>
      <c r="W135" s="181">
        <v>-239.66814099999999</v>
      </c>
      <c r="X135" s="181">
        <v>-625.62728200000004</v>
      </c>
      <c r="Y135" s="181">
        <v>108.16498300000001</v>
      </c>
      <c r="Z135" s="181">
        <v>1106.4422999999999</v>
      </c>
    </row>
    <row r="136" spans="1:26">
      <c r="A136" s="183" t="s">
        <v>125</v>
      </c>
      <c r="B136" s="184">
        <v>20902.808771653999</v>
      </c>
      <c r="C136" s="184">
        <v>21174.476467412002</v>
      </c>
      <c r="D136" s="184">
        <v>23296.649045549999</v>
      </c>
      <c r="E136" s="184">
        <v>20154.629677354002</v>
      </c>
      <c r="F136" s="184">
        <v>20726.895805251999</v>
      </c>
      <c r="G136" s="184">
        <v>19514.052023056</v>
      </c>
      <c r="H136" s="184">
        <v>19899.136009188001</v>
      </c>
      <c r="I136" s="184">
        <v>19970.835457706002</v>
      </c>
      <c r="J136" s="184">
        <v>22701.204090208001</v>
      </c>
      <c r="K136" s="184">
        <v>21177.253561983998</v>
      </c>
      <c r="L136" s="184">
        <v>19936.18443252</v>
      </c>
      <c r="M136" s="184">
        <v>20155.46354927</v>
      </c>
      <c r="N136" s="184">
        <v>20817.226544469999</v>
      </c>
      <c r="O136" s="184">
        <v>20907.164036049999</v>
      </c>
      <c r="P136" s="184">
        <v>22575.133778981999</v>
      </c>
      <c r="Q136" s="184">
        <v>19836.657160851999</v>
      </c>
      <c r="R136" s="184">
        <v>19804.184770357999</v>
      </c>
      <c r="S136" s="184">
        <v>16157.263178384001</v>
      </c>
      <c r="T136" s="184">
        <v>17360.075010903001</v>
      </c>
      <c r="U136" s="184">
        <v>18353.266600046001</v>
      </c>
      <c r="V136" s="184">
        <v>21941.099715193999</v>
      </c>
      <c r="W136" s="184">
        <v>20669.843294644001</v>
      </c>
      <c r="X136" s="184">
        <v>19360.357750719999</v>
      </c>
      <c r="Y136" s="184">
        <v>19586.359679091998</v>
      </c>
      <c r="Z136" s="184">
        <v>19738.2601</v>
      </c>
    </row>
    <row r="140" spans="1:26" s="193" customFormat="1" ht="12">
      <c r="A140" s="199" t="s">
        <v>30</v>
      </c>
      <c r="B140" s="199" t="str">
        <f t="shared" ref="B140:N140" si="6">MID(UPPER(TEXT(B141,"mmm")),1,1)</f>
        <v>N</v>
      </c>
      <c r="C140" s="199" t="str">
        <f t="shared" si="6"/>
        <v>D</v>
      </c>
      <c r="D140" s="199" t="str">
        <f t="shared" si="6"/>
        <v>E</v>
      </c>
      <c r="E140" s="199" t="str">
        <f t="shared" si="6"/>
        <v>F</v>
      </c>
      <c r="F140" s="199" t="str">
        <f t="shared" si="6"/>
        <v>M</v>
      </c>
      <c r="G140" s="199" t="str">
        <f t="shared" si="6"/>
        <v>A</v>
      </c>
      <c r="H140" s="199" t="str">
        <f t="shared" si="6"/>
        <v>M</v>
      </c>
      <c r="I140" s="199" t="str">
        <f t="shared" si="6"/>
        <v>J</v>
      </c>
      <c r="J140" s="199" t="str">
        <f t="shared" si="6"/>
        <v>J</v>
      </c>
      <c r="K140" s="199" t="str">
        <f t="shared" si="6"/>
        <v>A</v>
      </c>
      <c r="L140" s="199" t="str">
        <f t="shared" si="6"/>
        <v>S</v>
      </c>
      <c r="M140" s="199" t="str">
        <f t="shared" si="6"/>
        <v>O</v>
      </c>
      <c r="N140" s="199" t="str">
        <f t="shared" si="6"/>
        <v>N</v>
      </c>
    </row>
    <row r="141" spans="1:26" s="193" customFormat="1" ht="12">
      <c r="A141" s="199" t="s">
        <v>112</v>
      </c>
      <c r="B141" s="199" t="str">
        <f t="shared" ref="B141:M141" si="7">TEXT(EDATE(C141,-1),"mmmm aaaa")</f>
        <v>noviembre 2019</v>
      </c>
      <c r="C141" s="199" t="str">
        <f t="shared" si="7"/>
        <v>diciembre 2019</v>
      </c>
      <c r="D141" s="199" t="str">
        <f t="shared" si="7"/>
        <v>enero 2020</v>
      </c>
      <c r="E141" s="199" t="str">
        <f t="shared" si="7"/>
        <v>febrero 2020</v>
      </c>
      <c r="F141" s="199" t="str">
        <f t="shared" si="7"/>
        <v>marzo 2020</v>
      </c>
      <c r="G141" s="199" t="str">
        <f t="shared" si="7"/>
        <v>abril 2020</v>
      </c>
      <c r="H141" s="199" t="str">
        <f t="shared" si="7"/>
        <v>mayo 2020</v>
      </c>
      <c r="I141" s="199" t="str">
        <f t="shared" si="7"/>
        <v>junio 2020</v>
      </c>
      <c r="J141" s="199" t="str">
        <f t="shared" si="7"/>
        <v>julio 2020</v>
      </c>
      <c r="K141" s="199" t="str">
        <f t="shared" si="7"/>
        <v>agosto 2020</v>
      </c>
      <c r="L141" s="199" t="str">
        <f t="shared" si="7"/>
        <v>septiembre 2020</v>
      </c>
      <c r="M141" s="199" t="str">
        <f t="shared" si="7"/>
        <v>octubre 2020</v>
      </c>
      <c r="N141" s="199" t="str">
        <f>A2</f>
        <v>Noviembre 2020</v>
      </c>
    </row>
    <row r="142" spans="1:26" s="196" customFormat="1" ht="12">
      <c r="A142" s="194" t="s">
        <v>2</v>
      </c>
      <c r="B142" s="195">
        <f t="shared" ref="B142:N142" si="8">HLOOKUP(B$141,$117:$133,3,FALSE)</f>
        <v>2663.0366552999999</v>
      </c>
      <c r="C142" s="195">
        <f t="shared" si="8"/>
        <v>4638.9097267759998</v>
      </c>
      <c r="D142" s="195">
        <f t="shared" si="8"/>
        <v>3728.0292889299999</v>
      </c>
      <c r="E142" s="195">
        <f t="shared" si="8"/>
        <v>2837.657916438</v>
      </c>
      <c r="F142" s="195">
        <f t="shared" si="8"/>
        <v>3112.6634564460001</v>
      </c>
      <c r="G142" s="195">
        <f t="shared" si="8"/>
        <v>2861.140589526</v>
      </c>
      <c r="H142" s="195">
        <f t="shared" si="8"/>
        <v>2858.8119126259999</v>
      </c>
      <c r="I142" s="195">
        <f t="shared" si="8"/>
        <v>2261.9890331500001</v>
      </c>
      <c r="J142" s="195">
        <f t="shared" si="8"/>
        <v>1836.794019208</v>
      </c>
      <c r="K142" s="195">
        <f t="shared" si="8"/>
        <v>1880.071061444</v>
      </c>
      <c r="L142" s="195">
        <f t="shared" si="8"/>
        <v>1674.6629713719999</v>
      </c>
      <c r="M142" s="195">
        <f t="shared" si="8"/>
        <v>1889.582088462</v>
      </c>
      <c r="N142" s="195">
        <f t="shared" si="8"/>
        <v>2481.4675999999999</v>
      </c>
    </row>
    <row r="143" spans="1:26" s="196" customFormat="1" ht="12">
      <c r="A143" s="194" t="s">
        <v>81</v>
      </c>
      <c r="B143" s="195">
        <f t="shared" ref="B143:N143" si="9">HLOOKUP(B$141,$117:$133,4,FALSE)</f>
        <v>172.10635217000001</v>
      </c>
      <c r="C143" s="195">
        <f t="shared" si="9"/>
        <v>321.94269827400001</v>
      </c>
      <c r="D143" s="195">
        <f t="shared" si="9"/>
        <v>233.77888705199999</v>
      </c>
      <c r="E143" s="195">
        <f t="shared" si="9"/>
        <v>229.83714941400001</v>
      </c>
      <c r="F143" s="195">
        <f t="shared" si="9"/>
        <v>303.52379088800001</v>
      </c>
      <c r="G143" s="195">
        <f t="shared" si="9"/>
        <v>314.35098405000002</v>
      </c>
      <c r="H143" s="195">
        <f t="shared" si="9"/>
        <v>243.63992918599999</v>
      </c>
      <c r="I143" s="195">
        <f t="shared" si="9"/>
        <v>152.39581989600001</v>
      </c>
      <c r="J143" s="195">
        <f t="shared" si="9"/>
        <v>167.16093403400001</v>
      </c>
      <c r="K143" s="195">
        <f t="shared" si="9"/>
        <v>158.85512120000001</v>
      </c>
      <c r="L143" s="195">
        <f t="shared" si="9"/>
        <v>187.668031348</v>
      </c>
      <c r="M143" s="195">
        <f t="shared" si="9"/>
        <v>229.96712263000001</v>
      </c>
      <c r="N143" s="195">
        <f t="shared" si="9"/>
        <v>198.0479</v>
      </c>
    </row>
    <row r="144" spans="1:26" s="196" customFormat="1" ht="12">
      <c r="A144" s="194" t="s">
        <v>3</v>
      </c>
      <c r="B144" s="195">
        <f t="shared" ref="B144:N144" si="10">HLOOKUP(B$141,$117:$133,5,FALSE)</f>
        <v>3427.5262950000001</v>
      </c>
      <c r="C144" s="195">
        <f t="shared" si="10"/>
        <v>4349.8902129999997</v>
      </c>
      <c r="D144" s="195">
        <f t="shared" si="10"/>
        <v>5289.1958240000004</v>
      </c>
      <c r="E144" s="195">
        <f t="shared" si="10"/>
        <v>4885.6830239999999</v>
      </c>
      <c r="F144" s="195">
        <f t="shared" si="10"/>
        <v>5174.9451150000004</v>
      </c>
      <c r="G144" s="195">
        <f t="shared" si="10"/>
        <v>4085.604789</v>
      </c>
      <c r="H144" s="195">
        <f t="shared" si="10"/>
        <v>3078.9784669999999</v>
      </c>
      <c r="I144" s="195">
        <f t="shared" si="10"/>
        <v>3621.3812859999998</v>
      </c>
      <c r="J144" s="195">
        <f t="shared" si="10"/>
        <v>5159.0193049999998</v>
      </c>
      <c r="K144" s="195">
        <f t="shared" si="10"/>
        <v>5151.9122530000004</v>
      </c>
      <c r="L144" s="195">
        <f t="shared" si="10"/>
        <v>4871.2094020000004</v>
      </c>
      <c r="M144" s="195">
        <f t="shared" si="10"/>
        <v>4528.3442359999999</v>
      </c>
      <c r="N144" s="195">
        <f t="shared" si="10"/>
        <v>4654.2524999999996</v>
      </c>
    </row>
    <row r="145" spans="1:15" s="196" customFormat="1" ht="12">
      <c r="A145" s="194" t="s">
        <v>4</v>
      </c>
      <c r="B145" s="195">
        <f t="shared" ref="B145:N145" si="11">HLOOKUP(B$141,$117:$133,6,FALSE)</f>
        <v>548.13411599999995</v>
      </c>
      <c r="C145" s="195">
        <f t="shared" si="11"/>
        <v>374.11610899999999</v>
      </c>
      <c r="D145" s="195">
        <f t="shared" si="11"/>
        <v>869.06686000000002</v>
      </c>
      <c r="E145" s="195">
        <f t="shared" si="11"/>
        <v>822.66154500000005</v>
      </c>
      <c r="F145" s="195">
        <f t="shared" si="11"/>
        <v>476.52099399999997</v>
      </c>
      <c r="G145" s="195">
        <f t="shared" si="11"/>
        <v>306.83838200000002</v>
      </c>
      <c r="H145" s="195">
        <f t="shared" si="11"/>
        <v>244.57665399999999</v>
      </c>
      <c r="I145" s="195">
        <f t="shared" si="11"/>
        <v>362.74284999999998</v>
      </c>
      <c r="J145" s="195">
        <f t="shared" si="11"/>
        <v>303.34445399999998</v>
      </c>
      <c r="K145" s="195">
        <f t="shared" si="11"/>
        <v>338.34975300000002</v>
      </c>
      <c r="L145" s="195">
        <f t="shared" si="11"/>
        <v>282.63350100000002</v>
      </c>
      <c r="M145" s="195">
        <f t="shared" si="11"/>
        <v>235.10996900000001</v>
      </c>
      <c r="N145" s="195">
        <f t="shared" si="11"/>
        <v>340.17090000000002</v>
      </c>
    </row>
    <row r="146" spans="1:15" s="196" customFormat="1" ht="12">
      <c r="A146" s="194" t="s">
        <v>11</v>
      </c>
      <c r="B146" s="195">
        <f t="shared" ref="B146:N146" si="12">HLOOKUP(B$141,$117:$133,8,FALSE)</f>
        <v>3860.487071</v>
      </c>
      <c r="C146" s="195">
        <f t="shared" si="12"/>
        <v>2755.5232569999998</v>
      </c>
      <c r="D146" s="195">
        <f t="shared" si="12"/>
        <v>3272.2781909999999</v>
      </c>
      <c r="E146" s="195">
        <f t="shared" si="12"/>
        <v>2388.4234710000001</v>
      </c>
      <c r="F146" s="195">
        <f t="shared" si="12"/>
        <v>1386.2401649999999</v>
      </c>
      <c r="G146" s="195">
        <f t="shared" si="12"/>
        <v>1731.0447300000001</v>
      </c>
      <c r="H146" s="195">
        <f t="shared" si="12"/>
        <v>2018.170026</v>
      </c>
      <c r="I146" s="195">
        <f t="shared" si="12"/>
        <v>3556.6723459999998</v>
      </c>
      <c r="J146" s="195">
        <f t="shared" si="12"/>
        <v>5829.9045759999999</v>
      </c>
      <c r="K146" s="195">
        <f t="shared" si="12"/>
        <v>5051.1759540000003</v>
      </c>
      <c r="L146" s="195">
        <f t="shared" si="12"/>
        <v>4546.4520769999999</v>
      </c>
      <c r="M146" s="195">
        <f t="shared" si="12"/>
        <v>2791.4263310000001</v>
      </c>
      <c r="N146" s="195">
        <f t="shared" si="12"/>
        <v>3232.4526000000001</v>
      </c>
    </row>
    <row r="147" spans="1:15" s="196" customFormat="1" ht="12">
      <c r="A147" s="194" t="s">
        <v>5</v>
      </c>
      <c r="B147" s="195">
        <f t="shared" ref="B147:N147" si="13">HLOOKUP(B$141,$117:$133,9,FALSE)</f>
        <v>7333.0039489999999</v>
      </c>
      <c r="C147" s="195">
        <f t="shared" si="13"/>
        <v>5408.226525</v>
      </c>
      <c r="D147" s="195">
        <f t="shared" si="13"/>
        <v>4566.2618409999995</v>
      </c>
      <c r="E147" s="195">
        <f t="shared" si="13"/>
        <v>4177.8229469999997</v>
      </c>
      <c r="F147" s="195">
        <f t="shared" si="13"/>
        <v>5503.3027240000001</v>
      </c>
      <c r="G147" s="195">
        <f t="shared" si="13"/>
        <v>3639.4121740000001</v>
      </c>
      <c r="H147" s="195">
        <f t="shared" si="13"/>
        <v>3893.3025899999998</v>
      </c>
      <c r="I147" s="195">
        <f t="shared" si="13"/>
        <v>3239.7574049999998</v>
      </c>
      <c r="J147" s="195">
        <f t="shared" si="13"/>
        <v>4098.9654170000003</v>
      </c>
      <c r="K147" s="195">
        <f t="shared" si="13"/>
        <v>3508.2136180000002</v>
      </c>
      <c r="L147" s="195">
        <f t="shared" si="13"/>
        <v>3861.739051</v>
      </c>
      <c r="M147" s="195">
        <f t="shared" si="13"/>
        <v>5668.7251050000004</v>
      </c>
      <c r="N147" s="195">
        <f t="shared" si="13"/>
        <v>4149.5803999999998</v>
      </c>
    </row>
    <row r="148" spans="1:15" s="196" customFormat="1" ht="12">
      <c r="A148" s="194" t="s">
        <v>6</v>
      </c>
      <c r="B148" s="195">
        <f t="shared" ref="B148:N148" si="14">HLOOKUP(B$141,$117:$133,10,FALSE)</f>
        <v>501.06963000000002</v>
      </c>
      <c r="C148" s="195">
        <f t="shared" si="14"/>
        <v>494.84732300000002</v>
      </c>
      <c r="D148" s="195">
        <f t="shared" si="14"/>
        <v>600.39744800000005</v>
      </c>
      <c r="E148" s="195">
        <f t="shared" si="14"/>
        <v>944.08554600000002</v>
      </c>
      <c r="F148" s="195">
        <f t="shared" si="14"/>
        <v>1036.1513669999999</v>
      </c>
      <c r="G148" s="195">
        <f t="shared" si="14"/>
        <v>1114.1793740000001</v>
      </c>
      <c r="H148" s="195">
        <f t="shared" si="14"/>
        <v>1592.9087930000001</v>
      </c>
      <c r="I148" s="195">
        <f t="shared" si="14"/>
        <v>1758.5537770000001</v>
      </c>
      <c r="J148" s="195">
        <f t="shared" si="14"/>
        <v>1862.4341910000001</v>
      </c>
      <c r="K148" s="195">
        <f t="shared" si="14"/>
        <v>1768.5077249999999</v>
      </c>
      <c r="L148" s="195">
        <f t="shared" si="14"/>
        <v>1421.280176</v>
      </c>
      <c r="M148" s="195">
        <f t="shared" si="14"/>
        <v>1273.972949</v>
      </c>
      <c r="N148" s="195">
        <f t="shared" si="14"/>
        <v>789.42206363100001</v>
      </c>
    </row>
    <row r="149" spans="1:15" s="196" customFormat="1" ht="12">
      <c r="A149" s="194" t="s">
        <v>7</v>
      </c>
      <c r="B149" s="195">
        <f t="shared" ref="B149:N149" si="15">HLOOKUP(B$141,$117:$133,11,FALSE)</f>
        <v>69.970612000000003</v>
      </c>
      <c r="C149" s="195">
        <f t="shared" si="15"/>
        <v>68.978174999999993</v>
      </c>
      <c r="D149" s="195">
        <f t="shared" si="15"/>
        <v>85.969313</v>
      </c>
      <c r="E149" s="195">
        <f t="shared" si="15"/>
        <v>227.955996</v>
      </c>
      <c r="F149" s="195">
        <f t="shared" si="15"/>
        <v>235.96742</v>
      </c>
      <c r="G149" s="195">
        <f t="shared" si="15"/>
        <v>206.86543699999999</v>
      </c>
      <c r="H149" s="195">
        <f t="shared" si="15"/>
        <v>552.48475099999996</v>
      </c>
      <c r="I149" s="195">
        <f t="shared" si="15"/>
        <v>711.64684799999998</v>
      </c>
      <c r="J149" s="195">
        <f t="shared" si="15"/>
        <v>796.17204200000003</v>
      </c>
      <c r="K149" s="195">
        <f t="shared" si="15"/>
        <v>744.54166099999998</v>
      </c>
      <c r="L149" s="195">
        <f t="shared" si="15"/>
        <v>452.15903400000002</v>
      </c>
      <c r="M149" s="195">
        <f t="shared" si="15"/>
        <v>340.27470899999997</v>
      </c>
      <c r="N149" s="195">
        <f t="shared" si="15"/>
        <v>123.95233636899999</v>
      </c>
    </row>
    <row r="150" spans="1:15" s="196" customFormat="1" ht="12">
      <c r="A150" s="194" t="s">
        <v>8</v>
      </c>
      <c r="B150" s="195">
        <f t="shared" ref="B150:N150" si="16">HLOOKUP(B$141,$117:$133,12,FALSE)</f>
        <v>308.17036200000001</v>
      </c>
      <c r="C150" s="195">
        <f t="shared" si="16"/>
        <v>299.96974799999998</v>
      </c>
      <c r="D150" s="195">
        <f t="shared" si="16"/>
        <v>334.00257699999997</v>
      </c>
      <c r="E150" s="195">
        <f t="shared" si="16"/>
        <v>344.27402000000001</v>
      </c>
      <c r="F150" s="195">
        <f t="shared" si="16"/>
        <v>345.27097199999997</v>
      </c>
      <c r="G150" s="195">
        <f t="shared" si="16"/>
        <v>336.454024</v>
      </c>
      <c r="H150" s="195">
        <f t="shared" si="16"/>
        <v>385.38923699999998</v>
      </c>
      <c r="I150" s="195">
        <f t="shared" si="16"/>
        <v>378.80650600000001</v>
      </c>
      <c r="J150" s="195">
        <f t="shared" si="16"/>
        <v>348.45388100000002</v>
      </c>
      <c r="K150" s="195">
        <f t="shared" si="16"/>
        <v>367.45549899999997</v>
      </c>
      <c r="L150" s="195">
        <f t="shared" si="16"/>
        <v>394.85902099999998</v>
      </c>
      <c r="M150" s="195">
        <f t="shared" si="16"/>
        <v>413.99197600000002</v>
      </c>
      <c r="N150" s="195">
        <f t="shared" si="16"/>
        <v>406.75990000000002</v>
      </c>
    </row>
    <row r="151" spans="1:15" s="196" customFormat="1" ht="12">
      <c r="A151" s="194" t="s">
        <v>9</v>
      </c>
      <c r="B151" s="195">
        <f t="shared" ref="B151:N151" si="17">HLOOKUP(B$141,$117:$133,13,FALSE)</f>
        <v>2467.9510030000001</v>
      </c>
      <c r="C151" s="195">
        <f t="shared" si="17"/>
        <v>2342.3448360000002</v>
      </c>
      <c r="D151" s="195">
        <f t="shared" si="17"/>
        <v>2436.1478390000002</v>
      </c>
      <c r="E151" s="195">
        <f t="shared" si="17"/>
        <v>2231.4833699999999</v>
      </c>
      <c r="F151" s="195">
        <f t="shared" si="17"/>
        <v>2231.357293</v>
      </c>
      <c r="G151" s="195">
        <f t="shared" si="17"/>
        <v>1925.2418520000001</v>
      </c>
      <c r="H151" s="195">
        <f t="shared" si="17"/>
        <v>2084.3367929999999</v>
      </c>
      <c r="I151" s="195">
        <f t="shared" si="17"/>
        <v>2185.8913440000001</v>
      </c>
      <c r="J151" s="195">
        <f t="shared" si="17"/>
        <v>2299.6183460000002</v>
      </c>
      <c r="K151" s="195">
        <f t="shared" si="17"/>
        <v>2189.017257</v>
      </c>
      <c r="L151" s="195">
        <f t="shared" si="17"/>
        <v>2398.8736269999999</v>
      </c>
      <c r="M151" s="195">
        <f t="shared" si="17"/>
        <v>2351.5301490000002</v>
      </c>
      <c r="N151" s="195">
        <f t="shared" si="17"/>
        <v>2400.6185</v>
      </c>
    </row>
    <row r="152" spans="1:15" s="196" customFormat="1" ht="12">
      <c r="A152" s="194" t="s">
        <v>70</v>
      </c>
      <c r="B152" s="195">
        <f t="shared" ref="B152:N152" si="18">HLOOKUP(B$141,$117:$133,15,FALSE)</f>
        <v>144.5833825</v>
      </c>
      <c r="C152" s="195">
        <f t="shared" si="18"/>
        <v>160.99247</v>
      </c>
      <c r="D152" s="195">
        <f t="shared" si="18"/>
        <v>157.97660099999999</v>
      </c>
      <c r="E152" s="195">
        <f t="shared" si="18"/>
        <v>163.5454105</v>
      </c>
      <c r="F152" s="195">
        <f t="shared" si="18"/>
        <v>166.0983985</v>
      </c>
      <c r="G152" s="195">
        <f t="shared" si="18"/>
        <v>134.23411250000001</v>
      </c>
      <c r="H152" s="195">
        <f t="shared" si="18"/>
        <v>139.503086</v>
      </c>
      <c r="I152" s="195">
        <f t="shared" si="18"/>
        <v>134.24086700000001</v>
      </c>
      <c r="J152" s="195">
        <f t="shared" si="18"/>
        <v>129.766637</v>
      </c>
      <c r="K152" s="195">
        <f t="shared" si="18"/>
        <v>178.9639675</v>
      </c>
      <c r="L152" s="195">
        <f t="shared" si="18"/>
        <v>173.89508950000001</v>
      </c>
      <c r="M152" s="195">
        <f t="shared" si="18"/>
        <v>156.50662750000001</v>
      </c>
      <c r="N152" s="195">
        <f t="shared" si="18"/>
        <v>178.09399999999999</v>
      </c>
    </row>
    <row r="153" spans="1:15" s="196" customFormat="1" ht="12">
      <c r="A153" s="194" t="s">
        <v>69</v>
      </c>
      <c r="B153" s="195">
        <f t="shared" ref="B153:N153" si="19">HLOOKUP(B$141,$117:$133,14,FALSE)</f>
        <v>60.149876499999998</v>
      </c>
      <c r="C153" s="195">
        <f t="shared" si="19"/>
        <v>65.337529000000004</v>
      </c>
      <c r="D153" s="195">
        <f t="shared" si="19"/>
        <v>55.184336000000002</v>
      </c>
      <c r="E153" s="195">
        <f t="shared" si="19"/>
        <v>55.978365500000002</v>
      </c>
      <c r="F153" s="195">
        <f t="shared" si="19"/>
        <v>51.389567499999998</v>
      </c>
      <c r="G153" s="195">
        <f t="shared" si="19"/>
        <v>29.749654499999998</v>
      </c>
      <c r="H153" s="195">
        <f t="shared" si="19"/>
        <v>30.791229000000001</v>
      </c>
      <c r="I153" s="195">
        <f t="shared" si="19"/>
        <v>27.458276000000001</v>
      </c>
      <c r="J153" s="195">
        <f t="shared" si="19"/>
        <v>31.820180000000001</v>
      </c>
      <c r="K153" s="195">
        <f t="shared" si="19"/>
        <v>66.037119500000003</v>
      </c>
      <c r="L153" s="195">
        <f t="shared" si="19"/>
        <v>58.507686499999998</v>
      </c>
      <c r="M153" s="195">
        <f t="shared" si="19"/>
        <v>64.967821499999999</v>
      </c>
      <c r="N153" s="195">
        <f t="shared" si="19"/>
        <v>67.192899999999995</v>
      </c>
    </row>
    <row r="154" spans="1:15" s="196" customFormat="1" ht="12">
      <c r="A154" s="197" t="s">
        <v>96</v>
      </c>
      <c r="B154" s="198">
        <f>SUM(B142:B153)</f>
        <v>21556.189304470005</v>
      </c>
      <c r="C154" s="198">
        <f t="shared" ref="C154:N154" si="20">SUM(C142:C153)</f>
        <v>21281.078610050001</v>
      </c>
      <c r="D154" s="198">
        <f t="shared" si="20"/>
        <v>21628.289005981998</v>
      </c>
      <c r="E154" s="198">
        <f t="shared" si="20"/>
        <v>19309.408760851995</v>
      </c>
      <c r="F154" s="198">
        <f t="shared" si="20"/>
        <v>20023.431263333994</v>
      </c>
      <c r="G154" s="198">
        <f t="shared" si="20"/>
        <v>16685.116102575998</v>
      </c>
      <c r="H154" s="198">
        <f t="shared" si="20"/>
        <v>17122.893467811999</v>
      </c>
      <c r="I154" s="198">
        <f t="shared" si="20"/>
        <v>18391.536358046003</v>
      </c>
      <c r="J154" s="198">
        <f t="shared" si="20"/>
        <v>22863.453982241997</v>
      </c>
      <c r="K154" s="198">
        <f t="shared" si="20"/>
        <v>21403.100989644001</v>
      </c>
      <c r="L154" s="198">
        <f t="shared" si="20"/>
        <v>20323.939667720006</v>
      </c>
      <c r="M154" s="198">
        <f t="shared" si="20"/>
        <v>19944.399084091998</v>
      </c>
      <c r="N154" s="198">
        <f t="shared" si="20"/>
        <v>19022.011600000002</v>
      </c>
    </row>
    <row r="156" spans="1:15" s="196" customFormat="1" ht="12">
      <c r="A156" s="200" t="s">
        <v>115</v>
      </c>
      <c r="B156" s="213">
        <f>B142+B147+B148+B149+B150+B153</f>
        <v>10935.4010848</v>
      </c>
      <c r="C156" s="213">
        <f t="shared" ref="C156:M156" si="21">C142+C147+C148+C149+C150+C153</f>
        <v>10976.269026775999</v>
      </c>
      <c r="D156" s="213">
        <f t="shared" si="21"/>
        <v>9369.8448039299983</v>
      </c>
      <c r="E156" s="213">
        <f t="shared" si="21"/>
        <v>8587.7747909379996</v>
      </c>
      <c r="F156" s="213">
        <f t="shared" si="21"/>
        <v>10284.745506946003</v>
      </c>
      <c r="G156" s="213">
        <f t="shared" si="21"/>
        <v>8187.8012530260012</v>
      </c>
      <c r="H156" s="213">
        <f t="shared" si="21"/>
        <v>9313.6885126260004</v>
      </c>
      <c r="I156" s="213">
        <f t="shared" si="21"/>
        <v>8378.2118451499991</v>
      </c>
      <c r="J156" s="213">
        <f t="shared" si="21"/>
        <v>8974.6397302080004</v>
      </c>
      <c r="K156" s="213">
        <f t="shared" si="21"/>
        <v>8334.8266839440021</v>
      </c>
      <c r="L156" s="213">
        <f t="shared" si="21"/>
        <v>7863.2079398720007</v>
      </c>
      <c r="M156" s="213">
        <f t="shared" si="21"/>
        <v>9651.5146489620001</v>
      </c>
      <c r="N156" s="213">
        <f>N142+N147+N148+N149+N150+N153</f>
        <v>8018.3751999999995</v>
      </c>
    </row>
    <row r="157" spans="1:15" s="196" customFormat="1" ht="12">
      <c r="A157" s="200" t="s">
        <v>116</v>
      </c>
      <c r="B157" s="213">
        <f>B143+B144+B145+B146+B151+B152</f>
        <v>10620.788219670001</v>
      </c>
      <c r="C157" s="213">
        <f t="shared" ref="C157:N157" si="22">C143+C144+C145+C146+C151+C152</f>
        <v>10304.809583273998</v>
      </c>
      <c r="D157" s="213">
        <f t="shared" si="22"/>
        <v>12258.444202052002</v>
      </c>
      <c r="E157" s="213">
        <f t="shared" si="22"/>
        <v>10721.633969914001</v>
      </c>
      <c r="F157" s="213">
        <f t="shared" si="22"/>
        <v>9738.6857563880003</v>
      </c>
      <c r="G157" s="213">
        <f t="shared" si="22"/>
        <v>8497.3148495500009</v>
      </c>
      <c r="H157" s="213">
        <f t="shared" si="22"/>
        <v>7809.2049551859991</v>
      </c>
      <c r="I157" s="213">
        <f t="shared" si="22"/>
        <v>10013.324512895999</v>
      </c>
      <c r="J157" s="213">
        <f t="shared" si="22"/>
        <v>13888.814252034001</v>
      </c>
      <c r="K157" s="213">
        <f t="shared" si="22"/>
        <v>13068.274305700001</v>
      </c>
      <c r="L157" s="213">
        <f t="shared" si="22"/>
        <v>12460.731727848002</v>
      </c>
      <c r="M157" s="213">
        <f t="shared" si="22"/>
        <v>10292.884435130001</v>
      </c>
      <c r="N157" s="213">
        <f t="shared" si="22"/>
        <v>11003.636399999999</v>
      </c>
    </row>
    <row r="158" spans="1:15" s="196" customFormat="1" ht="12">
      <c r="A158" s="200" t="s">
        <v>117</v>
      </c>
      <c r="B158" s="201">
        <f>B142/B$154*100+B147/B$154*100+B148/B$154*100+B149/B$154*100+B150/B$154*100+B153/B$154*100</f>
        <v>50.729750654640888</v>
      </c>
      <c r="C158" s="201">
        <f t="shared" ref="C158:N158" si="23">C142/C$154*100+C147/C$154*100+C148/C$154*100+C149/C$154*100+C150/C$154*100+C153/C$154*100</f>
        <v>51.577597300883276</v>
      </c>
      <c r="D158" s="201">
        <f t="shared" si="23"/>
        <v>43.322173110126599</v>
      </c>
      <c r="E158" s="201">
        <f t="shared" si="23"/>
        <v>44.474561066566174</v>
      </c>
      <c r="F158" s="201">
        <f t="shared" si="23"/>
        <v>51.363551889225725</v>
      </c>
      <c r="G158" s="201">
        <f t="shared" si="23"/>
        <v>49.072485937103508</v>
      </c>
      <c r="H158" s="201">
        <f t="shared" si="23"/>
        <v>54.393193125531511</v>
      </c>
      <c r="I158" s="201">
        <f t="shared" si="23"/>
        <v>45.554714310121604</v>
      </c>
      <c r="J158" s="201">
        <f t="shared" si="23"/>
        <v>39.25321054805886</v>
      </c>
      <c r="K158" s="201">
        <f t="shared" si="23"/>
        <v>38.942145289959846</v>
      </c>
      <c r="L158" s="201">
        <f t="shared" si="23"/>
        <v>38.68938831953399</v>
      </c>
      <c r="M158" s="201">
        <f t="shared" si="23"/>
        <v>48.392105514275521</v>
      </c>
      <c r="N158" s="201">
        <f t="shared" si="23"/>
        <v>42.153140102175094</v>
      </c>
      <c r="O158" s="268">
        <f>N158-B158</f>
        <v>-8.5766105524657945</v>
      </c>
    </row>
    <row r="159" spans="1:15" s="196" customFormat="1" ht="12">
      <c r="A159" s="200" t="s">
        <v>118</v>
      </c>
      <c r="B159" s="201">
        <f>B143/B$154*100+B144/B$154*100+B145/B$154*100+B151/B$154*100+B152/B$154*100+B146/B$154*100</f>
        <v>49.270249345359105</v>
      </c>
      <c r="C159" s="201">
        <f>C143/C$154*100+C144/C$154*100+C145/C$154*100+C151/C$154*100+C152/C$154*100+C146/C$154*100</f>
        <v>48.422402699116702</v>
      </c>
      <c r="D159" s="201">
        <f>D143/D$154*100+D144/D$154*100+D145/D$154*100+D151/D$154*100+D152/D$154*100+D146/D$154*100</f>
        <v>56.677826889873415</v>
      </c>
      <c r="E159" s="201">
        <f>E143/E$154*100+E144/E$154*100+E145/E$154*100+E151/E$154*100+E152/E$154*100+E146/E$154*100</f>
        <v>55.525438933433847</v>
      </c>
      <c r="F159" s="201">
        <f t="shared" ref="F159:M159" si="24">100-F158</f>
        <v>48.636448110774275</v>
      </c>
      <c r="G159" s="201">
        <f t="shared" si="24"/>
        <v>50.927514062896492</v>
      </c>
      <c r="H159" s="201">
        <f t="shared" si="24"/>
        <v>45.606806874468489</v>
      </c>
      <c r="I159" s="201">
        <f t="shared" si="24"/>
        <v>54.445285689878396</v>
      </c>
      <c r="J159" s="201">
        <f t="shared" si="24"/>
        <v>60.74678945194114</v>
      </c>
      <c r="K159" s="201">
        <f t="shared" si="24"/>
        <v>61.057854710040154</v>
      </c>
      <c r="L159" s="201">
        <f t="shared" si="24"/>
        <v>61.31061168046601</v>
      </c>
      <c r="M159" s="201">
        <f t="shared" si="24"/>
        <v>51.607894485724479</v>
      </c>
      <c r="N159" s="201">
        <f t="shared" ref="N159" si="25">100-N158</f>
        <v>57.846859897824906</v>
      </c>
    </row>
    <row r="160" spans="1:15" s="196" customFormat="1" ht="12">
      <c r="A160" s="200"/>
      <c r="B160" s="200"/>
    </row>
    <row r="161" spans="1:19" s="196" customFormat="1" ht="12">
      <c r="A161" s="200" t="s">
        <v>84</v>
      </c>
      <c r="B161" s="200"/>
      <c r="N161" s="268"/>
    </row>
    <row r="162" spans="1:19" s="196" customFormat="1" ht="12">
      <c r="A162" s="200" t="s">
        <v>85</v>
      </c>
      <c r="B162" s="200"/>
    </row>
    <row r="164" spans="1:19" s="196" customFormat="1" ht="12">
      <c r="A164" s="200" t="s">
        <v>19</v>
      </c>
      <c r="B164" s="195">
        <f>B142+B143+B144+B147+B148+B149+B150+B153</f>
        <v>14535.033731969999</v>
      </c>
      <c r="C164" s="195">
        <f t="shared" ref="C164:M164" si="26">C142+C143+C144+C147+C148+C149+C150+C153</f>
        <v>15648.10193805</v>
      </c>
      <c r="D164" s="195">
        <f t="shared" si="26"/>
        <v>14892.819514981999</v>
      </c>
      <c r="E164" s="195">
        <f t="shared" si="26"/>
        <v>13703.294964352001</v>
      </c>
      <c r="F164" s="195">
        <f t="shared" si="26"/>
        <v>15763.214412834002</v>
      </c>
      <c r="G164" s="195">
        <f t="shared" si="26"/>
        <v>12587.757026075999</v>
      </c>
      <c r="H164" s="195">
        <f t="shared" si="26"/>
        <v>12636.306908811999</v>
      </c>
      <c r="I164" s="195">
        <f t="shared" si="26"/>
        <v>12151.988951046</v>
      </c>
      <c r="J164" s="195">
        <f t="shared" si="26"/>
        <v>14300.819969242</v>
      </c>
      <c r="K164" s="195">
        <f t="shared" si="26"/>
        <v>13645.594058143999</v>
      </c>
      <c r="L164" s="195">
        <f t="shared" si="26"/>
        <v>12922.085373220001</v>
      </c>
      <c r="M164" s="195">
        <f t="shared" si="26"/>
        <v>14409.826007591999</v>
      </c>
      <c r="N164" s="195">
        <f>N142+N143+N144+N147+N148+N149+N150+N153</f>
        <v>12870.6756</v>
      </c>
    </row>
    <row r="165" spans="1:19" s="196" customFormat="1" ht="12">
      <c r="A165" s="200" t="s">
        <v>20</v>
      </c>
      <c r="B165" s="195">
        <f t="shared" ref="B165:M165" si="27">B145+B146+B151+B152</f>
        <v>7021.1555724999998</v>
      </c>
      <c r="C165" s="195">
        <f t="shared" si="27"/>
        <v>5632.9766719999998</v>
      </c>
      <c r="D165" s="195">
        <f t="shared" si="27"/>
        <v>6735.4694910000007</v>
      </c>
      <c r="E165" s="195">
        <f t="shared" si="27"/>
        <v>5606.1137964999998</v>
      </c>
      <c r="F165" s="195">
        <f t="shared" si="27"/>
        <v>4260.2168505</v>
      </c>
      <c r="G165" s="195">
        <f t="shared" si="27"/>
        <v>4097.3590764999999</v>
      </c>
      <c r="H165" s="195">
        <f t="shared" si="27"/>
        <v>4486.5865590000003</v>
      </c>
      <c r="I165" s="195">
        <f t="shared" si="27"/>
        <v>6239.547407</v>
      </c>
      <c r="J165" s="195">
        <f t="shared" si="27"/>
        <v>8562.6340130000008</v>
      </c>
      <c r="K165" s="195">
        <f t="shared" si="27"/>
        <v>7757.5069315000001</v>
      </c>
      <c r="L165" s="195">
        <f t="shared" si="27"/>
        <v>7401.8542944999999</v>
      </c>
      <c r="M165" s="195">
        <f t="shared" si="27"/>
        <v>5534.5730764999998</v>
      </c>
      <c r="N165" s="195">
        <f>N145+N146+N151+N152</f>
        <v>6151.3360000000002</v>
      </c>
    </row>
    <row r="166" spans="1:19" s="196" customFormat="1" ht="12">
      <c r="A166" s="200" t="s">
        <v>113</v>
      </c>
      <c r="B166" s="201">
        <f>B142/B$154*100+B143/B$154*100+B147/B$154*100+B148/B$154*100+B149/B$154*100+B150/B$154*100+B144/B$154*100+B153/B$154*100</f>
        <v>67.428586410474409</v>
      </c>
      <c r="C166" s="201">
        <f>C142/C$154*100+C143/C$154*100+C147/C$154*100+C148/C$154*100+C149/C$154*100+C150/C$154*100+C144/C$154*100+C153/C$154*100</f>
        <v>73.530586605982336</v>
      </c>
      <c r="D166" s="201">
        <f t="shared" ref="D166:N166" si="28">D142/D$154*100+D143/D$154*100+D147/D$154*100+D148/D$154*100+D149/D$154*100+D150/D$154*100+D144/D$154*100+D153/D$154*100</f>
        <v>68.858056737002698</v>
      </c>
      <c r="E166" s="201">
        <f t="shared" si="28"/>
        <v>70.966931893503329</v>
      </c>
      <c r="F166" s="201">
        <f t="shared" si="28"/>
        <v>78.723842110412363</v>
      </c>
      <c r="G166" s="201">
        <f t="shared" si="28"/>
        <v>75.443029276449508</v>
      </c>
      <c r="H166" s="201">
        <f t="shared" si="28"/>
        <v>73.797731280440502</v>
      </c>
      <c r="I166" s="201">
        <f t="shared" si="28"/>
        <v>66.073810879479339</v>
      </c>
      <c r="J166" s="201">
        <f t="shared" si="28"/>
        <v>62.548816903821354</v>
      </c>
      <c r="K166" s="201">
        <f t="shared" si="28"/>
        <v>63.755219698054461</v>
      </c>
      <c r="L166" s="201">
        <f t="shared" si="28"/>
        <v>63.580612737912311</v>
      </c>
      <c r="M166" s="201">
        <f t="shared" si="28"/>
        <v>72.24998831419056</v>
      </c>
      <c r="N166" s="201">
        <f t="shared" si="28"/>
        <v>67.66201109876306</v>
      </c>
      <c r="O166" s="307">
        <f>N166-B166</f>
        <v>0.23342468828865037</v>
      </c>
    </row>
    <row r="167" spans="1:19" s="196" customFormat="1" ht="12">
      <c r="A167" s="200" t="s">
        <v>114</v>
      </c>
      <c r="B167" s="201">
        <f>B151/B$154*100+B152/B$154*100+B145/B$154*100+B146/B$154*100</f>
        <v>32.571413589525569</v>
      </c>
      <c r="C167" s="201">
        <f>C151/C$154*100+C152/C$154*100+C145/C$154*100+C146/C$154*100</f>
        <v>26.46941339401765</v>
      </c>
      <c r="D167" s="201">
        <f>D151/D$154*100+D152/D$154*100+D145/D$154*100+D146/D$154*100</f>
        <v>31.141943262997316</v>
      </c>
      <c r="E167" s="201">
        <f>E151/E$154*100+E152/E$154*100+E145/E$154*100+E146/E$154*100</f>
        <v>29.0330681064967</v>
      </c>
      <c r="F167" s="201">
        <f t="shared" ref="F167:N167" si="29">F151/F$154*100+F152/F$154*100+F145/F$154*100+F146/F$154*100</f>
        <v>21.276157889587672</v>
      </c>
      <c r="G167" s="201">
        <f t="shared" si="29"/>
        <v>24.556970723550513</v>
      </c>
      <c r="H167" s="201">
        <f t="shared" si="29"/>
        <v>26.202268719559498</v>
      </c>
      <c r="I167" s="201">
        <f t="shared" si="29"/>
        <v>33.926189120520633</v>
      </c>
      <c r="J167" s="201">
        <f t="shared" si="29"/>
        <v>37.451183096178653</v>
      </c>
      <c r="K167" s="201">
        <f t="shared" si="29"/>
        <v>36.244780301945539</v>
      </c>
      <c r="L167" s="201">
        <f t="shared" si="29"/>
        <v>36.419387262087653</v>
      </c>
      <c r="M167" s="201">
        <f t="shared" si="29"/>
        <v>27.75001168580944</v>
      </c>
      <c r="N167" s="201">
        <f t="shared" si="29"/>
        <v>32.337988901236919</v>
      </c>
    </row>
    <row r="168" spans="1:19" s="196" customFormat="1" ht="12">
      <c r="A168" s="200"/>
      <c r="B168" s="200"/>
    </row>
    <row r="169" spans="1:19" s="196" customFormat="1" ht="12">
      <c r="A169" s="200" t="s">
        <v>129</v>
      </c>
      <c r="B169" s="200"/>
      <c r="N169" s="268"/>
    </row>
    <row r="170" spans="1:19" s="196" customFormat="1" ht="12">
      <c r="A170" s="200" t="s">
        <v>130</v>
      </c>
      <c r="B170" s="200"/>
    </row>
    <row r="175" spans="1:19">
      <c r="A175" s="177" t="s">
        <v>105</v>
      </c>
      <c r="B175" s="346" t="s">
        <v>98</v>
      </c>
      <c r="C175" s="347"/>
      <c r="D175" s="347"/>
      <c r="E175" s="347"/>
      <c r="F175" s="347"/>
      <c r="G175" s="347"/>
      <c r="H175" s="347"/>
      <c r="I175" s="347"/>
      <c r="J175" s="347"/>
      <c r="K175" s="347"/>
      <c r="L175" s="347"/>
      <c r="M175" s="347"/>
      <c r="N175" s="347"/>
      <c r="O175" s="347"/>
      <c r="P175" s="347"/>
      <c r="Q175" s="347"/>
      <c r="R175" s="347"/>
      <c r="S175" s="347"/>
    </row>
    <row r="176" spans="1:19">
      <c r="A176" s="177" t="s">
        <v>106</v>
      </c>
      <c r="B176" s="337" t="s">
        <v>119</v>
      </c>
      <c r="C176" s="338"/>
      <c r="D176" s="338"/>
      <c r="E176" s="338"/>
      <c r="F176" s="338"/>
      <c r="G176" s="338"/>
      <c r="H176" s="338"/>
      <c r="I176" s="338"/>
      <c r="J176" s="338"/>
      <c r="K176" s="338"/>
      <c r="L176" s="338"/>
      <c r="M176" s="338"/>
      <c r="N176" s="338"/>
      <c r="O176" s="338"/>
      <c r="P176" s="338"/>
      <c r="Q176" s="338"/>
      <c r="R176" s="338"/>
      <c r="S176" s="338"/>
    </row>
    <row r="177" spans="1:23">
      <c r="A177" s="186" t="s">
        <v>30</v>
      </c>
      <c r="B177" s="335" t="s">
        <v>623</v>
      </c>
      <c r="C177" s="336"/>
      <c r="D177" s="336"/>
      <c r="E177" s="336"/>
      <c r="F177" s="336"/>
      <c r="G177" s="336"/>
      <c r="H177" s="336"/>
      <c r="I177" s="336"/>
      <c r="J177" s="336"/>
      <c r="K177" s="336"/>
      <c r="L177" s="336"/>
      <c r="M177" s="336"/>
      <c r="N177" s="336"/>
      <c r="O177" s="336"/>
      <c r="P177" s="336"/>
      <c r="Q177" s="336"/>
      <c r="R177" s="336"/>
      <c r="S177" s="336"/>
    </row>
    <row r="178" spans="1:23">
      <c r="A178" s="186" t="s">
        <v>107</v>
      </c>
      <c r="B178" s="316" t="s">
        <v>2</v>
      </c>
      <c r="C178" s="316" t="s">
        <v>81</v>
      </c>
      <c r="D178" s="316" t="s">
        <v>3</v>
      </c>
      <c r="E178" s="316" t="s">
        <v>4</v>
      </c>
      <c r="F178" s="316" t="s">
        <v>95</v>
      </c>
      <c r="G178" s="316" t="s">
        <v>11</v>
      </c>
      <c r="H178" s="316" t="s">
        <v>5</v>
      </c>
      <c r="I178" s="316" t="s">
        <v>6</v>
      </c>
      <c r="J178" s="316" t="s">
        <v>7</v>
      </c>
      <c r="K178" s="316" t="s">
        <v>8</v>
      </c>
      <c r="L178" s="316" t="s">
        <v>9</v>
      </c>
      <c r="M178" s="316" t="s">
        <v>69</v>
      </c>
      <c r="N178" s="316" t="s">
        <v>70</v>
      </c>
      <c r="O178" s="202" t="s">
        <v>10</v>
      </c>
      <c r="P178" s="316" t="s">
        <v>123</v>
      </c>
      <c r="Q178" s="316" t="s">
        <v>97</v>
      </c>
      <c r="R178" s="316" t="s">
        <v>124</v>
      </c>
      <c r="S178" s="202" t="s">
        <v>125</v>
      </c>
      <c r="V178" s="204" t="s">
        <v>23</v>
      </c>
      <c r="W178" s="204" t="s">
        <v>22</v>
      </c>
    </row>
    <row r="179" spans="1:23" ht="14.25">
      <c r="A179" s="177" t="s">
        <v>31</v>
      </c>
      <c r="B179" s="192"/>
      <c r="C179" s="192"/>
      <c r="D179" s="192"/>
      <c r="E179" s="192"/>
      <c r="F179" s="192"/>
      <c r="G179" s="192"/>
      <c r="H179" s="192"/>
      <c r="I179" s="192"/>
      <c r="J179" s="192"/>
      <c r="K179" s="192"/>
      <c r="L179" s="192"/>
      <c r="M179" s="192"/>
      <c r="N179" s="192"/>
      <c r="O179" s="203"/>
      <c r="P179" s="192"/>
      <c r="Q179" s="192"/>
      <c r="R179" s="192"/>
      <c r="S179" s="203"/>
      <c r="V179" s="205"/>
      <c r="W179" s="205"/>
    </row>
    <row r="180" spans="1:23" ht="14.25">
      <c r="A180" s="207">
        <v>1</v>
      </c>
      <c r="B180" s="181">
        <v>52563.3</v>
      </c>
      <c r="C180" s="181">
        <v>2811.4</v>
      </c>
      <c r="D180" s="181">
        <v>146040.4</v>
      </c>
      <c r="E180" s="181">
        <v>11510.2</v>
      </c>
      <c r="G180" s="181">
        <v>48914.2</v>
      </c>
      <c r="H180" s="181">
        <v>128733.2</v>
      </c>
      <c r="I180" s="181">
        <v>39982.756990000002</v>
      </c>
      <c r="J180" s="181">
        <v>9217.1430099999998</v>
      </c>
      <c r="K180" s="181">
        <v>13701.4</v>
      </c>
      <c r="L180" s="181">
        <v>70412.399999999994</v>
      </c>
      <c r="M180" s="181">
        <v>2250.6999999999998</v>
      </c>
      <c r="N180" s="181">
        <v>5664.7</v>
      </c>
      <c r="O180" s="184">
        <v>531801.80000000005</v>
      </c>
      <c r="P180" s="181">
        <v>-26063.8</v>
      </c>
      <c r="Q180" s="181">
        <v>-2809</v>
      </c>
      <c r="R180" s="181">
        <v>41587.599999999999</v>
      </c>
      <c r="S180" s="184">
        <v>544516.6</v>
      </c>
      <c r="V180" s="206">
        <f>IFERROR($H180/$O180*100,"")</f>
        <v>24.206988393044174</v>
      </c>
      <c r="W180" s="205">
        <f>IF($H180=0,"",$H180/1000)</f>
        <v>128.73320000000001</v>
      </c>
    </row>
    <row r="181" spans="1:23" ht="14.25">
      <c r="A181" s="207">
        <v>2</v>
      </c>
      <c r="B181" s="181">
        <v>81269.100000000006</v>
      </c>
      <c r="C181" s="181">
        <v>7951.8</v>
      </c>
      <c r="D181" s="181">
        <v>145979.6</v>
      </c>
      <c r="E181" s="181">
        <v>10150.6</v>
      </c>
      <c r="G181" s="181">
        <v>88209.2</v>
      </c>
      <c r="H181" s="181">
        <v>84921.9</v>
      </c>
      <c r="I181" s="181">
        <v>35137.392591000003</v>
      </c>
      <c r="J181" s="181">
        <v>8310.3074089999991</v>
      </c>
      <c r="K181" s="181">
        <v>13410.2</v>
      </c>
      <c r="L181" s="181">
        <v>78089.399999999994</v>
      </c>
      <c r="M181" s="181">
        <v>2263</v>
      </c>
      <c r="N181" s="181">
        <v>5823.7</v>
      </c>
      <c r="O181" s="184">
        <v>561516.19999999995</v>
      </c>
      <c r="P181" s="181">
        <v>-6412.6</v>
      </c>
      <c r="Q181" s="181">
        <v>-3472</v>
      </c>
      <c r="R181" s="181">
        <v>63082.9</v>
      </c>
      <c r="S181" s="184">
        <v>614714.5</v>
      </c>
      <c r="V181" s="206">
        <f t="shared" ref="V181:V210" si="30">IFERROR($H181/$O181*100,"")</f>
        <v>15.123677642782168</v>
      </c>
      <c r="W181" s="205">
        <f t="shared" ref="W181:W210" si="31">IF($H181=0,"",$H181/1000)</f>
        <v>84.921899999999994</v>
      </c>
    </row>
    <row r="182" spans="1:23" ht="14.25">
      <c r="A182" s="207">
        <v>3</v>
      </c>
      <c r="B182" s="181">
        <v>73181.5</v>
      </c>
      <c r="C182" s="181">
        <v>11840.9</v>
      </c>
      <c r="D182" s="181">
        <v>146022.70000000001</v>
      </c>
      <c r="E182" s="181">
        <v>12064.4</v>
      </c>
      <c r="G182" s="181">
        <v>81738</v>
      </c>
      <c r="H182" s="181">
        <v>172137.1</v>
      </c>
      <c r="I182" s="181">
        <v>24358.69685</v>
      </c>
      <c r="J182" s="181">
        <v>2234.7031499999998</v>
      </c>
      <c r="K182" s="181">
        <v>13236.3</v>
      </c>
      <c r="L182" s="181">
        <v>82139.8</v>
      </c>
      <c r="M182" s="181">
        <v>2176.1</v>
      </c>
      <c r="N182" s="181">
        <v>5997.7</v>
      </c>
      <c r="O182" s="184">
        <v>627127.9</v>
      </c>
      <c r="P182" s="181">
        <v>-1712.1</v>
      </c>
      <c r="Q182" s="181">
        <v>-3397</v>
      </c>
      <c r="R182" s="181">
        <v>44261.1</v>
      </c>
      <c r="S182" s="184">
        <v>666279.9</v>
      </c>
      <c r="V182" s="206">
        <f t="shared" si="30"/>
        <v>27.448483794135136</v>
      </c>
      <c r="W182" s="205">
        <f t="shared" si="31"/>
        <v>172.1371</v>
      </c>
    </row>
    <row r="183" spans="1:23" ht="14.25">
      <c r="A183" s="207">
        <v>4</v>
      </c>
      <c r="B183" s="181">
        <v>77622.600000000006</v>
      </c>
      <c r="C183" s="181">
        <v>11303.6</v>
      </c>
      <c r="D183" s="181">
        <v>145991</v>
      </c>
      <c r="E183" s="181">
        <v>11054.4</v>
      </c>
      <c r="G183" s="181">
        <v>87976.3</v>
      </c>
      <c r="H183" s="181">
        <v>214439.3</v>
      </c>
      <c r="I183" s="181">
        <v>14070.794605999999</v>
      </c>
      <c r="J183" s="181">
        <v>372.00539400000002</v>
      </c>
      <c r="K183" s="181">
        <v>12780.8</v>
      </c>
      <c r="L183" s="181">
        <v>82582</v>
      </c>
      <c r="M183" s="181">
        <v>2277.5500000000002</v>
      </c>
      <c r="N183" s="181">
        <v>6118.55</v>
      </c>
      <c r="O183" s="184">
        <v>666588.9</v>
      </c>
      <c r="P183" s="181">
        <v>-7278.8</v>
      </c>
      <c r="Q183" s="181">
        <v>-2610</v>
      </c>
      <c r="R183" s="181">
        <v>37306.199999999997</v>
      </c>
      <c r="S183" s="184">
        <v>694006.3</v>
      </c>
      <c r="V183" s="206">
        <f t="shared" si="30"/>
        <v>32.169647589391296</v>
      </c>
      <c r="W183" s="205">
        <f t="shared" si="31"/>
        <v>214.43929999999997</v>
      </c>
    </row>
    <row r="184" spans="1:23" ht="14.25">
      <c r="A184" s="207">
        <v>5</v>
      </c>
      <c r="B184" s="181">
        <v>70475.899999999994</v>
      </c>
      <c r="C184" s="181">
        <v>11207.6</v>
      </c>
      <c r="D184" s="181">
        <v>145911</v>
      </c>
      <c r="E184" s="181">
        <v>6839.4</v>
      </c>
      <c r="G184" s="181">
        <v>52227.8</v>
      </c>
      <c r="H184" s="181">
        <v>306637.09999999998</v>
      </c>
      <c r="I184" s="181">
        <v>11052.836436</v>
      </c>
      <c r="J184" s="181">
        <v>1104.363564</v>
      </c>
      <c r="K184" s="181">
        <v>12836</v>
      </c>
      <c r="L184" s="181">
        <v>81311.600000000006</v>
      </c>
      <c r="M184" s="181">
        <v>1961.05</v>
      </c>
      <c r="N184" s="181">
        <v>4870.05</v>
      </c>
      <c r="O184" s="184">
        <v>706434.7</v>
      </c>
      <c r="P184" s="181">
        <v>-12866.4</v>
      </c>
      <c r="Q184" s="181">
        <v>-2542</v>
      </c>
      <c r="R184" s="181">
        <v>2697.3</v>
      </c>
      <c r="S184" s="184">
        <v>693723.6</v>
      </c>
      <c r="V184" s="206">
        <f t="shared" si="30"/>
        <v>43.406290772522922</v>
      </c>
      <c r="W184" s="205">
        <f t="shared" si="31"/>
        <v>306.63709999999998</v>
      </c>
    </row>
    <row r="185" spans="1:23" ht="14.25">
      <c r="A185" s="207">
        <v>6</v>
      </c>
      <c r="B185" s="181">
        <v>69039.8</v>
      </c>
      <c r="C185" s="181">
        <v>2744.4</v>
      </c>
      <c r="D185" s="181">
        <v>145779.20000000001</v>
      </c>
      <c r="E185" s="181">
        <v>11149.8</v>
      </c>
      <c r="G185" s="181">
        <v>44252.5</v>
      </c>
      <c r="H185" s="181">
        <v>329878.09999999998</v>
      </c>
      <c r="I185" s="181">
        <v>16357.032655999999</v>
      </c>
      <c r="J185" s="181">
        <v>493.96734400000003</v>
      </c>
      <c r="K185" s="181">
        <v>12671.1</v>
      </c>
      <c r="L185" s="181">
        <v>82122.3</v>
      </c>
      <c r="M185" s="181">
        <v>2021.2</v>
      </c>
      <c r="N185" s="181">
        <v>4942.1000000000004</v>
      </c>
      <c r="O185" s="184">
        <v>721451.5</v>
      </c>
      <c r="P185" s="181">
        <v>-16666.599999999999</v>
      </c>
      <c r="Q185" s="181">
        <v>-3580</v>
      </c>
      <c r="R185" s="181">
        <v>-28126.9</v>
      </c>
      <c r="S185" s="184">
        <v>673078</v>
      </c>
      <c r="V185" s="206">
        <f t="shared" si="30"/>
        <v>45.724224012286342</v>
      </c>
      <c r="W185" s="205">
        <f t="shared" si="31"/>
        <v>329.87809999999996</v>
      </c>
    </row>
    <row r="186" spans="1:23" ht="14.25">
      <c r="A186" s="207">
        <v>7</v>
      </c>
      <c r="B186" s="181">
        <v>71831.600000000006</v>
      </c>
      <c r="C186" s="181">
        <v>5028.8</v>
      </c>
      <c r="D186" s="181">
        <v>145851.79999999999</v>
      </c>
      <c r="E186" s="181">
        <v>7754.4</v>
      </c>
      <c r="G186" s="181">
        <v>62560.800000000003</v>
      </c>
      <c r="H186" s="181">
        <v>226162.9</v>
      </c>
      <c r="I186" s="181">
        <v>26575.315382000001</v>
      </c>
      <c r="J186" s="181">
        <v>3390.1846179999998</v>
      </c>
      <c r="K186" s="181">
        <v>13854.2</v>
      </c>
      <c r="L186" s="181">
        <v>77429.2</v>
      </c>
      <c r="M186" s="181">
        <v>2312.4499999999998</v>
      </c>
      <c r="N186" s="181">
        <v>6000.65</v>
      </c>
      <c r="O186" s="184">
        <v>648752.30000000005</v>
      </c>
      <c r="P186" s="181">
        <v>-20067.8</v>
      </c>
      <c r="Q186" s="181">
        <v>-3018</v>
      </c>
      <c r="R186" s="181">
        <v>-23709.7</v>
      </c>
      <c r="S186" s="184">
        <v>601956.80000000005</v>
      </c>
      <c r="V186" s="206">
        <f t="shared" si="30"/>
        <v>34.861209740605155</v>
      </c>
      <c r="W186" s="205">
        <f t="shared" si="31"/>
        <v>226.16290000000001</v>
      </c>
    </row>
    <row r="187" spans="1:23" ht="14.25">
      <c r="A187" s="207">
        <v>8</v>
      </c>
      <c r="B187" s="181">
        <v>73000.5</v>
      </c>
      <c r="C187" s="181">
        <v>3249.8</v>
      </c>
      <c r="D187" s="181">
        <v>145998.20000000001</v>
      </c>
      <c r="E187" s="181">
        <v>6014.4</v>
      </c>
      <c r="G187" s="181">
        <v>54307.3</v>
      </c>
      <c r="H187" s="181">
        <v>157234.29999999999</v>
      </c>
      <c r="I187" s="181">
        <v>30375.396295999999</v>
      </c>
      <c r="J187" s="181">
        <v>4125.3037039999999</v>
      </c>
      <c r="K187" s="181">
        <v>13933.8</v>
      </c>
      <c r="L187" s="181">
        <v>75530.600000000006</v>
      </c>
      <c r="M187" s="181">
        <v>2265.6</v>
      </c>
      <c r="N187" s="181">
        <v>6037.7</v>
      </c>
      <c r="O187" s="184">
        <v>572072.9</v>
      </c>
      <c r="P187" s="181">
        <v>-19855.900000000001</v>
      </c>
      <c r="Q187" s="181">
        <v>-2988</v>
      </c>
      <c r="R187" s="181">
        <v>3557.2</v>
      </c>
      <c r="S187" s="184">
        <v>552786.19999999995</v>
      </c>
      <c r="V187" s="206">
        <f t="shared" si="30"/>
        <v>27.485011088621746</v>
      </c>
      <c r="W187" s="205">
        <f t="shared" si="31"/>
        <v>157.23429999999999</v>
      </c>
    </row>
    <row r="188" spans="1:23" ht="14.25">
      <c r="A188" s="207">
        <v>9</v>
      </c>
      <c r="B188" s="181">
        <v>106343.4</v>
      </c>
      <c r="C188" s="181">
        <v>11810.1</v>
      </c>
      <c r="D188" s="181">
        <v>145988.20000000001</v>
      </c>
      <c r="E188" s="181">
        <v>10084.5</v>
      </c>
      <c r="G188" s="181">
        <v>137515.70000000001</v>
      </c>
      <c r="H188" s="181">
        <v>67509.5</v>
      </c>
      <c r="I188" s="181">
        <v>27126.007865</v>
      </c>
      <c r="J188" s="181">
        <v>3644.0921349999999</v>
      </c>
      <c r="K188" s="181">
        <v>13630</v>
      </c>
      <c r="L188" s="181">
        <v>82479.399999999994</v>
      </c>
      <c r="M188" s="181">
        <v>2258.75</v>
      </c>
      <c r="N188" s="181">
        <v>6245.65</v>
      </c>
      <c r="O188" s="184">
        <v>614635.30000000005</v>
      </c>
      <c r="P188" s="181">
        <v>-6650.6</v>
      </c>
      <c r="Q188" s="181">
        <v>-3444</v>
      </c>
      <c r="R188" s="181">
        <v>51951.9</v>
      </c>
      <c r="S188" s="184">
        <v>656492.6</v>
      </c>
      <c r="V188" s="206">
        <f t="shared" si="30"/>
        <v>10.983667875893232</v>
      </c>
      <c r="W188" s="205">
        <f t="shared" si="31"/>
        <v>67.509500000000003</v>
      </c>
    </row>
    <row r="189" spans="1:23" ht="14.25">
      <c r="A189" s="207">
        <v>10</v>
      </c>
      <c r="B189" s="181">
        <v>123163.9</v>
      </c>
      <c r="C189" s="181">
        <v>6619.6</v>
      </c>
      <c r="D189" s="181">
        <v>146006.20000000001</v>
      </c>
      <c r="E189" s="181">
        <v>11817.4</v>
      </c>
      <c r="G189" s="181">
        <v>168531.9</v>
      </c>
      <c r="H189" s="181">
        <v>38072.800000000003</v>
      </c>
      <c r="I189" s="181">
        <v>33920.527271999999</v>
      </c>
      <c r="J189" s="181">
        <v>8879.8727280000003</v>
      </c>
      <c r="K189" s="181">
        <v>13916.1</v>
      </c>
      <c r="L189" s="181">
        <v>83087.5</v>
      </c>
      <c r="M189" s="181">
        <v>2263.9</v>
      </c>
      <c r="N189" s="181">
        <v>6070.1</v>
      </c>
      <c r="O189" s="184">
        <v>642349.80000000005</v>
      </c>
      <c r="P189" s="181">
        <v>-5776.8</v>
      </c>
      <c r="Q189" s="181">
        <v>-3554</v>
      </c>
      <c r="R189" s="181">
        <v>47807.7</v>
      </c>
      <c r="S189" s="184">
        <v>680826.7</v>
      </c>
      <c r="V189" s="206">
        <f t="shared" si="30"/>
        <v>5.9271132333192913</v>
      </c>
      <c r="W189" s="205">
        <f t="shared" si="31"/>
        <v>38.072800000000001</v>
      </c>
    </row>
    <row r="190" spans="1:23" ht="14.25">
      <c r="A190" s="207">
        <v>11</v>
      </c>
      <c r="B190" s="181">
        <v>96714.7</v>
      </c>
      <c r="C190" s="181">
        <v>4435.5</v>
      </c>
      <c r="D190" s="181">
        <v>146168.20000000001</v>
      </c>
      <c r="E190" s="181">
        <v>8536</v>
      </c>
      <c r="G190" s="181">
        <v>92699.5</v>
      </c>
      <c r="H190" s="181">
        <v>138757.79999999999</v>
      </c>
      <c r="I190" s="181">
        <v>32770.793861999999</v>
      </c>
      <c r="J190" s="181">
        <v>7749.1061380000001</v>
      </c>
      <c r="K190" s="181">
        <v>13529.7</v>
      </c>
      <c r="L190" s="181">
        <v>82242.8</v>
      </c>
      <c r="M190" s="181">
        <v>2264.9</v>
      </c>
      <c r="N190" s="181">
        <v>5869.6</v>
      </c>
      <c r="O190" s="184">
        <v>631738.6</v>
      </c>
      <c r="P190" s="181">
        <v>-7859.6</v>
      </c>
      <c r="Q190" s="181">
        <v>-3544</v>
      </c>
      <c r="R190" s="181">
        <v>68321.8</v>
      </c>
      <c r="S190" s="184">
        <v>688656.8</v>
      </c>
      <c r="V190" s="206">
        <f t="shared" si="30"/>
        <v>21.964432757472789</v>
      </c>
      <c r="W190" s="205">
        <f t="shared" si="31"/>
        <v>138.75779999999997</v>
      </c>
    </row>
    <row r="191" spans="1:23" ht="14.25">
      <c r="A191" s="207">
        <v>12</v>
      </c>
      <c r="B191" s="181">
        <v>98825.3</v>
      </c>
      <c r="C191" s="181">
        <v>7786.4</v>
      </c>
      <c r="D191" s="181">
        <v>146161.60000000001</v>
      </c>
      <c r="E191" s="181">
        <v>11186.8</v>
      </c>
      <c r="G191" s="181">
        <v>129599</v>
      </c>
      <c r="H191" s="181">
        <v>97941.5</v>
      </c>
      <c r="I191" s="181">
        <v>28534.06208</v>
      </c>
      <c r="J191" s="181">
        <v>2725.1379200000001</v>
      </c>
      <c r="K191" s="181">
        <v>13792.3</v>
      </c>
      <c r="L191" s="181">
        <v>82116.2</v>
      </c>
      <c r="M191" s="181">
        <v>2264.5500000000002</v>
      </c>
      <c r="N191" s="181">
        <v>5818.85</v>
      </c>
      <c r="O191" s="184">
        <v>626751.69999999995</v>
      </c>
      <c r="P191" s="181">
        <v>-2033.1</v>
      </c>
      <c r="Q191" s="181">
        <v>-3514</v>
      </c>
      <c r="R191" s="181">
        <v>66037.3</v>
      </c>
      <c r="S191" s="184">
        <v>687241.9</v>
      </c>
      <c r="V191" s="206">
        <f t="shared" si="30"/>
        <v>15.626842336446794</v>
      </c>
      <c r="W191" s="205">
        <f t="shared" si="31"/>
        <v>97.941500000000005</v>
      </c>
    </row>
    <row r="192" spans="1:23" ht="14.25">
      <c r="A192" s="207">
        <v>13</v>
      </c>
      <c r="B192" s="181">
        <v>97231.4</v>
      </c>
      <c r="C192" s="181">
        <v>2977.5</v>
      </c>
      <c r="D192" s="181">
        <v>146125.6</v>
      </c>
      <c r="E192" s="181">
        <v>11694.7</v>
      </c>
      <c r="G192" s="181">
        <v>132522.1</v>
      </c>
      <c r="H192" s="181">
        <v>76722.399999999994</v>
      </c>
      <c r="I192" s="181">
        <v>24667.786615000001</v>
      </c>
      <c r="J192" s="181">
        <v>958.31338500000004</v>
      </c>
      <c r="K192" s="181">
        <v>13725.2</v>
      </c>
      <c r="L192" s="181">
        <v>83169.5</v>
      </c>
      <c r="M192" s="181">
        <v>2264.9</v>
      </c>
      <c r="N192" s="181">
        <v>5846.3</v>
      </c>
      <c r="O192" s="184">
        <v>597905.69999999995</v>
      </c>
      <c r="P192" s="181">
        <v>-944</v>
      </c>
      <c r="Q192" s="181">
        <v>-3504</v>
      </c>
      <c r="R192" s="181">
        <v>87862.7</v>
      </c>
      <c r="S192" s="184">
        <v>681320.4</v>
      </c>
      <c r="V192" s="206">
        <f t="shared" si="30"/>
        <v>12.831856260945496</v>
      </c>
      <c r="W192" s="205">
        <f t="shared" si="31"/>
        <v>76.722399999999993</v>
      </c>
    </row>
    <row r="193" spans="1:23" ht="14.25">
      <c r="A193" s="207">
        <v>14</v>
      </c>
      <c r="B193" s="181">
        <v>69699.7</v>
      </c>
      <c r="C193" s="181">
        <v>5019.7</v>
      </c>
      <c r="D193" s="181">
        <v>146215.20000000001</v>
      </c>
      <c r="E193" s="181">
        <v>6219.5</v>
      </c>
      <c r="G193" s="181">
        <v>75702.7</v>
      </c>
      <c r="H193" s="181">
        <v>135819.1</v>
      </c>
      <c r="I193" s="181">
        <v>11364.383683</v>
      </c>
      <c r="J193" s="181">
        <v>308.31631700000003</v>
      </c>
      <c r="K193" s="181">
        <v>13740.3</v>
      </c>
      <c r="L193" s="181">
        <v>77964.7</v>
      </c>
      <c r="M193" s="181">
        <v>2245.5</v>
      </c>
      <c r="N193" s="181">
        <v>5706.4</v>
      </c>
      <c r="O193" s="184">
        <v>550005.5</v>
      </c>
      <c r="P193" s="181">
        <v>-7195.5</v>
      </c>
      <c r="Q193" s="181">
        <v>-3275</v>
      </c>
      <c r="R193" s="181">
        <v>70895.8</v>
      </c>
      <c r="S193" s="184">
        <v>610430.80000000005</v>
      </c>
      <c r="V193" s="206">
        <f t="shared" si="30"/>
        <v>24.694134876833051</v>
      </c>
      <c r="W193" s="205">
        <f t="shared" si="31"/>
        <v>135.81909999999999</v>
      </c>
    </row>
    <row r="194" spans="1:23" ht="14.25">
      <c r="A194" s="207">
        <v>15</v>
      </c>
      <c r="B194" s="181">
        <v>52811.5</v>
      </c>
      <c r="C194" s="181">
        <v>1042.8</v>
      </c>
      <c r="D194" s="181">
        <v>146213.79999999999</v>
      </c>
      <c r="E194" s="181">
        <v>8363.1</v>
      </c>
      <c r="G194" s="181">
        <v>44381.1</v>
      </c>
      <c r="H194" s="181">
        <v>217655.4</v>
      </c>
      <c r="I194" s="181">
        <v>27491.688593999999</v>
      </c>
      <c r="J194" s="181">
        <v>3185.8114059999998</v>
      </c>
      <c r="K194" s="181">
        <v>12789.7</v>
      </c>
      <c r="L194" s="181">
        <v>69604.2</v>
      </c>
      <c r="M194" s="181">
        <v>2135.35</v>
      </c>
      <c r="N194" s="181">
        <v>5475.85</v>
      </c>
      <c r="O194" s="184">
        <v>591150.30000000005</v>
      </c>
      <c r="P194" s="181">
        <v>-59318.5</v>
      </c>
      <c r="Q194" s="181">
        <v>-2939</v>
      </c>
      <c r="R194" s="181">
        <v>25175</v>
      </c>
      <c r="S194" s="184">
        <v>554067.80000000005</v>
      </c>
      <c r="V194" s="206">
        <f t="shared" si="30"/>
        <v>36.81896126924066</v>
      </c>
      <c r="W194" s="205">
        <f t="shared" si="31"/>
        <v>217.65539999999999</v>
      </c>
    </row>
    <row r="195" spans="1:23" ht="14.25">
      <c r="A195" s="207">
        <v>16</v>
      </c>
      <c r="B195" s="181">
        <v>92515</v>
      </c>
      <c r="C195" s="181">
        <v>7545.5</v>
      </c>
      <c r="D195" s="181">
        <v>146175.4</v>
      </c>
      <c r="E195" s="181">
        <v>10674.4</v>
      </c>
      <c r="G195" s="181">
        <v>132394.1</v>
      </c>
      <c r="H195" s="181">
        <v>104098</v>
      </c>
      <c r="I195" s="181">
        <v>25383.928185000001</v>
      </c>
      <c r="J195" s="181">
        <v>3375.6718150000002</v>
      </c>
      <c r="K195" s="181">
        <v>12939.8</v>
      </c>
      <c r="L195" s="181">
        <v>80567.100000000006</v>
      </c>
      <c r="M195" s="181">
        <v>2249.9</v>
      </c>
      <c r="N195" s="181">
        <v>5746</v>
      </c>
      <c r="O195" s="184">
        <v>623664.80000000005</v>
      </c>
      <c r="P195" s="181">
        <v>-5252.1</v>
      </c>
      <c r="Q195" s="181">
        <v>-3459</v>
      </c>
      <c r="R195" s="181">
        <v>45413.1</v>
      </c>
      <c r="S195" s="184">
        <v>660366.80000000005</v>
      </c>
      <c r="V195" s="206">
        <f t="shared" si="30"/>
        <v>16.691338039280073</v>
      </c>
      <c r="W195" s="205">
        <f t="shared" si="31"/>
        <v>104.098</v>
      </c>
    </row>
    <row r="196" spans="1:23" ht="14.25">
      <c r="A196" s="207">
        <v>17</v>
      </c>
      <c r="B196" s="181">
        <v>93912.8</v>
      </c>
      <c r="C196" s="181">
        <v>6225</v>
      </c>
      <c r="D196" s="181">
        <v>145497.1</v>
      </c>
      <c r="E196" s="181">
        <v>13130.3</v>
      </c>
      <c r="G196" s="181">
        <v>133288.20000000001</v>
      </c>
      <c r="H196" s="181">
        <v>62576.5</v>
      </c>
      <c r="I196" s="181">
        <v>30546.063099999999</v>
      </c>
      <c r="J196" s="181">
        <v>6441.3369000000002</v>
      </c>
      <c r="K196" s="181">
        <v>12905.8</v>
      </c>
      <c r="L196" s="181">
        <v>81291.199999999997</v>
      </c>
      <c r="M196" s="181">
        <v>2264.9</v>
      </c>
      <c r="N196" s="181">
        <v>5801.5</v>
      </c>
      <c r="O196" s="184">
        <v>593880.69999999995</v>
      </c>
      <c r="P196" s="181">
        <v>-2315.1999999999998</v>
      </c>
      <c r="Q196" s="181">
        <v>-2818</v>
      </c>
      <c r="R196" s="181">
        <v>91520.5</v>
      </c>
      <c r="S196" s="184">
        <v>680268</v>
      </c>
      <c r="V196" s="206">
        <f t="shared" si="30"/>
        <v>10.536880555303448</v>
      </c>
      <c r="W196" s="205">
        <f t="shared" si="31"/>
        <v>62.576500000000003</v>
      </c>
    </row>
    <row r="197" spans="1:23" ht="14.25">
      <c r="A197" s="207">
        <v>18</v>
      </c>
      <c r="B197" s="181">
        <v>81142.3</v>
      </c>
      <c r="C197" s="181">
        <v>9840.1</v>
      </c>
      <c r="D197" s="181">
        <v>151474.5</v>
      </c>
      <c r="E197" s="181">
        <v>10747.4</v>
      </c>
      <c r="G197" s="181">
        <v>129024</v>
      </c>
      <c r="H197" s="181">
        <v>89039.7</v>
      </c>
      <c r="I197" s="181">
        <v>33677.121146999998</v>
      </c>
      <c r="J197" s="181">
        <v>7248.2788529999998</v>
      </c>
      <c r="K197" s="181">
        <v>13311.4</v>
      </c>
      <c r="L197" s="181">
        <v>80673.399999999994</v>
      </c>
      <c r="M197" s="181">
        <v>2249.9</v>
      </c>
      <c r="N197" s="181">
        <v>5846.5</v>
      </c>
      <c r="O197" s="184">
        <v>614274.6</v>
      </c>
      <c r="P197" s="181">
        <v>-5341.4</v>
      </c>
      <c r="Q197" s="181">
        <v>-3560</v>
      </c>
      <c r="R197" s="181">
        <v>81805.8</v>
      </c>
      <c r="S197" s="184">
        <v>687179</v>
      </c>
      <c r="V197" s="206">
        <f t="shared" si="30"/>
        <v>14.49509714385065</v>
      </c>
      <c r="W197" s="205">
        <f t="shared" si="31"/>
        <v>89.039699999999996</v>
      </c>
    </row>
    <row r="198" spans="1:23" ht="14.25">
      <c r="A198" s="207">
        <v>19</v>
      </c>
      <c r="B198" s="181">
        <v>71516.399999999994</v>
      </c>
      <c r="C198" s="181">
        <v>4697</v>
      </c>
      <c r="D198" s="181">
        <v>159284.1</v>
      </c>
      <c r="E198" s="181">
        <v>13277.4</v>
      </c>
      <c r="G198" s="181">
        <v>95991.3</v>
      </c>
      <c r="H198" s="181">
        <v>184899.20000000001</v>
      </c>
      <c r="I198" s="181">
        <v>31985.271429</v>
      </c>
      <c r="J198" s="181">
        <v>6784.2285709999996</v>
      </c>
      <c r="K198" s="181">
        <v>13636.2</v>
      </c>
      <c r="L198" s="181">
        <v>82583.7</v>
      </c>
      <c r="M198" s="181">
        <v>2134.1</v>
      </c>
      <c r="N198" s="181">
        <v>6167.1</v>
      </c>
      <c r="O198" s="184">
        <v>672956</v>
      </c>
      <c r="P198" s="181">
        <v>-3469.9</v>
      </c>
      <c r="Q198" s="181">
        <v>-2664</v>
      </c>
      <c r="R198" s="181">
        <v>14137.9</v>
      </c>
      <c r="S198" s="184">
        <v>680960</v>
      </c>
      <c r="V198" s="206">
        <f t="shared" si="30"/>
        <v>27.475674486890679</v>
      </c>
      <c r="W198" s="205">
        <f t="shared" si="31"/>
        <v>184.89920000000001</v>
      </c>
    </row>
    <row r="199" spans="1:23" ht="14.25">
      <c r="A199" s="207">
        <v>20</v>
      </c>
      <c r="B199" s="181">
        <v>65307.9</v>
      </c>
      <c r="C199" s="181">
        <v>2717.6</v>
      </c>
      <c r="D199" s="181">
        <v>164790.70000000001</v>
      </c>
      <c r="E199" s="181">
        <v>10667.4</v>
      </c>
      <c r="G199" s="181">
        <v>68373.100000000006</v>
      </c>
      <c r="H199" s="181">
        <v>252062.5</v>
      </c>
      <c r="I199" s="181">
        <v>39374.255595000002</v>
      </c>
      <c r="J199" s="181">
        <v>8159.4444050000002</v>
      </c>
      <c r="K199" s="181">
        <v>14255.7</v>
      </c>
      <c r="L199" s="181">
        <v>82456.5</v>
      </c>
      <c r="M199" s="181">
        <v>2244.8000000000002</v>
      </c>
      <c r="N199" s="181">
        <v>6406.5</v>
      </c>
      <c r="O199" s="184">
        <v>716816.4</v>
      </c>
      <c r="P199" s="181">
        <v>-9149.5</v>
      </c>
      <c r="Q199" s="181">
        <v>-3611</v>
      </c>
      <c r="R199" s="181">
        <v>-27930.6</v>
      </c>
      <c r="S199" s="184">
        <v>676125.3</v>
      </c>
      <c r="V199" s="206">
        <f t="shared" si="30"/>
        <v>35.1641647707837</v>
      </c>
      <c r="W199" s="205">
        <f t="shared" si="31"/>
        <v>252.0625</v>
      </c>
    </row>
    <row r="200" spans="1:23" ht="14.25">
      <c r="A200" s="207">
        <v>21</v>
      </c>
      <c r="B200" s="181">
        <v>61683.8</v>
      </c>
      <c r="C200" s="181">
        <v>4778.3</v>
      </c>
      <c r="D200" s="181">
        <v>169768.8</v>
      </c>
      <c r="E200" s="181">
        <v>10569.4</v>
      </c>
      <c r="G200" s="181">
        <v>66255.600000000006</v>
      </c>
      <c r="H200" s="181">
        <v>119718.9</v>
      </c>
      <c r="I200" s="181">
        <v>38530.881718999997</v>
      </c>
      <c r="J200" s="181">
        <v>8825.4182810000002</v>
      </c>
      <c r="K200" s="181">
        <v>14346.4</v>
      </c>
      <c r="L200" s="181">
        <v>77448.399999999994</v>
      </c>
      <c r="M200" s="181">
        <v>2243.8000000000002</v>
      </c>
      <c r="N200" s="181">
        <v>6210</v>
      </c>
      <c r="O200" s="184">
        <v>580379.69999999995</v>
      </c>
      <c r="P200" s="181">
        <v>-21377.4</v>
      </c>
      <c r="Q200" s="181">
        <v>-3398</v>
      </c>
      <c r="R200" s="181">
        <v>57913.8</v>
      </c>
      <c r="S200" s="184">
        <v>613518.1</v>
      </c>
      <c r="V200" s="206">
        <f t="shared" si="30"/>
        <v>20.627685634077139</v>
      </c>
      <c r="W200" s="205">
        <f t="shared" si="31"/>
        <v>119.71889999999999</v>
      </c>
    </row>
    <row r="201" spans="1:23" ht="14.25">
      <c r="A201" s="207">
        <v>22</v>
      </c>
      <c r="B201" s="181">
        <v>57427.9</v>
      </c>
      <c r="C201" s="181">
        <v>7333.4</v>
      </c>
      <c r="D201" s="181">
        <v>169554.2</v>
      </c>
      <c r="E201" s="181">
        <v>10394.200000000001</v>
      </c>
      <c r="G201" s="181">
        <v>106331.1</v>
      </c>
      <c r="H201" s="181">
        <v>59758.5</v>
      </c>
      <c r="I201" s="181">
        <v>35600.603544999998</v>
      </c>
      <c r="J201" s="181">
        <v>8162.4964550000004</v>
      </c>
      <c r="K201" s="181">
        <v>13964.6</v>
      </c>
      <c r="L201" s="181">
        <v>74691.199999999997</v>
      </c>
      <c r="M201" s="181">
        <v>2265.3000000000002</v>
      </c>
      <c r="N201" s="181">
        <v>5777</v>
      </c>
      <c r="O201" s="184">
        <v>551260.5</v>
      </c>
      <c r="P201" s="181">
        <v>-4804.3</v>
      </c>
      <c r="Q201" s="181">
        <v>-3116</v>
      </c>
      <c r="R201" s="181">
        <v>34711.300000000003</v>
      </c>
      <c r="S201" s="184">
        <v>578051.5</v>
      </c>
      <c r="V201" s="206">
        <f t="shared" si="30"/>
        <v>10.840337735063549</v>
      </c>
      <c r="W201" s="205">
        <f t="shared" si="31"/>
        <v>59.758499999999998</v>
      </c>
    </row>
    <row r="202" spans="1:23" ht="14.25">
      <c r="A202" s="207">
        <v>23</v>
      </c>
      <c r="B202" s="181">
        <v>96380.3</v>
      </c>
      <c r="C202" s="181">
        <v>18517.3</v>
      </c>
      <c r="D202" s="181">
        <v>169960.2</v>
      </c>
      <c r="E202" s="181">
        <v>15099.4</v>
      </c>
      <c r="G202" s="181">
        <v>162041</v>
      </c>
      <c r="H202" s="181">
        <v>50143.3</v>
      </c>
      <c r="I202" s="181">
        <v>37239.963538000004</v>
      </c>
      <c r="J202" s="181">
        <v>7919.9364619999997</v>
      </c>
      <c r="K202" s="181">
        <v>13289.2</v>
      </c>
      <c r="L202" s="181">
        <v>80037.399999999994</v>
      </c>
      <c r="M202" s="181">
        <v>2264.9</v>
      </c>
      <c r="N202" s="181">
        <v>6221.9</v>
      </c>
      <c r="O202" s="184">
        <v>659114.80000000005</v>
      </c>
      <c r="P202" s="181">
        <v>-2090.4</v>
      </c>
      <c r="Q202" s="181">
        <v>-3888</v>
      </c>
      <c r="R202" s="181">
        <v>43054.6</v>
      </c>
      <c r="S202" s="184">
        <v>696191</v>
      </c>
      <c r="V202" s="206">
        <f t="shared" si="30"/>
        <v>7.6076732004804013</v>
      </c>
      <c r="W202" s="205">
        <f t="shared" si="31"/>
        <v>50.143300000000004</v>
      </c>
    </row>
    <row r="203" spans="1:23" ht="14.25">
      <c r="A203" s="207">
        <v>24</v>
      </c>
      <c r="B203" s="181">
        <v>93876.9</v>
      </c>
      <c r="C203" s="181">
        <v>8715.7999999999993</v>
      </c>
      <c r="D203" s="181">
        <v>170050.5</v>
      </c>
      <c r="E203" s="181">
        <v>17139.5</v>
      </c>
      <c r="G203" s="181">
        <v>163589.5</v>
      </c>
      <c r="H203" s="181">
        <v>105645.7</v>
      </c>
      <c r="I203" s="181">
        <v>29882.112820999999</v>
      </c>
      <c r="J203" s="181">
        <v>3810.7871789999999</v>
      </c>
      <c r="K203" s="181">
        <v>13204.3</v>
      </c>
      <c r="L203" s="181">
        <v>80324.800000000003</v>
      </c>
      <c r="M203" s="181">
        <v>2253.0500000000002</v>
      </c>
      <c r="N203" s="181">
        <v>6268.75</v>
      </c>
      <c r="O203" s="184">
        <v>694761.7</v>
      </c>
      <c r="P203" s="181">
        <v>-2453.6999999999998</v>
      </c>
      <c r="Q203" s="181">
        <v>-2987</v>
      </c>
      <c r="R203" s="181">
        <v>34760.6</v>
      </c>
      <c r="S203" s="184">
        <v>724081.6</v>
      </c>
      <c r="V203" s="206">
        <f t="shared" si="30"/>
        <v>15.206033953800274</v>
      </c>
      <c r="W203" s="205">
        <f t="shared" si="31"/>
        <v>105.64569999999999</v>
      </c>
    </row>
    <row r="204" spans="1:23" ht="14.25">
      <c r="A204" s="207">
        <v>25</v>
      </c>
      <c r="B204" s="181">
        <v>91263.2</v>
      </c>
      <c r="C204" s="181">
        <v>6847.8</v>
      </c>
      <c r="D204" s="181">
        <v>169865.8</v>
      </c>
      <c r="E204" s="181">
        <v>16950.599999999999</v>
      </c>
      <c r="G204" s="181">
        <v>151472.4</v>
      </c>
      <c r="H204" s="181">
        <v>122877.2</v>
      </c>
      <c r="I204" s="181">
        <v>18718.33252</v>
      </c>
      <c r="J204" s="181">
        <v>862.26747999999998</v>
      </c>
      <c r="K204" s="181">
        <v>13336.7</v>
      </c>
      <c r="L204" s="181">
        <v>81138.5</v>
      </c>
      <c r="M204" s="181">
        <v>2274.5500000000002</v>
      </c>
      <c r="N204" s="181">
        <v>6289.05</v>
      </c>
      <c r="O204" s="184">
        <v>681896.4</v>
      </c>
      <c r="P204" s="181">
        <v>-5492.4</v>
      </c>
      <c r="Q204" s="181">
        <v>-3028</v>
      </c>
      <c r="R204" s="181">
        <v>59476.5</v>
      </c>
      <c r="S204" s="184">
        <v>732852.5</v>
      </c>
      <c r="V204" s="206">
        <f t="shared" si="30"/>
        <v>18.019922087871411</v>
      </c>
      <c r="W204" s="205">
        <f t="shared" si="31"/>
        <v>122.8772</v>
      </c>
    </row>
    <row r="205" spans="1:23" ht="14.25">
      <c r="A205" s="207">
        <v>26</v>
      </c>
      <c r="B205" s="181">
        <v>93329.4</v>
      </c>
      <c r="C205" s="181">
        <v>1684</v>
      </c>
      <c r="D205" s="181">
        <v>169826.1</v>
      </c>
      <c r="E205" s="181">
        <v>16890</v>
      </c>
      <c r="G205" s="181">
        <v>125848.1</v>
      </c>
      <c r="H205" s="181">
        <v>223280.8</v>
      </c>
      <c r="I205" s="181">
        <v>6057.3347309999999</v>
      </c>
      <c r="J205" s="181">
        <v>205.36526900000001</v>
      </c>
      <c r="K205" s="181">
        <v>13561.1</v>
      </c>
      <c r="L205" s="181">
        <v>83824.899999999994</v>
      </c>
      <c r="M205" s="181">
        <v>2268.1</v>
      </c>
      <c r="N205" s="181">
        <v>6141.3</v>
      </c>
      <c r="O205" s="184">
        <v>742916.5</v>
      </c>
      <c r="P205" s="181">
        <v>-8341.2999999999993</v>
      </c>
      <c r="Q205" s="181">
        <v>-3969</v>
      </c>
      <c r="R205" s="181">
        <v>-822.3</v>
      </c>
      <c r="S205" s="184">
        <v>729783.9</v>
      </c>
      <c r="V205" s="206">
        <f t="shared" si="30"/>
        <v>30.054629288755869</v>
      </c>
      <c r="W205" s="205">
        <f t="shared" si="31"/>
        <v>223.2808</v>
      </c>
    </row>
    <row r="206" spans="1:23" ht="14.25">
      <c r="A206" s="207">
        <v>27</v>
      </c>
      <c r="B206" s="181">
        <v>103758.39999999999</v>
      </c>
      <c r="C206" s="181">
        <v>7193</v>
      </c>
      <c r="D206" s="181">
        <v>169678.5</v>
      </c>
      <c r="E206" s="181">
        <v>15017.4</v>
      </c>
      <c r="G206" s="181">
        <v>168786.9</v>
      </c>
      <c r="H206" s="181">
        <v>157676.5</v>
      </c>
      <c r="I206" s="181">
        <v>8967.6728399999993</v>
      </c>
      <c r="J206" s="181">
        <v>328.72716000000003</v>
      </c>
      <c r="K206" s="181">
        <v>13884.3</v>
      </c>
      <c r="L206" s="181">
        <v>84576.8</v>
      </c>
      <c r="M206" s="181">
        <v>2307</v>
      </c>
      <c r="N206" s="181">
        <v>6576.2</v>
      </c>
      <c r="O206" s="184">
        <v>738751.4</v>
      </c>
      <c r="P206" s="181">
        <v>-4543.3999999999996</v>
      </c>
      <c r="Q206" s="181">
        <v>-2288</v>
      </c>
      <c r="R206" s="181">
        <v>-9400.7999999999993</v>
      </c>
      <c r="S206" s="184">
        <v>722519.2</v>
      </c>
      <c r="V206" s="206">
        <f t="shared" si="30"/>
        <v>21.343648215082908</v>
      </c>
      <c r="W206" s="205">
        <f t="shared" si="31"/>
        <v>157.6765</v>
      </c>
    </row>
    <row r="207" spans="1:23" ht="14.25">
      <c r="A207" s="207">
        <v>28</v>
      </c>
      <c r="B207" s="181">
        <v>84052</v>
      </c>
      <c r="C207" s="181">
        <v>907.1</v>
      </c>
      <c r="D207" s="181">
        <v>169675.7</v>
      </c>
      <c r="E207" s="181">
        <v>10807.4</v>
      </c>
      <c r="G207" s="181">
        <v>141145.4</v>
      </c>
      <c r="H207" s="181">
        <v>76442.600000000006</v>
      </c>
      <c r="I207" s="181">
        <v>20588.945100000001</v>
      </c>
      <c r="J207" s="181">
        <v>1690.2548999999999</v>
      </c>
      <c r="K207" s="181">
        <v>14107.5</v>
      </c>
      <c r="L207" s="181">
        <v>80230</v>
      </c>
      <c r="M207" s="181">
        <v>2347.1999999999998</v>
      </c>
      <c r="N207" s="181">
        <v>6227.4</v>
      </c>
      <c r="O207" s="184">
        <v>608221.5</v>
      </c>
      <c r="P207" s="181">
        <v>-3320</v>
      </c>
      <c r="Q207" s="181">
        <v>-2401</v>
      </c>
      <c r="R207" s="181">
        <v>41311.4</v>
      </c>
      <c r="S207" s="184">
        <v>643811.9</v>
      </c>
      <c r="V207" s="206">
        <f t="shared" si="30"/>
        <v>12.568217335296437</v>
      </c>
      <c r="W207" s="205">
        <f t="shared" si="31"/>
        <v>76.442599999999999</v>
      </c>
    </row>
    <row r="208" spans="1:23" ht="14.25">
      <c r="A208" s="207">
        <v>29</v>
      </c>
      <c r="B208" s="181">
        <v>81134.100000000006</v>
      </c>
      <c r="C208" s="181">
        <v>4924.8</v>
      </c>
      <c r="D208" s="181">
        <v>169163.9</v>
      </c>
      <c r="E208" s="181">
        <v>10797.4</v>
      </c>
      <c r="G208" s="181">
        <v>128798.8</v>
      </c>
      <c r="H208" s="181">
        <v>59502.400000000001</v>
      </c>
      <c r="I208" s="181">
        <v>22797.853846000002</v>
      </c>
      <c r="J208" s="181">
        <v>1827.2461539999999</v>
      </c>
      <c r="K208" s="181">
        <v>14348.1</v>
      </c>
      <c r="L208" s="181">
        <v>77326.2</v>
      </c>
      <c r="M208" s="181">
        <v>2330.0500000000002</v>
      </c>
      <c r="N208" s="181">
        <v>6008.65</v>
      </c>
      <c r="O208" s="184">
        <v>578959.5</v>
      </c>
      <c r="P208" s="181">
        <v>-10010.4</v>
      </c>
      <c r="Q208" s="181">
        <v>-3152</v>
      </c>
      <c r="R208" s="181">
        <v>36342.5</v>
      </c>
      <c r="S208" s="184">
        <v>602139.6</v>
      </c>
      <c r="V208" s="206">
        <f t="shared" si="30"/>
        <v>10.277471912974914</v>
      </c>
      <c r="W208" s="205">
        <f t="shared" si="31"/>
        <v>59.502400000000002</v>
      </c>
    </row>
    <row r="209" spans="1:23" ht="14.25">
      <c r="A209" s="207">
        <v>30</v>
      </c>
      <c r="B209" s="181">
        <v>100393</v>
      </c>
      <c r="C209" s="181">
        <v>10291.299999999999</v>
      </c>
      <c r="D209" s="181">
        <v>169034.3</v>
      </c>
      <c r="E209" s="181">
        <v>13569.1</v>
      </c>
      <c r="G209" s="181">
        <v>157975</v>
      </c>
      <c r="H209" s="181">
        <v>89236.2</v>
      </c>
      <c r="I209" s="181">
        <v>26286.251736999999</v>
      </c>
      <c r="J209" s="181">
        <v>1612.248263</v>
      </c>
      <c r="K209" s="181">
        <v>14121.7</v>
      </c>
      <c r="L209" s="181">
        <v>83166.8</v>
      </c>
      <c r="M209" s="181">
        <v>2269.85</v>
      </c>
      <c r="N209" s="181">
        <v>5918.25</v>
      </c>
      <c r="O209" s="184">
        <v>673874</v>
      </c>
      <c r="P209" s="181">
        <v>-5005.3</v>
      </c>
      <c r="Q209" s="181">
        <v>-3996</v>
      </c>
      <c r="R209" s="181">
        <v>45440.1</v>
      </c>
      <c r="S209" s="184">
        <v>710312.8</v>
      </c>
      <c r="V209" s="206">
        <f t="shared" si="30"/>
        <v>13.242267842356286</v>
      </c>
      <c r="W209" s="205">
        <f t="shared" si="31"/>
        <v>89.236199999999997</v>
      </c>
    </row>
    <row r="210" spans="1:23" ht="14.25">
      <c r="V210" s="206" t="str">
        <f t="shared" si="30"/>
        <v/>
      </c>
      <c r="W210" s="205" t="str">
        <f t="shared" si="31"/>
        <v/>
      </c>
    </row>
    <row r="211" spans="1:23">
      <c r="I211">
        <f>MAX(I180:I210)</f>
        <v>39982.756990000002</v>
      </c>
    </row>
    <row r="215" spans="1:23">
      <c r="A215" s="177" t="s">
        <v>31</v>
      </c>
      <c r="B215" s="346" t="s">
        <v>627</v>
      </c>
      <c r="C215" s="347"/>
      <c r="D215" s="347"/>
      <c r="E215" s="347"/>
      <c r="F215" s="347"/>
      <c r="G215" s="347"/>
      <c r="H215" s="347"/>
      <c r="I215" s="347"/>
      <c r="J215" s="347"/>
      <c r="K215" s="347"/>
      <c r="L215" s="347"/>
      <c r="M215" s="347"/>
      <c r="N215" s="347"/>
      <c r="O215" s="347"/>
      <c r="P215" s="347"/>
      <c r="Q215" s="347"/>
      <c r="R215" s="347"/>
      <c r="S215" s="347"/>
    </row>
    <row r="216" spans="1:23">
      <c r="A216" s="177" t="s">
        <v>105</v>
      </c>
      <c r="B216" s="335" t="s">
        <v>98</v>
      </c>
      <c r="C216" s="336"/>
      <c r="D216" s="336"/>
      <c r="E216" s="336"/>
      <c r="F216" s="336"/>
      <c r="G216" s="336"/>
      <c r="H216" s="336"/>
      <c r="I216" s="336"/>
      <c r="J216" s="336"/>
      <c r="K216" s="336"/>
      <c r="L216" s="336"/>
      <c r="M216" s="336"/>
      <c r="N216" s="336"/>
      <c r="O216" s="336"/>
      <c r="P216" s="336"/>
      <c r="Q216" s="336"/>
      <c r="R216" s="336"/>
      <c r="S216" s="336"/>
    </row>
    <row r="217" spans="1:23">
      <c r="A217" s="177" t="s">
        <v>106</v>
      </c>
      <c r="B217" s="337" t="s">
        <v>121</v>
      </c>
      <c r="C217" s="338"/>
      <c r="D217" s="338"/>
      <c r="E217" s="338"/>
      <c r="F217" s="338"/>
      <c r="G217" s="338"/>
      <c r="H217" s="338"/>
      <c r="I217" s="338"/>
      <c r="J217" s="338"/>
      <c r="K217" s="338"/>
      <c r="L217" s="338"/>
      <c r="M217" s="338"/>
      <c r="N217" s="338"/>
      <c r="O217" s="338"/>
      <c r="P217" s="338"/>
      <c r="Q217" s="338"/>
      <c r="R217" s="338"/>
      <c r="S217" s="338"/>
    </row>
    <row r="218" spans="1:23">
      <c r="A218" s="186" t="s">
        <v>107</v>
      </c>
      <c r="B218" s="316" t="s">
        <v>2</v>
      </c>
      <c r="C218" s="316" t="s">
        <v>81</v>
      </c>
      <c r="D218" s="316" t="s">
        <v>3</v>
      </c>
      <c r="E218" s="316" t="s">
        <v>4</v>
      </c>
      <c r="F218" s="316" t="s">
        <v>95</v>
      </c>
      <c r="G218" s="316" t="s">
        <v>11</v>
      </c>
      <c r="H218" s="316" t="s">
        <v>5</v>
      </c>
      <c r="I218" s="316" t="s">
        <v>6</v>
      </c>
      <c r="J218" s="316" t="s">
        <v>7</v>
      </c>
      <c r="K218" s="316" t="s">
        <v>8</v>
      </c>
      <c r="L218" s="316" t="s">
        <v>9</v>
      </c>
      <c r="M218" s="316" t="s">
        <v>69</v>
      </c>
      <c r="N218" s="316" t="s">
        <v>70</v>
      </c>
      <c r="O218" s="202" t="s">
        <v>10</v>
      </c>
      <c r="P218" s="316" t="s">
        <v>123</v>
      </c>
      <c r="Q218" s="316" t="s">
        <v>97</v>
      </c>
      <c r="R218" s="316" t="s">
        <v>124</v>
      </c>
      <c r="S218" s="202" t="s">
        <v>125</v>
      </c>
      <c r="V218" s="204" t="s">
        <v>127</v>
      </c>
    </row>
    <row r="219" spans="1:23" ht="14.25">
      <c r="A219" s="186" t="s">
        <v>120</v>
      </c>
      <c r="B219" s="192"/>
      <c r="C219" s="192"/>
      <c r="D219" s="192"/>
      <c r="E219" s="192"/>
      <c r="F219" s="192"/>
      <c r="G219" s="192"/>
      <c r="H219" s="192"/>
      <c r="I219" s="192"/>
      <c r="J219" s="192"/>
      <c r="K219" s="192"/>
      <c r="L219" s="192"/>
      <c r="M219" s="192"/>
      <c r="N219" s="192"/>
      <c r="O219" s="203"/>
      <c r="P219" s="192"/>
      <c r="Q219" s="192"/>
      <c r="R219" s="192"/>
      <c r="S219" s="203"/>
      <c r="V219" s="205"/>
    </row>
    <row r="220" spans="1:23" ht="14.25">
      <c r="A220" s="207">
        <v>1</v>
      </c>
      <c r="B220" s="181">
        <v>1.4471000000000001</v>
      </c>
      <c r="C220" s="181">
        <v>0</v>
      </c>
      <c r="D220" s="181">
        <v>6.0747999999999998</v>
      </c>
      <c r="E220" s="181">
        <v>0.25009999999999999</v>
      </c>
      <c r="G220" s="181">
        <v>1.5501</v>
      </c>
      <c r="H220" s="181">
        <v>11.8033</v>
      </c>
      <c r="I220" s="181">
        <v>0</v>
      </c>
      <c r="J220" s="181">
        <v>1.12E-2</v>
      </c>
      <c r="K220" s="181">
        <v>0.54120000000000001</v>
      </c>
      <c r="L220" s="181">
        <v>3.3517000000000001</v>
      </c>
      <c r="M220" s="181">
        <v>8.1299999999999997E-2</v>
      </c>
      <c r="N220" s="181">
        <v>0.18940000000000001</v>
      </c>
      <c r="O220" s="184">
        <v>25.3002</v>
      </c>
      <c r="P220" s="181">
        <v>-1.2110000000000001</v>
      </c>
      <c r="Q220" s="181">
        <v>-0.10199999999999999</v>
      </c>
      <c r="R220" s="181">
        <v>0.28739999999999999</v>
      </c>
      <c r="S220" s="184">
        <v>24.2746</v>
      </c>
      <c r="V220" s="206">
        <f t="shared" ref="V220:V243" si="32">IFERROR(H220/O220*100,"")</f>
        <v>46.652990885447551</v>
      </c>
    </row>
    <row r="221" spans="1:23" ht="14.25">
      <c r="A221" s="207">
        <v>2</v>
      </c>
      <c r="B221" s="181">
        <v>1.3924000000000001</v>
      </c>
      <c r="C221" s="181">
        <v>0</v>
      </c>
      <c r="D221" s="181">
        <v>6.0747999999999998</v>
      </c>
      <c r="E221" s="181">
        <v>0.33410000000000001</v>
      </c>
      <c r="G221" s="181">
        <v>1.4581999999999999</v>
      </c>
      <c r="H221" s="181">
        <v>11.912699999999999</v>
      </c>
      <c r="I221" s="181">
        <v>2.0000000000000001E-4</v>
      </c>
      <c r="J221" s="181">
        <v>1.1299999999999999E-2</v>
      </c>
      <c r="K221" s="181">
        <v>0.54039999999999999</v>
      </c>
      <c r="L221" s="181">
        <v>3.3281000000000001</v>
      </c>
      <c r="M221" s="181">
        <v>8.1699999999999995E-2</v>
      </c>
      <c r="N221" s="181">
        <v>0.1883</v>
      </c>
      <c r="O221" s="184">
        <v>25.322199999999999</v>
      </c>
      <c r="P221" s="181">
        <v>-1.4343999999999999</v>
      </c>
      <c r="Q221" s="181">
        <v>-0.10199999999999999</v>
      </c>
      <c r="R221" s="181">
        <v>-0.94130000000000003</v>
      </c>
      <c r="S221" s="184">
        <v>22.8445</v>
      </c>
      <c r="V221" s="206">
        <f t="shared" si="32"/>
        <v>47.044490605081705</v>
      </c>
    </row>
    <row r="222" spans="1:23" ht="14.25">
      <c r="A222" s="207">
        <v>3</v>
      </c>
      <c r="B222" s="181">
        <v>1.2693000000000001</v>
      </c>
      <c r="C222" s="181">
        <v>0</v>
      </c>
      <c r="D222" s="181">
        <v>6.0747999999999998</v>
      </c>
      <c r="E222" s="181">
        <v>0.43809999999999999</v>
      </c>
      <c r="G222" s="181">
        <v>1.4589000000000001</v>
      </c>
      <c r="H222" s="181">
        <v>12.033799999999999</v>
      </c>
      <c r="I222" s="181">
        <v>0</v>
      </c>
      <c r="J222" s="181">
        <v>1.1299999999999999E-2</v>
      </c>
      <c r="K222" s="181">
        <v>0.53979999999999995</v>
      </c>
      <c r="L222" s="181">
        <v>3.3395999999999999</v>
      </c>
      <c r="M222" s="181">
        <v>8.1350000000000006E-2</v>
      </c>
      <c r="N222" s="181">
        <v>0.18784999999999999</v>
      </c>
      <c r="O222" s="184">
        <v>25.434799999999999</v>
      </c>
      <c r="P222" s="181">
        <v>-1.6615</v>
      </c>
      <c r="Q222" s="181">
        <v>-0.10199999999999999</v>
      </c>
      <c r="R222" s="181">
        <v>-1.6042000000000001</v>
      </c>
      <c r="S222" s="184">
        <v>22.0671</v>
      </c>
      <c r="V222" s="206">
        <f t="shared" si="32"/>
        <v>47.31234371805558</v>
      </c>
    </row>
    <row r="223" spans="1:23" ht="14.25">
      <c r="A223" s="207">
        <v>4</v>
      </c>
      <c r="B223" s="181">
        <v>1.2827</v>
      </c>
      <c r="C223" s="181">
        <v>0</v>
      </c>
      <c r="D223" s="181">
        <v>6.0747999999999998</v>
      </c>
      <c r="E223" s="181">
        <v>0.43309999999999998</v>
      </c>
      <c r="G223" s="181">
        <v>1.3743000000000001</v>
      </c>
      <c r="H223" s="181">
        <v>12.119400000000001</v>
      </c>
      <c r="I223" s="181">
        <v>2.0000000000000001E-4</v>
      </c>
      <c r="J223" s="181">
        <v>1.1299999999999999E-2</v>
      </c>
      <c r="K223" s="181">
        <v>0.54139999999999999</v>
      </c>
      <c r="L223" s="181">
        <v>3.3332000000000002</v>
      </c>
      <c r="M223" s="181">
        <v>8.1699999999999995E-2</v>
      </c>
      <c r="N223" s="181">
        <v>0.1888</v>
      </c>
      <c r="O223" s="184">
        <v>25.440899999999999</v>
      </c>
      <c r="P223" s="181">
        <v>-1.984</v>
      </c>
      <c r="Q223" s="181">
        <v>-9.1999999999999998E-2</v>
      </c>
      <c r="R223" s="181">
        <v>-1.5475000000000001</v>
      </c>
      <c r="S223" s="184">
        <v>21.817399999999999</v>
      </c>
      <c r="V223" s="206">
        <f t="shared" si="32"/>
        <v>47.637465655696147</v>
      </c>
    </row>
    <row r="224" spans="1:23" ht="14.25">
      <c r="A224" s="207">
        <v>5</v>
      </c>
      <c r="B224" s="181">
        <v>1.2751999999999999</v>
      </c>
      <c r="C224" s="181">
        <v>0</v>
      </c>
      <c r="D224" s="181">
        <v>6.0747999999999998</v>
      </c>
      <c r="E224" s="181">
        <v>0.43509999999999999</v>
      </c>
      <c r="G224" s="181">
        <v>1.3745000000000001</v>
      </c>
      <c r="H224" s="181">
        <v>12.2293</v>
      </c>
      <c r="I224" s="181">
        <v>2.0000000000000001E-4</v>
      </c>
      <c r="J224" s="181">
        <v>1.1299999999999999E-2</v>
      </c>
      <c r="K224" s="181">
        <v>0.54179999999999995</v>
      </c>
      <c r="L224" s="181">
        <v>3.3456000000000001</v>
      </c>
      <c r="M224" s="181">
        <v>8.14E-2</v>
      </c>
      <c r="N224" s="181">
        <v>0.18940000000000001</v>
      </c>
      <c r="O224" s="184">
        <v>25.558599999999998</v>
      </c>
      <c r="P224" s="181">
        <v>-2.1804999999999999</v>
      </c>
      <c r="Q224" s="181">
        <v>-9.1999999999999998E-2</v>
      </c>
      <c r="R224" s="181">
        <v>-1.4985999999999999</v>
      </c>
      <c r="S224" s="184">
        <v>21.787500000000001</v>
      </c>
      <c r="V224" s="206">
        <f t="shared" si="32"/>
        <v>47.848082445830372</v>
      </c>
    </row>
    <row r="225" spans="1:22" ht="14.25">
      <c r="A225" s="207">
        <v>6</v>
      </c>
      <c r="B225" s="181">
        <v>1.2730999999999999</v>
      </c>
      <c r="C225" s="181">
        <v>0</v>
      </c>
      <c r="D225" s="181">
        <v>6.0747999999999998</v>
      </c>
      <c r="E225" s="181">
        <v>0.43509999999999999</v>
      </c>
      <c r="G225" s="181">
        <v>1.4161999999999999</v>
      </c>
      <c r="H225" s="181">
        <v>12.8484</v>
      </c>
      <c r="I225" s="181">
        <v>2.0000000000000001E-4</v>
      </c>
      <c r="J225" s="181">
        <v>1.1299999999999999E-2</v>
      </c>
      <c r="K225" s="181">
        <v>0.5444</v>
      </c>
      <c r="L225" s="181">
        <v>3.3424</v>
      </c>
      <c r="M225" s="181">
        <v>8.1699999999999995E-2</v>
      </c>
      <c r="N225" s="181">
        <v>0.19</v>
      </c>
      <c r="O225" s="184">
        <v>26.217600000000001</v>
      </c>
      <c r="P225" s="181">
        <v>-1.9955000000000001</v>
      </c>
      <c r="Q225" s="181">
        <v>-0.10199999999999999</v>
      </c>
      <c r="R225" s="181">
        <v>-1.8222</v>
      </c>
      <c r="S225" s="184">
        <v>22.297899999999998</v>
      </c>
      <c r="V225" s="206">
        <f t="shared" si="32"/>
        <v>49.006774075430243</v>
      </c>
    </row>
    <row r="226" spans="1:22" ht="14.25">
      <c r="A226" s="207">
        <v>7</v>
      </c>
      <c r="B226" s="181">
        <v>2.2361</v>
      </c>
      <c r="C226" s="181">
        <v>0</v>
      </c>
      <c r="D226" s="181">
        <v>6.0747999999999998</v>
      </c>
      <c r="E226" s="181">
        <v>0.4415</v>
      </c>
      <c r="G226" s="181">
        <v>1.4851000000000001</v>
      </c>
      <c r="H226" s="181">
        <v>12.898400000000001</v>
      </c>
      <c r="I226" s="181">
        <v>3.2000000000000002E-3</v>
      </c>
      <c r="J226" s="181">
        <v>1.1299999999999999E-2</v>
      </c>
      <c r="K226" s="181">
        <v>0.51649999999999996</v>
      </c>
      <c r="L226" s="181">
        <v>3.3500999999999999</v>
      </c>
      <c r="M226" s="181">
        <v>8.1199999999999994E-2</v>
      </c>
      <c r="N226" s="181">
        <v>0.1895</v>
      </c>
      <c r="O226" s="184">
        <v>27.287700000000001</v>
      </c>
      <c r="P226" s="181">
        <v>-1.5857000000000001</v>
      </c>
      <c r="Q226" s="181">
        <v>-0.10199999999999999</v>
      </c>
      <c r="R226" s="181">
        <v>-0.87319999999999998</v>
      </c>
      <c r="S226" s="184">
        <v>24.726800000000001</v>
      </c>
      <c r="V226" s="206">
        <f t="shared" si="32"/>
        <v>47.268183100810987</v>
      </c>
    </row>
    <row r="227" spans="1:22" ht="14.25">
      <c r="A227" s="207">
        <v>8</v>
      </c>
      <c r="B227" s="181">
        <v>3.7926000000000002</v>
      </c>
      <c r="C227" s="181">
        <v>0.17199999999999999</v>
      </c>
      <c r="D227" s="181">
        <v>6.0747999999999998</v>
      </c>
      <c r="E227" s="181">
        <v>0.42809999999999998</v>
      </c>
      <c r="G227" s="181">
        <v>1.8648</v>
      </c>
      <c r="H227" s="181">
        <v>12.8462</v>
      </c>
      <c r="I227" s="181">
        <v>1.2E-2</v>
      </c>
      <c r="J227" s="181">
        <v>1.1299999999999999E-2</v>
      </c>
      <c r="K227" s="181">
        <v>0.51580000000000004</v>
      </c>
      <c r="L227" s="181">
        <v>3.4382999999999999</v>
      </c>
      <c r="M227" s="181">
        <v>7.9799999999999996E-2</v>
      </c>
      <c r="N227" s="181">
        <v>0.19020000000000001</v>
      </c>
      <c r="O227" s="184">
        <v>29.425899999999999</v>
      </c>
      <c r="P227" s="181">
        <v>-1.0154000000000001</v>
      </c>
      <c r="Q227" s="181">
        <v>-0.128</v>
      </c>
      <c r="R227" s="181">
        <v>-0.40710000000000002</v>
      </c>
      <c r="S227" s="184">
        <v>27.875399999999999</v>
      </c>
      <c r="V227" s="206">
        <f t="shared" si="32"/>
        <v>43.656098878878815</v>
      </c>
    </row>
    <row r="228" spans="1:22" ht="14.25">
      <c r="A228" s="207">
        <v>9</v>
      </c>
      <c r="B228" s="181">
        <v>4.3106</v>
      </c>
      <c r="C228" s="181">
        <v>4.65E-2</v>
      </c>
      <c r="D228" s="181">
        <v>6.0747999999999998</v>
      </c>
      <c r="E228" s="181">
        <v>0.43309999999999998</v>
      </c>
      <c r="G228" s="181">
        <v>1.8375999999999999</v>
      </c>
      <c r="H228" s="181">
        <v>13.121700000000001</v>
      </c>
      <c r="I228" s="181">
        <v>0.226079592</v>
      </c>
      <c r="J228" s="181">
        <v>2.8204079999999999E-3</v>
      </c>
      <c r="K228" s="181">
        <v>0.51939999999999997</v>
      </c>
      <c r="L228" s="181">
        <v>3.4773999999999998</v>
      </c>
      <c r="M228" s="181">
        <v>7.9850000000000004E-2</v>
      </c>
      <c r="N228" s="181">
        <v>0.18934999999999999</v>
      </c>
      <c r="O228" s="184">
        <v>30.319199999999999</v>
      </c>
      <c r="P228" s="181">
        <v>-0.23780000000000001</v>
      </c>
      <c r="Q228" s="181">
        <v>-0.153</v>
      </c>
      <c r="R228" s="181">
        <v>3.1800000000000002E-2</v>
      </c>
      <c r="S228" s="184">
        <v>29.9602</v>
      </c>
      <c r="V228" s="206">
        <f t="shared" si="32"/>
        <v>43.278516583551017</v>
      </c>
    </row>
    <row r="229" spans="1:22" ht="14.25">
      <c r="A229" s="207">
        <v>10</v>
      </c>
      <c r="B229" s="181">
        <v>4.2877000000000001</v>
      </c>
      <c r="C229" s="181">
        <v>0</v>
      </c>
      <c r="D229" s="181">
        <v>6.0738000000000003</v>
      </c>
      <c r="E229" s="181">
        <v>0.47810000000000002</v>
      </c>
      <c r="G229" s="181">
        <v>1.9432</v>
      </c>
      <c r="H229" s="181">
        <v>13.3918</v>
      </c>
      <c r="I229" s="181">
        <v>0.94113877599999995</v>
      </c>
      <c r="J229" s="181">
        <v>-1.4538776E-2</v>
      </c>
      <c r="K229" s="181">
        <v>0.51890000000000003</v>
      </c>
      <c r="L229" s="181">
        <v>3.4738000000000002</v>
      </c>
      <c r="M229" s="181">
        <v>7.9949999999999993E-2</v>
      </c>
      <c r="N229" s="181">
        <v>0.18845000000000001</v>
      </c>
      <c r="O229" s="184">
        <v>31.362300000000001</v>
      </c>
      <c r="P229" s="181">
        <v>0</v>
      </c>
      <c r="Q229" s="181">
        <v>-0.17899999999999999</v>
      </c>
      <c r="R229" s="181">
        <v>3.27E-2</v>
      </c>
      <c r="S229" s="184">
        <v>31.216000000000001</v>
      </c>
      <c r="V229" s="206">
        <f t="shared" si="32"/>
        <v>42.700312158228186</v>
      </c>
    </row>
    <row r="230" spans="1:22" ht="14.25">
      <c r="A230" s="207">
        <v>11</v>
      </c>
      <c r="B230" s="181">
        <v>3.6962999999999999</v>
      </c>
      <c r="C230" s="181">
        <v>0</v>
      </c>
      <c r="D230" s="181">
        <v>6.0758000000000001</v>
      </c>
      <c r="E230" s="181">
        <v>0.52810000000000001</v>
      </c>
      <c r="G230" s="181">
        <v>1.7523</v>
      </c>
      <c r="H230" s="181">
        <v>13.763400000000001</v>
      </c>
      <c r="I230" s="181">
        <v>1.9288489799999999</v>
      </c>
      <c r="J230" s="181">
        <v>-3.3489800000000001E-3</v>
      </c>
      <c r="K230" s="181">
        <v>0.51070000000000004</v>
      </c>
      <c r="L230" s="181">
        <v>3.4502000000000002</v>
      </c>
      <c r="M230" s="181">
        <v>8.0049999999999996E-2</v>
      </c>
      <c r="N230" s="181">
        <v>0.18845000000000001</v>
      </c>
      <c r="O230" s="184">
        <v>31.970800000000001</v>
      </c>
      <c r="P230" s="181">
        <v>-5.3999999999999999E-2</v>
      </c>
      <c r="Q230" s="181">
        <v>-0.17899999999999999</v>
      </c>
      <c r="R230" s="181">
        <v>-4.7399999999999998E-2</v>
      </c>
      <c r="S230" s="184">
        <v>31.6904</v>
      </c>
      <c r="V230" s="206">
        <f t="shared" si="32"/>
        <v>43.049908041087491</v>
      </c>
    </row>
    <row r="231" spans="1:22" ht="14.25">
      <c r="A231" s="207">
        <v>12</v>
      </c>
      <c r="B231" s="181">
        <v>3.2345000000000002</v>
      </c>
      <c r="C231" s="181">
        <v>0.1623</v>
      </c>
      <c r="D231" s="181">
        <v>6.0728</v>
      </c>
      <c r="E231" s="181">
        <v>0.57809999999999995</v>
      </c>
      <c r="G231" s="181">
        <v>2.0005999999999999</v>
      </c>
      <c r="H231" s="181">
        <v>14.521699999999999</v>
      </c>
      <c r="I231" s="181">
        <v>2.3240387760000001</v>
      </c>
      <c r="J231" s="181">
        <v>8.6612240000000004E-3</v>
      </c>
      <c r="K231" s="181">
        <v>0.51039999999999996</v>
      </c>
      <c r="L231" s="181">
        <v>3.4441000000000002</v>
      </c>
      <c r="M231" s="181">
        <v>8.0049999999999996E-2</v>
      </c>
      <c r="N231" s="181">
        <v>0.18435000000000001</v>
      </c>
      <c r="O231" s="184">
        <v>33.121600000000001</v>
      </c>
      <c r="P231" s="181">
        <v>-5.3999999999999999E-2</v>
      </c>
      <c r="Q231" s="181">
        <v>-0.17899999999999999</v>
      </c>
      <c r="R231" s="181">
        <v>-1.0004999999999999</v>
      </c>
      <c r="S231" s="184">
        <v>31.888100000000001</v>
      </c>
      <c r="V231" s="206">
        <f t="shared" si="32"/>
        <v>43.843594512342392</v>
      </c>
    </row>
    <row r="232" spans="1:22" ht="14.25">
      <c r="A232" s="207">
        <v>13</v>
      </c>
      <c r="B232" s="181">
        <v>2.5619999999999998</v>
      </c>
      <c r="C232" s="181">
        <v>0.13300000000000001</v>
      </c>
      <c r="D232" s="181">
        <v>6.0738000000000003</v>
      </c>
      <c r="E232" s="181">
        <v>0.57809999999999995</v>
      </c>
      <c r="G232" s="181">
        <v>1.9403999999999999</v>
      </c>
      <c r="H232" s="181">
        <v>15.479200000000001</v>
      </c>
      <c r="I232" s="181">
        <v>2.7466693879999999</v>
      </c>
      <c r="J232" s="181">
        <v>4.2930612E-2</v>
      </c>
      <c r="K232" s="181">
        <v>0.5101</v>
      </c>
      <c r="L232" s="181">
        <v>3.4083000000000001</v>
      </c>
      <c r="M232" s="181">
        <v>7.9949999999999993E-2</v>
      </c>
      <c r="N232" s="181">
        <v>0.18665000000000001</v>
      </c>
      <c r="O232" s="184">
        <v>33.741100000000003</v>
      </c>
      <c r="P232" s="181">
        <v>-0.23</v>
      </c>
      <c r="Q232" s="181">
        <v>-0.17899999999999999</v>
      </c>
      <c r="R232" s="181">
        <v>-1.3453999999999999</v>
      </c>
      <c r="S232" s="184">
        <v>31.986699999999999</v>
      </c>
      <c r="V232" s="206">
        <f t="shared" si="32"/>
        <v>45.876394071325471</v>
      </c>
    </row>
    <row r="233" spans="1:22" ht="14.25">
      <c r="A233" s="207">
        <v>14</v>
      </c>
      <c r="B233" s="181">
        <v>2.0956000000000001</v>
      </c>
      <c r="C233" s="181">
        <v>3.2800000000000003E-2</v>
      </c>
      <c r="D233" s="181">
        <v>6.0728</v>
      </c>
      <c r="E233" s="181">
        <v>0.57809999999999995</v>
      </c>
      <c r="G233" s="181">
        <v>1.9008</v>
      </c>
      <c r="H233" s="181">
        <v>15.4213</v>
      </c>
      <c r="I233" s="181">
        <v>3.0937000000000001</v>
      </c>
      <c r="J233" s="181">
        <v>5.8400000000000001E-2</v>
      </c>
      <c r="K233" s="181">
        <v>0.50680000000000003</v>
      </c>
      <c r="L233" s="181">
        <v>3.3925999999999998</v>
      </c>
      <c r="M233" s="181">
        <v>8.2949999999999996E-2</v>
      </c>
      <c r="N233" s="181">
        <v>0.19464999999999999</v>
      </c>
      <c r="O233" s="184">
        <v>33.430500000000002</v>
      </c>
      <c r="P233" s="181">
        <v>-5.3999999999999999E-2</v>
      </c>
      <c r="Q233" s="181">
        <v>-0.17899999999999999</v>
      </c>
      <c r="R233" s="181">
        <v>-1.3643000000000001</v>
      </c>
      <c r="S233" s="184">
        <v>31.833200000000001</v>
      </c>
      <c r="V233" s="206">
        <f t="shared" si="32"/>
        <v>46.129432703668805</v>
      </c>
    </row>
    <row r="234" spans="1:22" ht="14.25">
      <c r="A234" s="207">
        <v>15</v>
      </c>
      <c r="B234" s="181">
        <v>2.0703</v>
      </c>
      <c r="C234" s="181">
        <v>0.68700000000000006</v>
      </c>
      <c r="D234" s="181">
        <v>6.0738000000000003</v>
      </c>
      <c r="E234" s="181">
        <v>0.57809999999999995</v>
      </c>
      <c r="G234" s="181">
        <v>1.9694</v>
      </c>
      <c r="H234" s="181">
        <v>14.987</v>
      </c>
      <c r="I234" s="181">
        <v>2.3209489799999998</v>
      </c>
      <c r="J234" s="181">
        <v>6.3051019999999999E-2</v>
      </c>
      <c r="K234" s="181">
        <v>0.50629999999999997</v>
      </c>
      <c r="L234" s="181">
        <v>3.4550999999999998</v>
      </c>
      <c r="M234" s="181">
        <v>8.3199999999999996E-2</v>
      </c>
      <c r="N234" s="181">
        <v>0.19939999999999999</v>
      </c>
      <c r="O234" s="184">
        <v>32.993600000000001</v>
      </c>
      <c r="P234" s="181">
        <v>-5.3999999999999999E-2</v>
      </c>
      <c r="Q234" s="181">
        <v>-0.17899999999999999</v>
      </c>
      <c r="R234" s="181">
        <v>-1.7834000000000001</v>
      </c>
      <c r="S234" s="184">
        <v>30.9772</v>
      </c>
      <c r="V234" s="206">
        <f t="shared" si="32"/>
        <v>45.423961010620239</v>
      </c>
    </row>
    <row r="235" spans="1:22" ht="14.25">
      <c r="A235" s="207">
        <v>16</v>
      </c>
      <c r="B235" s="181">
        <v>2.0750999999999999</v>
      </c>
      <c r="C235" s="181">
        <v>0</v>
      </c>
      <c r="D235" s="181">
        <v>6.0728</v>
      </c>
      <c r="E235" s="181">
        <v>0.52810000000000001</v>
      </c>
      <c r="G235" s="181">
        <v>1.7511000000000001</v>
      </c>
      <c r="H235" s="181">
        <v>14.853899999999999</v>
      </c>
      <c r="I235" s="181">
        <v>1.838969388</v>
      </c>
      <c r="J235" s="181">
        <v>8.1030612000000002E-2</v>
      </c>
      <c r="K235" s="181">
        <v>0.50729999999999997</v>
      </c>
      <c r="L235" s="181">
        <v>3.427</v>
      </c>
      <c r="M235" s="181">
        <v>8.4250000000000005E-2</v>
      </c>
      <c r="N235" s="181">
        <v>0.20474999999999999</v>
      </c>
      <c r="O235" s="184">
        <v>31.424299999999999</v>
      </c>
      <c r="P235" s="181">
        <v>0</v>
      </c>
      <c r="Q235" s="181">
        <v>-0.153</v>
      </c>
      <c r="R235" s="181">
        <v>-1.4923</v>
      </c>
      <c r="S235" s="184">
        <v>29.779</v>
      </c>
      <c r="V235" s="206">
        <f t="shared" si="32"/>
        <v>47.268833355078712</v>
      </c>
    </row>
    <row r="236" spans="1:22" ht="14.25">
      <c r="A236" s="207">
        <v>17</v>
      </c>
      <c r="B236" s="181">
        <v>2.5649999999999999</v>
      </c>
      <c r="C236" s="181">
        <v>0.2</v>
      </c>
      <c r="D236" s="181">
        <v>6.0738000000000003</v>
      </c>
      <c r="E236" s="181">
        <v>0.52810000000000001</v>
      </c>
      <c r="G236" s="181">
        <v>2.1038000000000001</v>
      </c>
      <c r="H236" s="181">
        <v>14.712999999999999</v>
      </c>
      <c r="I236" s="181">
        <v>0.78855918400000002</v>
      </c>
      <c r="J236" s="181">
        <v>6.2940815999999997E-2</v>
      </c>
      <c r="K236" s="181">
        <v>0.50829999999999997</v>
      </c>
      <c r="L236" s="181">
        <v>3.4609999999999999</v>
      </c>
      <c r="M236" s="181">
        <v>8.4250000000000005E-2</v>
      </c>
      <c r="N236" s="181">
        <v>0.21185000000000001</v>
      </c>
      <c r="O236" s="184">
        <v>31.300599999999999</v>
      </c>
      <c r="P236" s="181">
        <v>0</v>
      </c>
      <c r="Q236" s="181">
        <v>-0.153</v>
      </c>
      <c r="R236" s="181">
        <v>-1.8371999999999999</v>
      </c>
      <c r="S236" s="184">
        <v>29.310400000000001</v>
      </c>
      <c r="V236" s="206">
        <f t="shared" si="32"/>
        <v>47.005488712676438</v>
      </c>
    </row>
    <row r="237" spans="1:22" ht="14.25">
      <c r="A237" s="207">
        <v>18</v>
      </c>
      <c r="B237" s="181">
        <v>3.2349000000000001</v>
      </c>
      <c r="C237" s="181">
        <v>0.2334</v>
      </c>
      <c r="D237" s="181">
        <v>6.0728</v>
      </c>
      <c r="E237" s="181">
        <v>0.47810000000000002</v>
      </c>
      <c r="G237" s="181">
        <v>2.3144</v>
      </c>
      <c r="H237" s="181">
        <v>14.372199999999999</v>
      </c>
      <c r="I237" s="181">
        <v>9.3879591999999998E-2</v>
      </c>
      <c r="J237" s="181">
        <v>3.4020408000000002E-2</v>
      </c>
      <c r="K237" s="181">
        <v>0.51190000000000002</v>
      </c>
      <c r="L237" s="181">
        <v>3.4649000000000001</v>
      </c>
      <c r="M237" s="181">
        <v>8.4199999999999997E-2</v>
      </c>
      <c r="N237" s="181">
        <v>0.223</v>
      </c>
      <c r="O237" s="184">
        <v>31.117699999999999</v>
      </c>
      <c r="P237" s="181">
        <v>-2.0000000000000001E-4</v>
      </c>
      <c r="Q237" s="181">
        <v>-0.17899999999999999</v>
      </c>
      <c r="R237" s="181">
        <v>-1.7261</v>
      </c>
      <c r="S237" s="184">
        <v>29.212399999999999</v>
      </c>
      <c r="V237" s="206">
        <f t="shared" si="32"/>
        <v>46.186575485977436</v>
      </c>
    </row>
    <row r="238" spans="1:22" ht="14.25">
      <c r="A238" s="207">
        <v>19</v>
      </c>
      <c r="B238" s="181">
        <v>4.3606999999999996</v>
      </c>
      <c r="C238" s="181">
        <v>0.17899999999999999</v>
      </c>
      <c r="D238" s="181">
        <v>6.0728</v>
      </c>
      <c r="E238" s="181">
        <v>0.42809999999999998</v>
      </c>
      <c r="G238" s="181">
        <v>2.7846000000000002</v>
      </c>
      <c r="H238" s="181">
        <v>14.492100000000001</v>
      </c>
      <c r="I238" s="181">
        <v>2.01E-2</v>
      </c>
      <c r="J238" s="181">
        <v>1.1599999999999999E-2</v>
      </c>
      <c r="K238" s="181">
        <v>0.53069999999999995</v>
      </c>
      <c r="L238" s="181">
        <v>3.4994999999999998</v>
      </c>
      <c r="M238" s="181">
        <v>8.4250000000000005E-2</v>
      </c>
      <c r="N238" s="181">
        <v>0.22475000000000001</v>
      </c>
      <c r="O238" s="184">
        <v>32.688200000000002</v>
      </c>
      <c r="P238" s="181">
        <v>0</v>
      </c>
      <c r="Q238" s="181">
        <v>-0.20399999999999999</v>
      </c>
      <c r="R238" s="181">
        <v>-1.2366999999999999</v>
      </c>
      <c r="S238" s="184">
        <v>31.247499999999999</v>
      </c>
      <c r="V238" s="206">
        <f t="shared" si="32"/>
        <v>44.334346950887479</v>
      </c>
    </row>
    <row r="239" spans="1:22" ht="14.25">
      <c r="A239" s="207">
        <v>20</v>
      </c>
      <c r="B239" s="181">
        <v>4.8266999999999998</v>
      </c>
      <c r="C239" s="181">
        <v>0.371</v>
      </c>
      <c r="D239" s="181">
        <v>6.0738000000000003</v>
      </c>
      <c r="E239" s="181">
        <v>0.42809999999999998</v>
      </c>
      <c r="G239" s="181">
        <v>2.3069000000000002</v>
      </c>
      <c r="H239" s="181">
        <v>14.433</v>
      </c>
      <c r="I239" s="181">
        <v>5.7000000000000002E-3</v>
      </c>
      <c r="J239" s="181">
        <v>1.1299999999999999E-2</v>
      </c>
      <c r="K239" s="181">
        <v>0.53120000000000001</v>
      </c>
      <c r="L239" s="181">
        <v>3.5143</v>
      </c>
      <c r="M239" s="181">
        <v>8.4250000000000005E-2</v>
      </c>
      <c r="N239" s="181">
        <v>0.23025000000000001</v>
      </c>
      <c r="O239" s="184">
        <v>32.816499999999998</v>
      </c>
      <c r="P239" s="181">
        <v>0</v>
      </c>
      <c r="Q239" s="181">
        <v>-0.20399999999999999</v>
      </c>
      <c r="R239" s="181">
        <v>-1.0104</v>
      </c>
      <c r="S239" s="184">
        <v>31.6021</v>
      </c>
      <c r="V239" s="206">
        <f t="shared" si="32"/>
        <v>43.980924230189082</v>
      </c>
    </row>
    <row r="240" spans="1:22" ht="14.25">
      <c r="A240" s="207">
        <v>21</v>
      </c>
      <c r="B240" s="181">
        <v>4.5820999999999996</v>
      </c>
      <c r="C240" s="181">
        <v>0.28339999999999999</v>
      </c>
      <c r="D240" s="181">
        <v>6.0738000000000003</v>
      </c>
      <c r="E240" s="181">
        <v>0.42809999999999998</v>
      </c>
      <c r="G240" s="181">
        <v>2.3553000000000002</v>
      </c>
      <c r="H240" s="181">
        <v>14.2776</v>
      </c>
      <c r="I240" s="181">
        <v>2.9999999999999997E-4</v>
      </c>
      <c r="J240" s="181">
        <v>1.12E-2</v>
      </c>
      <c r="K240" s="181">
        <v>0.53839999999999999</v>
      </c>
      <c r="L240" s="181">
        <v>3.5179</v>
      </c>
      <c r="M240" s="181">
        <v>9.3549999999999994E-2</v>
      </c>
      <c r="N240" s="181">
        <v>0.24925</v>
      </c>
      <c r="O240" s="184">
        <v>32.410899999999998</v>
      </c>
      <c r="P240" s="181">
        <v>-3.5400000000000001E-2</v>
      </c>
      <c r="Q240" s="181">
        <v>-0.20399999999999999</v>
      </c>
      <c r="R240" s="181">
        <v>-1.0668</v>
      </c>
      <c r="S240" s="184">
        <v>31.104700000000001</v>
      </c>
      <c r="V240" s="206">
        <f t="shared" si="32"/>
        <v>44.051846755258261</v>
      </c>
    </row>
    <row r="241" spans="1:22" ht="14.25">
      <c r="A241" s="207">
        <v>22</v>
      </c>
      <c r="B241" s="181">
        <v>4.1435000000000004</v>
      </c>
      <c r="C241" s="181">
        <v>0.14399999999999999</v>
      </c>
      <c r="D241" s="181">
        <v>6.0758000000000001</v>
      </c>
      <c r="E241" s="181">
        <v>0.47810000000000002</v>
      </c>
      <c r="G241" s="181">
        <v>1.8340000000000001</v>
      </c>
      <c r="H241" s="181">
        <v>15.1524</v>
      </c>
      <c r="I241" s="181">
        <v>1.17E-2</v>
      </c>
      <c r="J241" s="181">
        <v>1.12E-2</v>
      </c>
      <c r="K241" s="181">
        <v>0.56010000000000004</v>
      </c>
      <c r="L241" s="181">
        <v>3.4889000000000001</v>
      </c>
      <c r="M241" s="181">
        <v>9.5699999999999993E-2</v>
      </c>
      <c r="N241" s="181">
        <v>0.2515</v>
      </c>
      <c r="O241" s="184">
        <v>32.246899999999997</v>
      </c>
      <c r="P241" s="181">
        <v>-0.9002</v>
      </c>
      <c r="Q241" s="181">
        <v>-0.17899999999999999</v>
      </c>
      <c r="R241" s="181">
        <v>-0.93110000000000004</v>
      </c>
      <c r="S241" s="184">
        <v>30.236599999999999</v>
      </c>
      <c r="V241" s="206">
        <f t="shared" si="32"/>
        <v>46.988702790035639</v>
      </c>
    </row>
    <row r="242" spans="1:22" ht="14.25">
      <c r="A242" s="207">
        <v>23</v>
      </c>
      <c r="B242" s="181">
        <v>3.5720999999999998</v>
      </c>
      <c r="C242" s="181">
        <v>0.05</v>
      </c>
      <c r="D242" s="181">
        <v>6.0728</v>
      </c>
      <c r="E242" s="181">
        <v>0.47810000000000002</v>
      </c>
      <c r="G242" s="181">
        <v>1.7277</v>
      </c>
      <c r="H242" s="181">
        <v>14.7325</v>
      </c>
      <c r="I242" s="181">
        <v>2.0000000000000001E-4</v>
      </c>
      <c r="J242" s="181">
        <v>1.12E-2</v>
      </c>
      <c r="K242" s="181">
        <v>0.56059999999999999</v>
      </c>
      <c r="L242" s="181">
        <v>3.4464999999999999</v>
      </c>
      <c r="M242" s="181">
        <v>9.7250000000000003E-2</v>
      </c>
      <c r="N242" s="181">
        <v>0.25064999999999998</v>
      </c>
      <c r="O242" s="184">
        <v>30.999600000000001</v>
      </c>
      <c r="P242" s="181">
        <v>-0.92500000000000004</v>
      </c>
      <c r="Q242" s="181">
        <v>-0.153</v>
      </c>
      <c r="R242" s="181">
        <v>-2.2555000000000001</v>
      </c>
      <c r="S242" s="184">
        <v>27.6661</v>
      </c>
      <c r="V242" s="206">
        <f t="shared" si="32"/>
        <v>47.524806771700277</v>
      </c>
    </row>
    <row r="243" spans="1:22" ht="14.25">
      <c r="A243" s="207">
        <v>24</v>
      </c>
      <c r="B243" s="181">
        <v>3.4542000000000002</v>
      </c>
      <c r="C243" s="181">
        <v>0.05</v>
      </c>
      <c r="D243" s="181">
        <v>6.0747999999999998</v>
      </c>
      <c r="E243" s="181">
        <v>0.42809999999999998</v>
      </c>
      <c r="G243" s="181">
        <v>1.7483</v>
      </c>
      <c r="H243" s="181">
        <v>13.473800000000001</v>
      </c>
      <c r="I243" s="181">
        <v>2.0000000000000001E-4</v>
      </c>
      <c r="J243" s="181">
        <v>1.12E-2</v>
      </c>
      <c r="K243" s="181">
        <v>0.55869999999999997</v>
      </c>
      <c r="L243" s="181">
        <v>3.3717999999999999</v>
      </c>
      <c r="M243" s="181">
        <v>9.7350000000000006E-2</v>
      </c>
      <c r="N243" s="181">
        <v>0.25135000000000002</v>
      </c>
      <c r="O243" s="184">
        <v>29.5198</v>
      </c>
      <c r="P243" s="181">
        <v>-1.054</v>
      </c>
      <c r="Q243" s="181">
        <v>-0.10199999999999999</v>
      </c>
      <c r="R243" s="181">
        <v>-2.6876000000000002</v>
      </c>
      <c r="S243" s="184">
        <v>25.676200000000001</v>
      </c>
      <c r="V243" s="206">
        <f t="shared" si="32"/>
        <v>45.643263165739604</v>
      </c>
    </row>
    <row r="244" spans="1:22" ht="14.25">
      <c r="V244" s="206" t="str">
        <f t="shared" ref="V244:V246" si="33">IFERROR(G244/N244*100,"")</f>
        <v/>
      </c>
    </row>
    <row r="245" spans="1:22" ht="14.25">
      <c r="V245" s="206" t="str">
        <f t="shared" si="33"/>
        <v/>
      </c>
    </row>
    <row r="246" spans="1:22" ht="14.25">
      <c r="V246" s="206" t="str">
        <f t="shared" si="33"/>
        <v/>
      </c>
    </row>
    <row r="248" spans="1:22">
      <c r="A248" s="275"/>
      <c r="B248" s="275" t="s">
        <v>30</v>
      </c>
      <c r="C248" s="276" t="s">
        <v>602</v>
      </c>
      <c r="D248" s="276" t="s">
        <v>604</v>
      </c>
      <c r="E248" s="276" t="s">
        <v>608</v>
      </c>
      <c r="F248" s="276" t="s">
        <v>609</v>
      </c>
      <c r="G248" s="276" t="s">
        <v>611</v>
      </c>
      <c r="H248" s="276" t="s">
        <v>615</v>
      </c>
      <c r="I248" s="276" t="s">
        <v>616</v>
      </c>
      <c r="J248" s="276" t="s">
        <v>617</v>
      </c>
      <c r="K248" s="276" t="s">
        <v>618</v>
      </c>
      <c r="L248" s="276" t="s">
        <v>619</v>
      </c>
      <c r="M248" s="276" t="s">
        <v>620</v>
      </c>
      <c r="N248" s="276" t="s">
        <v>622</v>
      </c>
      <c r="O248" s="276" t="s">
        <v>623</v>
      </c>
    </row>
    <row r="249" spans="1:22">
      <c r="A249" s="275"/>
      <c r="B249" s="275" t="s">
        <v>106</v>
      </c>
      <c r="C249" s="276" t="s">
        <v>612</v>
      </c>
      <c r="D249" s="276" t="s">
        <v>612</v>
      </c>
      <c r="E249" s="276" t="s">
        <v>612</v>
      </c>
      <c r="F249" s="276" t="s">
        <v>612</v>
      </c>
      <c r="G249" s="276" t="s">
        <v>612</v>
      </c>
      <c r="H249" s="276" t="s">
        <v>612</v>
      </c>
      <c r="I249" s="276" t="s">
        <v>612</v>
      </c>
      <c r="J249" s="276" t="s">
        <v>612</v>
      </c>
      <c r="K249" s="276" t="s">
        <v>612</v>
      </c>
      <c r="L249" s="276" t="s">
        <v>612</v>
      </c>
      <c r="M249" s="276" t="s">
        <v>612</v>
      </c>
      <c r="N249" s="276" t="s">
        <v>612</v>
      </c>
      <c r="O249" s="276" t="s">
        <v>612</v>
      </c>
    </row>
    <row r="250" spans="1:22">
      <c r="A250" s="275" t="s">
        <v>587</v>
      </c>
      <c r="B250" s="275" t="s">
        <v>588</v>
      </c>
      <c r="C250" s="277"/>
      <c r="D250" s="277"/>
      <c r="E250" s="277"/>
      <c r="F250" s="277"/>
      <c r="G250" s="277"/>
      <c r="H250" s="277"/>
      <c r="I250" s="277"/>
      <c r="J250" s="277"/>
      <c r="K250" s="277"/>
      <c r="L250" s="277"/>
      <c r="M250" s="277"/>
      <c r="N250" s="277"/>
      <c r="O250" s="277"/>
    </row>
    <row r="251" spans="1:22">
      <c r="A251" s="339" t="s">
        <v>4</v>
      </c>
      <c r="B251" s="278" t="s">
        <v>578</v>
      </c>
      <c r="C251" s="283">
        <v>258487.17600000001</v>
      </c>
      <c r="D251" s="283">
        <v>123438.61440000001</v>
      </c>
      <c r="E251" s="283">
        <v>214695.33600000001</v>
      </c>
      <c r="F251" s="283">
        <v>185316.59135999999</v>
      </c>
      <c r="G251" s="283">
        <v>196440.69983999999</v>
      </c>
      <c r="H251" s="283">
        <v>139860.43487999999</v>
      </c>
      <c r="I251" s="283">
        <v>95627.097599999994</v>
      </c>
      <c r="J251" s="283">
        <v>155670.64128000001</v>
      </c>
      <c r="K251" s="283">
        <v>76885.209600000002</v>
      </c>
      <c r="L251" s="283">
        <v>108803.7504</v>
      </c>
      <c r="M251" s="283">
        <v>95353.110719999997</v>
      </c>
      <c r="N251" s="283">
        <v>68353.032959999997</v>
      </c>
      <c r="O251" s="283">
        <v>101339.232</v>
      </c>
    </row>
    <row r="252" spans="1:22">
      <c r="A252" s="340"/>
      <c r="B252" s="278" t="s">
        <v>579</v>
      </c>
      <c r="C252" s="283">
        <v>268437.60863999999</v>
      </c>
      <c r="D252" s="283">
        <v>245430.33119999999</v>
      </c>
      <c r="E252" s="283">
        <v>620558.86080000002</v>
      </c>
      <c r="F252" s="283">
        <v>606596.58719999995</v>
      </c>
      <c r="G252" s="283">
        <v>261019.45439999999</v>
      </c>
      <c r="H252" s="283">
        <v>157294.88448000001</v>
      </c>
      <c r="I252" s="283">
        <v>144659.75424000001</v>
      </c>
      <c r="J252" s="283">
        <v>192562.49471999999</v>
      </c>
      <c r="K252" s="283">
        <v>218984.28479999999</v>
      </c>
      <c r="L252" s="283">
        <v>216261.97536000001</v>
      </c>
      <c r="M252" s="283">
        <v>176924.43744000001</v>
      </c>
      <c r="N252" s="283">
        <v>160358.09760000001</v>
      </c>
      <c r="O252" s="283">
        <v>225254.78400000001</v>
      </c>
    </row>
    <row r="253" spans="1:22">
      <c r="A253" s="278" t="s">
        <v>95</v>
      </c>
      <c r="B253" s="278" t="s">
        <v>599</v>
      </c>
      <c r="C253" s="283"/>
      <c r="D253" s="283"/>
      <c r="E253" s="283"/>
      <c r="F253" s="283"/>
      <c r="G253" s="283">
        <v>7.6999999999999996E-4</v>
      </c>
      <c r="H253" s="283"/>
      <c r="I253" s="283"/>
      <c r="J253" s="283">
        <v>7.6999999999999996E-4</v>
      </c>
      <c r="K253" s="283"/>
      <c r="L253" s="283">
        <v>7.6999999999999996E-4</v>
      </c>
      <c r="M253" s="283">
        <v>7.6999999999999996E-4</v>
      </c>
      <c r="N253" s="283"/>
      <c r="O253" s="283"/>
    </row>
    <row r="254" spans="1:22">
      <c r="A254" s="278" t="s">
        <v>11</v>
      </c>
      <c r="B254" s="278" t="s">
        <v>580</v>
      </c>
      <c r="C254" s="283">
        <v>1428380.21627</v>
      </c>
      <c r="D254" s="283">
        <v>1019543.60509</v>
      </c>
      <c r="E254" s="283">
        <v>1210742.9306699999</v>
      </c>
      <c r="F254" s="283">
        <v>883716.68426999997</v>
      </c>
      <c r="G254" s="283">
        <v>512908.86105000001</v>
      </c>
      <c r="H254" s="283">
        <v>640486.55009999999</v>
      </c>
      <c r="I254" s="283">
        <v>746722.90962000005</v>
      </c>
      <c r="J254" s="283">
        <v>1315968.7680200001</v>
      </c>
      <c r="K254" s="283">
        <v>2157064.69312</v>
      </c>
      <c r="L254" s="283">
        <v>1868935.10298</v>
      </c>
      <c r="M254" s="283">
        <v>1682187.2684899999</v>
      </c>
      <c r="N254" s="283">
        <v>1032827.7424700001</v>
      </c>
      <c r="O254" s="283">
        <v>1196007.4620000001</v>
      </c>
    </row>
    <row r="255" spans="1:22">
      <c r="A255" s="341" t="s">
        <v>9</v>
      </c>
      <c r="B255" s="278" t="s">
        <v>581</v>
      </c>
      <c r="C255" s="283">
        <v>87745.598599999998</v>
      </c>
      <c r="D255" s="283">
        <v>72445.721680000002</v>
      </c>
      <c r="E255" s="283">
        <v>73567.109500000006</v>
      </c>
      <c r="F255" s="283">
        <v>53993.642999999996</v>
      </c>
      <c r="G255" s="283">
        <v>82040.981</v>
      </c>
      <c r="H255" s="283">
        <v>102655.2745</v>
      </c>
      <c r="I255" s="283">
        <v>126339.2475</v>
      </c>
      <c r="J255" s="283">
        <v>127279.269</v>
      </c>
      <c r="K255" s="283">
        <v>121392.644</v>
      </c>
      <c r="L255" s="283">
        <v>95574.909</v>
      </c>
      <c r="M255" s="283">
        <v>105937.197</v>
      </c>
      <c r="N255" s="283">
        <v>109715.55100000001</v>
      </c>
      <c r="O255" s="283">
        <v>113738.75</v>
      </c>
    </row>
    <row r="256" spans="1:22">
      <c r="A256" s="342"/>
      <c r="B256" s="278" t="s">
        <v>582</v>
      </c>
      <c r="C256" s="283">
        <v>849396.87948</v>
      </c>
      <c r="D256" s="283">
        <v>817021.83137999999</v>
      </c>
      <c r="E256" s="283">
        <v>823308.86088000005</v>
      </c>
      <c r="F256" s="283">
        <v>763900.44084000005</v>
      </c>
      <c r="G256" s="283">
        <v>743595.23988000001</v>
      </c>
      <c r="H256" s="283">
        <v>618962.7132</v>
      </c>
      <c r="I256" s="283">
        <v>659250.23759999999</v>
      </c>
      <c r="J256" s="283">
        <v>694976.39495999995</v>
      </c>
      <c r="K256" s="283">
        <v>740129.00364000001</v>
      </c>
      <c r="L256" s="283">
        <v>718792.2108</v>
      </c>
      <c r="M256" s="283">
        <v>750194.98271999997</v>
      </c>
      <c r="N256" s="283">
        <v>766691.10071999999</v>
      </c>
      <c r="O256" s="283">
        <v>782608.60800000001</v>
      </c>
    </row>
    <row r="257" spans="1:17">
      <c r="A257" s="342"/>
      <c r="B257" s="278" t="s">
        <v>583</v>
      </c>
      <c r="C257" s="283">
        <v>678.90305999999998</v>
      </c>
      <c r="D257" s="283">
        <v>623.48461999999995</v>
      </c>
      <c r="E257" s="283">
        <v>776.93356000000006</v>
      </c>
      <c r="F257" s="283">
        <v>589.15769999999998</v>
      </c>
      <c r="G257" s="283">
        <v>658.53923999999995</v>
      </c>
      <c r="H257" s="283">
        <v>224.36454000000001</v>
      </c>
      <c r="I257" s="283">
        <v>154.90244000000001</v>
      </c>
      <c r="J257" s="283">
        <v>320.27159999999998</v>
      </c>
      <c r="K257" s="283">
        <v>349.28041999999999</v>
      </c>
      <c r="L257" s="283">
        <v>464.51542000000001</v>
      </c>
      <c r="M257" s="283">
        <v>859.25257999999997</v>
      </c>
      <c r="N257" s="283">
        <v>912.58709999999996</v>
      </c>
      <c r="O257" s="283">
        <v>1093.944</v>
      </c>
    </row>
    <row r="258" spans="1:17">
      <c r="A258" s="340"/>
      <c r="B258" s="278" t="s">
        <v>621</v>
      </c>
      <c r="C258" s="283"/>
      <c r="D258" s="283"/>
      <c r="E258" s="283"/>
      <c r="F258" s="283"/>
      <c r="G258" s="283"/>
      <c r="H258" s="283"/>
      <c r="I258" s="283"/>
      <c r="J258" s="283"/>
      <c r="K258" s="283"/>
      <c r="L258" s="283"/>
      <c r="M258" s="283">
        <v>38327.974199999997</v>
      </c>
      <c r="N258" s="283"/>
      <c r="O258" s="283"/>
    </row>
    <row r="259" spans="1:17">
      <c r="A259" s="341" t="s">
        <v>70</v>
      </c>
      <c r="B259" s="278" t="s">
        <v>584</v>
      </c>
      <c r="C259" s="283">
        <v>2983.2844799999998</v>
      </c>
      <c r="D259" s="283">
        <v>6166.9329600000001</v>
      </c>
      <c r="E259" s="283">
        <v>15055.91445</v>
      </c>
      <c r="F259" s="283">
        <v>25751.936900000001</v>
      </c>
      <c r="G259" s="283">
        <v>29810.717850000001</v>
      </c>
      <c r="H259" s="283">
        <v>27964.657899999998</v>
      </c>
      <c r="I259" s="283">
        <v>29168.553950000001</v>
      </c>
      <c r="J259" s="283">
        <v>21599.737700000001</v>
      </c>
      <c r="K259" s="283">
        <v>15073.474249999999</v>
      </c>
      <c r="L259" s="283">
        <v>32198.464</v>
      </c>
      <c r="M259" s="283">
        <v>25630.812849999998</v>
      </c>
      <c r="N259" s="283">
        <v>19344.03585</v>
      </c>
      <c r="O259" s="283">
        <v>31264.5</v>
      </c>
    </row>
    <row r="260" spans="1:17">
      <c r="A260" s="342"/>
      <c r="B260" s="278" t="s">
        <v>585</v>
      </c>
      <c r="C260" s="283">
        <v>14435.970359999999</v>
      </c>
      <c r="D260" s="283">
        <v>15681.006960000001</v>
      </c>
      <c r="E260" s="283">
        <v>13244.24064</v>
      </c>
      <c r="F260" s="283">
        <v>13434.807720000001</v>
      </c>
      <c r="G260" s="283">
        <v>12333.4962</v>
      </c>
      <c r="H260" s="283">
        <v>7139.9170800000002</v>
      </c>
      <c r="I260" s="283">
        <v>7389.8949599999996</v>
      </c>
      <c r="J260" s="283">
        <v>6589.9862400000002</v>
      </c>
      <c r="K260" s="283">
        <v>7636.8432000000003</v>
      </c>
      <c r="L260" s="283">
        <v>15848.90868</v>
      </c>
      <c r="M260" s="283">
        <v>14041.84476</v>
      </c>
      <c r="N260" s="283">
        <v>15592.27716</v>
      </c>
      <c r="O260" s="283">
        <v>16126.296</v>
      </c>
    </row>
    <row r="261" spans="1:17">
      <c r="A261" s="340"/>
      <c r="B261" s="278" t="s">
        <v>586</v>
      </c>
      <c r="C261" s="283">
        <v>17280.756959999999</v>
      </c>
      <c r="D261" s="283">
        <v>16790.25288</v>
      </c>
      <c r="E261" s="283">
        <v>20866.544160000001</v>
      </c>
      <c r="F261" s="283">
        <v>19310.338319999999</v>
      </c>
      <c r="G261" s="283">
        <v>19998.990720000002</v>
      </c>
      <c r="H261" s="283">
        <v>18011.51424</v>
      </c>
      <c r="I261" s="283">
        <v>18721.947840000001</v>
      </c>
      <c r="J261" s="283">
        <v>20171.045999999998</v>
      </c>
      <c r="K261" s="283">
        <v>19699.114079999999</v>
      </c>
      <c r="L261" s="283">
        <v>18968.094720000001</v>
      </c>
      <c r="M261" s="283">
        <v>21217.824000000001</v>
      </c>
      <c r="N261" s="283">
        <v>17082.399119999998</v>
      </c>
      <c r="O261" s="283">
        <v>18717.864000000001</v>
      </c>
    </row>
    <row r="262" spans="1:17">
      <c r="A262" s="279" t="s">
        <v>15</v>
      </c>
      <c r="B262" s="280"/>
      <c r="C262" s="284">
        <v>2927826.3938500001</v>
      </c>
      <c r="D262" s="284">
        <v>2317141.7811699999</v>
      </c>
      <c r="E262" s="284">
        <v>2992816.7306599999</v>
      </c>
      <c r="F262" s="284">
        <v>2552610.18731</v>
      </c>
      <c r="G262" s="284">
        <v>1858806.98095</v>
      </c>
      <c r="H262" s="284">
        <v>1712600.3109200001</v>
      </c>
      <c r="I262" s="284">
        <v>1828034.54575</v>
      </c>
      <c r="J262" s="284">
        <v>2535138.6102900002</v>
      </c>
      <c r="K262" s="284">
        <v>3357214.5471100002</v>
      </c>
      <c r="L262" s="284">
        <v>3075847.9321300001</v>
      </c>
      <c r="M262" s="284">
        <v>2910674.7055299999</v>
      </c>
      <c r="N262" s="284">
        <v>2190876.8239799999</v>
      </c>
      <c r="O262" s="284">
        <v>2486151.44</v>
      </c>
      <c r="Q262" s="44">
        <f>(O262-C262)/C262*100</f>
        <v>-15.085421552922455</v>
      </c>
    </row>
  </sheetData>
  <sortState xmlns:xlrd2="http://schemas.microsoft.com/office/spreadsheetml/2017/richdata2" ref="G32:I43">
    <sortCondition descending="1" ref="I32:I43"/>
  </sortState>
  <mergeCells count="13">
    <mergeCell ref="B4:J4"/>
    <mergeCell ref="B5:J5"/>
    <mergeCell ref="B177:S177"/>
    <mergeCell ref="B215:S215"/>
    <mergeCell ref="B115:Z115"/>
    <mergeCell ref="B116:Z116"/>
    <mergeCell ref="B175:S175"/>
    <mergeCell ref="B176:S176"/>
    <mergeCell ref="B216:S216"/>
    <mergeCell ref="B217:S217"/>
    <mergeCell ref="A251:A252"/>
    <mergeCell ref="A259:A261"/>
    <mergeCell ref="A255:A258"/>
  </mergeCells>
  <conditionalFormatting sqref="V220:V246">
    <cfRule type="cellIs" dxfId="1" priority="2" operator="equal">
      <formula>$V$176</formula>
    </cfRule>
  </conditionalFormatting>
  <conditionalFormatting sqref="V180:V210">
    <cfRule type="cellIs" dxfId="0" priority="1" operator="equal">
      <formula>$V$176</formula>
    </cfRule>
  </conditionalFormatting>
  <pageMargins left="0.7" right="0.7" top="0.75" bottom="0.75" header="0.3" footer="0.3"/>
  <pageSetup paperSize="9" orientation="portrait" r:id="rId1"/>
  <ignoredErrors>
    <ignoredError sqref="B96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8"/>
  <dimension ref="A1:G1209"/>
  <sheetViews>
    <sheetView topLeftCell="A376" workbookViewId="0">
      <selection activeCell="G384" sqref="G384:G398"/>
    </sheetView>
  </sheetViews>
  <sheetFormatPr baseColWidth="10" defaultRowHeight="12.75"/>
  <cols>
    <col min="1" max="2" width="14.7109375" customWidth="1"/>
    <col min="3" max="5" width="17.5703125" customWidth="1"/>
    <col min="6" max="6" width="7.7109375" style="208" customWidth="1"/>
    <col min="7" max="7" width="7.7109375" style="209" customWidth="1"/>
  </cols>
  <sheetData>
    <row r="1" spans="1:6">
      <c r="C1" s="212" t="s">
        <v>32</v>
      </c>
      <c r="D1" s="212" t="s">
        <v>33</v>
      </c>
      <c r="E1" s="212" t="s">
        <v>34</v>
      </c>
    </row>
    <row r="2" spans="1:6">
      <c r="C2" s="349" t="s">
        <v>128</v>
      </c>
      <c r="D2" s="350"/>
      <c r="E2" s="350"/>
    </row>
    <row r="3" spans="1:6">
      <c r="A3">
        <v>0</v>
      </c>
      <c r="B3" s="46">
        <v>43770</v>
      </c>
      <c r="C3" s="282">
        <v>32.750995321750644</v>
      </c>
      <c r="D3" s="282">
        <v>83.137557492553753</v>
      </c>
      <c r="E3" s="181">
        <f>IF(C3&lt;D3,C3,D3)</f>
        <v>32.750995321750644</v>
      </c>
      <c r="F3" s="208" t="str">
        <f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</row>
    <row r="4" spans="1:6">
      <c r="A4">
        <v>1</v>
      </c>
      <c r="B4" s="46">
        <v>43771</v>
      </c>
      <c r="C4" s="282">
        <v>33.413095321749708</v>
      </c>
      <c r="D4" s="282">
        <v>83.137557492553753</v>
      </c>
      <c r="E4" s="181">
        <f t="shared" ref="E4:E67" si="0">IF(C4&lt;D4,C4,D4)</f>
        <v>33.413095321749708</v>
      </c>
      <c r="F4" s="208" t="str">
        <f t="shared" ref="F4:F67" si="1">IF(DAY(B4)=15,IF(MONTH(B4)=1,"E",IF(MONTH(B4)=2,"F",IF(MONTH(B4)=3,"M",IF(MONTH(B4)=4,"A",IF(MONTH(B4)=5,"M",IF(MONTH(B4)=6,"J",IF(MONTH(B4)=7,"J",IF(MONTH(B4)=8,"A",IF(MONTH(B4)=9,"S",IF(MONTH(B4)=10,"O",IF(MONTH(B4)=11,"N",IF(MONTH(B4)=12,"D","")))))))))))),"")</f>
        <v/>
      </c>
    </row>
    <row r="5" spans="1:6">
      <c r="A5">
        <v>2</v>
      </c>
      <c r="B5" s="46">
        <v>43772</v>
      </c>
      <c r="C5" s="282">
        <v>39.359695321751566</v>
      </c>
      <c r="D5" s="282">
        <v>83.137557492553753</v>
      </c>
      <c r="E5" s="181">
        <f t="shared" si="0"/>
        <v>39.359695321751566</v>
      </c>
      <c r="F5" s="208" t="str">
        <f t="shared" si="1"/>
        <v/>
      </c>
    </row>
    <row r="6" spans="1:6">
      <c r="A6">
        <v>3</v>
      </c>
      <c r="B6" s="46">
        <v>43773</v>
      </c>
      <c r="C6" s="282">
        <v>49.605095321750639</v>
      </c>
      <c r="D6" s="282">
        <v>83.137557492553753</v>
      </c>
      <c r="E6" s="181">
        <f t="shared" si="0"/>
        <v>49.605095321750639</v>
      </c>
      <c r="F6" s="208" t="str">
        <f t="shared" si="1"/>
        <v/>
      </c>
    </row>
    <row r="7" spans="1:6">
      <c r="A7">
        <v>4</v>
      </c>
      <c r="B7" s="46">
        <v>43774</v>
      </c>
      <c r="C7" s="282">
        <v>55.317295321749711</v>
      </c>
      <c r="D7" s="282">
        <v>83.137557492553753</v>
      </c>
      <c r="E7" s="181">
        <f t="shared" si="0"/>
        <v>55.317295321749711</v>
      </c>
      <c r="F7" s="208" t="str">
        <f t="shared" si="1"/>
        <v/>
      </c>
    </row>
    <row r="8" spans="1:6">
      <c r="A8">
        <v>5</v>
      </c>
      <c r="B8" s="46">
        <v>43775</v>
      </c>
      <c r="C8" s="282">
        <v>96.69022090814002</v>
      </c>
      <c r="D8" s="282">
        <v>83.137557492553753</v>
      </c>
      <c r="E8" s="181">
        <f t="shared" si="0"/>
        <v>83.137557492553753</v>
      </c>
      <c r="F8" s="208" t="str">
        <f t="shared" si="1"/>
        <v/>
      </c>
    </row>
    <row r="9" spans="1:6">
      <c r="A9">
        <v>6</v>
      </c>
      <c r="B9" s="46">
        <v>43776</v>
      </c>
      <c r="C9" s="282">
        <v>97.172820908139087</v>
      </c>
      <c r="D9" s="282">
        <v>83.137557492553753</v>
      </c>
      <c r="E9" s="181">
        <f t="shared" si="0"/>
        <v>83.137557492553753</v>
      </c>
      <c r="F9" s="208" t="str">
        <f t="shared" si="1"/>
        <v/>
      </c>
    </row>
    <row r="10" spans="1:6">
      <c r="A10">
        <v>7</v>
      </c>
      <c r="B10" s="46">
        <v>43777</v>
      </c>
      <c r="C10" s="282">
        <v>99.457520908140026</v>
      </c>
      <c r="D10" s="282">
        <v>83.137557492553753</v>
      </c>
      <c r="E10" s="181">
        <f t="shared" si="0"/>
        <v>83.137557492553753</v>
      </c>
      <c r="F10" s="208" t="str">
        <f t="shared" si="1"/>
        <v/>
      </c>
    </row>
    <row r="11" spans="1:6">
      <c r="A11">
        <v>8</v>
      </c>
      <c r="B11" s="46">
        <v>43778</v>
      </c>
      <c r="C11" s="282">
        <v>100.58242090814002</v>
      </c>
      <c r="D11" s="282">
        <v>83.137557492553753</v>
      </c>
      <c r="E11" s="181">
        <f t="shared" si="0"/>
        <v>83.137557492553753</v>
      </c>
      <c r="F11" s="208" t="str">
        <f t="shared" si="1"/>
        <v/>
      </c>
    </row>
    <row r="12" spans="1:6">
      <c r="A12">
        <v>9</v>
      </c>
      <c r="B12" s="46">
        <v>43779</v>
      </c>
      <c r="C12" s="282">
        <v>100.16012090814002</v>
      </c>
      <c r="D12" s="282">
        <v>83.137557492553753</v>
      </c>
      <c r="E12" s="181">
        <f t="shared" si="0"/>
        <v>83.137557492553753</v>
      </c>
      <c r="F12" s="208" t="str">
        <f t="shared" si="1"/>
        <v/>
      </c>
    </row>
    <row r="13" spans="1:6">
      <c r="A13">
        <v>10</v>
      </c>
      <c r="B13" s="46">
        <v>43780</v>
      </c>
      <c r="C13" s="282">
        <v>103.75672090813909</v>
      </c>
      <c r="D13" s="282">
        <v>83.137557492553753</v>
      </c>
      <c r="E13" s="181">
        <f t="shared" si="0"/>
        <v>83.137557492553753</v>
      </c>
      <c r="F13" s="208" t="str">
        <f t="shared" si="1"/>
        <v/>
      </c>
    </row>
    <row r="14" spans="1:6">
      <c r="A14">
        <v>11</v>
      </c>
      <c r="B14" s="46">
        <v>43781</v>
      </c>
      <c r="C14" s="282">
        <v>108.05162090814095</v>
      </c>
      <c r="D14" s="282">
        <v>83.137557492553753</v>
      </c>
      <c r="E14" s="181">
        <f t="shared" si="0"/>
        <v>83.137557492553753</v>
      </c>
      <c r="F14" s="208" t="str">
        <f t="shared" si="1"/>
        <v/>
      </c>
    </row>
    <row r="15" spans="1:6">
      <c r="A15">
        <v>12</v>
      </c>
      <c r="B15" s="46">
        <v>43782</v>
      </c>
      <c r="C15" s="282">
        <v>169.53390638546196</v>
      </c>
      <c r="D15" s="282">
        <v>83.137557492553753</v>
      </c>
      <c r="E15" s="181">
        <f t="shared" si="0"/>
        <v>83.137557492553753</v>
      </c>
      <c r="F15" s="208" t="str">
        <f t="shared" si="1"/>
        <v/>
      </c>
    </row>
    <row r="16" spans="1:6">
      <c r="A16">
        <v>13</v>
      </c>
      <c r="B16" s="46">
        <v>43783</v>
      </c>
      <c r="C16" s="282">
        <v>179.08830638546013</v>
      </c>
      <c r="D16" s="282">
        <v>83.137557492553753</v>
      </c>
      <c r="E16" s="181">
        <f t="shared" si="0"/>
        <v>83.137557492553753</v>
      </c>
      <c r="F16" s="208" t="str">
        <f t="shared" si="1"/>
        <v/>
      </c>
    </row>
    <row r="17" spans="1:7">
      <c r="A17">
        <v>14</v>
      </c>
      <c r="B17" s="46">
        <v>43784</v>
      </c>
      <c r="C17" s="282">
        <v>175.86230638546013</v>
      </c>
      <c r="D17" s="282">
        <v>83.137557492553753</v>
      </c>
      <c r="E17" s="181">
        <f t="shared" si="0"/>
        <v>83.137557492553753</v>
      </c>
      <c r="F17" s="208" t="str">
        <f>IF(DAY(B17)=15,IF(MONTH(B17)=1,"E",IF(MONTH(B17)=2,"F",IF(MONTH(B17)=3,"M",IF(MONTH(B17)=4,"A",IF(MONTH(B17)=5,"M",IF(MONTH(B17)=6,"J",IF(MONTH(B17)=7,"J",IF(MONTH(B17)=8,"A",IF(MONTH(B17)=9,"S",IF(MONTH(B17)=10,"O",IF(MONTH(B17)=11,"N",IF(MONTH(B17)=12,"D","")))))))))))),"")</f>
        <v>N</v>
      </c>
      <c r="G17" s="209">
        <f>IF(DAY(B17)=15,D17,"")</f>
        <v>83.137557492553753</v>
      </c>
    </row>
    <row r="18" spans="1:7">
      <c r="A18">
        <v>15</v>
      </c>
      <c r="B18" s="46">
        <v>43785</v>
      </c>
      <c r="C18" s="282">
        <v>172.47260638546197</v>
      </c>
      <c r="D18" s="282">
        <v>83.137557492553753</v>
      </c>
      <c r="E18" s="181">
        <f t="shared" si="0"/>
        <v>83.137557492553753</v>
      </c>
      <c r="F18" s="208" t="str">
        <f t="shared" si="1"/>
        <v/>
      </c>
    </row>
    <row r="19" spans="1:7">
      <c r="A19">
        <v>16</v>
      </c>
      <c r="B19" s="46">
        <v>43786</v>
      </c>
      <c r="C19" s="282">
        <v>168.68210638546012</v>
      </c>
      <c r="D19" s="282">
        <v>83.137557492553753</v>
      </c>
      <c r="E19" s="181">
        <f t="shared" si="0"/>
        <v>83.137557492553753</v>
      </c>
      <c r="F19" s="208" t="str">
        <f t="shared" si="1"/>
        <v/>
      </c>
    </row>
    <row r="20" spans="1:7">
      <c r="A20">
        <v>17</v>
      </c>
      <c r="B20" s="46">
        <v>43787</v>
      </c>
      <c r="C20" s="282">
        <v>177.03180638546107</v>
      </c>
      <c r="D20" s="282">
        <v>83.137557492553753</v>
      </c>
      <c r="E20" s="181">
        <f t="shared" si="0"/>
        <v>83.137557492553753</v>
      </c>
      <c r="F20" s="208" t="str">
        <f t="shared" si="1"/>
        <v/>
      </c>
    </row>
    <row r="21" spans="1:7">
      <c r="A21">
        <v>18</v>
      </c>
      <c r="B21" s="46">
        <v>43788</v>
      </c>
      <c r="C21" s="282">
        <v>191.38050638546011</v>
      </c>
      <c r="D21" s="282">
        <v>83.137557492553753</v>
      </c>
      <c r="E21" s="181">
        <f t="shared" si="0"/>
        <v>83.137557492553753</v>
      </c>
      <c r="F21" s="208" t="str">
        <f t="shared" si="1"/>
        <v/>
      </c>
    </row>
    <row r="22" spans="1:7">
      <c r="A22">
        <v>19</v>
      </c>
      <c r="B22" s="46">
        <v>43789</v>
      </c>
      <c r="C22" s="282">
        <v>165.7317124804627</v>
      </c>
      <c r="D22" s="282">
        <v>83.137557492553753</v>
      </c>
      <c r="E22" s="181">
        <f t="shared" si="0"/>
        <v>83.137557492553753</v>
      </c>
      <c r="F22" s="208" t="str">
        <f t="shared" si="1"/>
        <v/>
      </c>
    </row>
    <row r="23" spans="1:7">
      <c r="A23">
        <v>20</v>
      </c>
      <c r="B23" s="46">
        <v>43790</v>
      </c>
      <c r="C23" s="282">
        <v>164.64921248046363</v>
      </c>
      <c r="D23" s="282">
        <v>83.137557492553753</v>
      </c>
      <c r="E23" s="181">
        <f t="shared" si="0"/>
        <v>83.137557492553753</v>
      </c>
      <c r="F23" s="208" t="str">
        <f t="shared" si="1"/>
        <v/>
      </c>
    </row>
    <row r="24" spans="1:7">
      <c r="A24">
        <v>21</v>
      </c>
      <c r="B24" s="46">
        <v>43791</v>
      </c>
      <c r="C24" s="282">
        <v>142.72911248046458</v>
      </c>
      <c r="D24" s="282">
        <v>83.137557492553753</v>
      </c>
      <c r="E24" s="181">
        <f t="shared" si="0"/>
        <v>83.137557492553753</v>
      </c>
      <c r="F24" s="208" t="str">
        <f t="shared" si="1"/>
        <v/>
      </c>
    </row>
    <row r="25" spans="1:7">
      <c r="A25">
        <v>22</v>
      </c>
      <c r="B25" s="46">
        <v>43792</v>
      </c>
      <c r="C25" s="282">
        <v>149.97001248046365</v>
      </c>
      <c r="D25" s="282">
        <v>83.137557492553753</v>
      </c>
      <c r="E25" s="181">
        <f t="shared" si="0"/>
        <v>83.137557492553753</v>
      </c>
      <c r="F25" s="208" t="str">
        <f t="shared" si="1"/>
        <v/>
      </c>
    </row>
    <row r="26" spans="1:7">
      <c r="A26">
        <v>23</v>
      </c>
      <c r="B26" s="46">
        <v>43793</v>
      </c>
      <c r="C26" s="282">
        <v>152.80211248046365</v>
      </c>
      <c r="D26" s="282">
        <v>83.137557492553753</v>
      </c>
      <c r="E26" s="181">
        <f t="shared" si="0"/>
        <v>83.137557492553753</v>
      </c>
      <c r="F26" s="208" t="str">
        <f t="shared" si="1"/>
        <v/>
      </c>
    </row>
    <row r="27" spans="1:7">
      <c r="A27">
        <v>24</v>
      </c>
      <c r="B27" s="46">
        <v>43794</v>
      </c>
      <c r="C27" s="282">
        <v>160.75901248046367</v>
      </c>
      <c r="D27" s="282">
        <v>83.137557492553753</v>
      </c>
      <c r="E27" s="181">
        <f t="shared" si="0"/>
        <v>83.137557492553753</v>
      </c>
      <c r="F27" s="208" t="str">
        <f t="shared" si="1"/>
        <v/>
      </c>
    </row>
    <row r="28" spans="1:7">
      <c r="A28">
        <v>25</v>
      </c>
      <c r="B28" s="46">
        <v>43795</v>
      </c>
      <c r="C28" s="282">
        <v>155.05231248046178</v>
      </c>
      <c r="D28" s="282">
        <v>83.137557492553753</v>
      </c>
      <c r="E28" s="181">
        <f t="shared" si="0"/>
        <v>83.137557492553753</v>
      </c>
      <c r="F28" s="208" t="str">
        <f t="shared" si="1"/>
        <v/>
      </c>
    </row>
    <row r="29" spans="1:7">
      <c r="A29">
        <v>26</v>
      </c>
      <c r="B29" s="46">
        <v>43796</v>
      </c>
      <c r="C29" s="282">
        <v>208.97216638452076</v>
      </c>
      <c r="D29" s="282">
        <v>83.137557492553753</v>
      </c>
      <c r="E29" s="181">
        <f t="shared" si="0"/>
        <v>83.137557492553753</v>
      </c>
      <c r="F29" s="208" t="str">
        <f t="shared" si="1"/>
        <v/>
      </c>
    </row>
    <row r="30" spans="1:7">
      <c r="A30">
        <v>27</v>
      </c>
      <c r="B30" s="46">
        <v>43797</v>
      </c>
      <c r="C30" s="282">
        <v>218.74646638451983</v>
      </c>
      <c r="D30" s="282">
        <v>83.137557492553753</v>
      </c>
      <c r="E30" s="181">
        <f t="shared" si="0"/>
        <v>83.137557492553753</v>
      </c>
      <c r="F30" s="208" t="str">
        <f t="shared" si="1"/>
        <v/>
      </c>
    </row>
    <row r="31" spans="1:7">
      <c r="A31">
        <v>28</v>
      </c>
      <c r="B31" s="46">
        <v>43798</v>
      </c>
      <c r="C31" s="282">
        <v>228.64096638451983</v>
      </c>
      <c r="D31" s="282">
        <v>83.137557492553753</v>
      </c>
      <c r="E31" s="181">
        <f t="shared" si="0"/>
        <v>83.137557492553753</v>
      </c>
      <c r="F31" s="208" t="str">
        <f t="shared" si="1"/>
        <v/>
      </c>
    </row>
    <row r="32" spans="1:7">
      <c r="A32">
        <v>29</v>
      </c>
      <c r="B32" s="46">
        <v>43799</v>
      </c>
      <c r="C32" s="282">
        <v>214.75856638452075</v>
      </c>
      <c r="D32" s="282">
        <v>83.137557492553753</v>
      </c>
      <c r="E32" s="181">
        <f t="shared" si="0"/>
        <v>83.137557492553753</v>
      </c>
      <c r="F32" s="208" t="str">
        <f t="shared" si="1"/>
        <v/>
      </c>
    </row>
    <row r="33" spans="1:7">
      <c r="A33">
        <v>30</v>
      </c>
      <c r="B33" s="46">
        <v>43800</v>
      </c>
      <c r="C33" s="282">
        <v>220.02446638451889</v>
      </c>
      <c r="D33" s="282">
        <v>104.08859355090497</v>
      </c>
      <c r="E33" s="181">
        <f t="shared" si="0"/>
        <v>104.08859355090497</v>
      </c>
      <c r="F33" s="208" t="str">
        <f t="shared" si="1"/>
        <v/>
      </c>
    </row>
    <row r="34" spans="1:7">
      <c r="A34">
        <v>31</v>
      </c>
      <c r="B34" s="46">
        <v>43801</v>
      </c>
      <c r="C34" s="282">
        <v>220.93696638452076</v>
      </c>
      <c r="D34" s="282">
        <v>104.08859355090497</v>
      </c>
      <c r="E34" s="181">
        <f t="shared" si="0"/>
        <v>104.08859355090497</v>
      </c>
      <c r="F34" s="208" t="str">
        <f t="shared" si="1"/>
        <v/>
      </c>
    </row>
    <row r="35" spans="1:7">
      <c r="A35">
        <v>32</v>
      </c>
      <c r="B35" s="46">
        <v>43802</v>
      </c>
      <c r="C35" s="282">
        <v>238.31986638452074</v>
      </c>
      <c r="D35" s="282">
        <v>104.08859355090497</v>
      </c>
      <c r="E35" s="181">
        <f t="shared" si="0"/>
        <v>104.08859355090497</v>
      </c>
      <c r="F35" s="208" t="str">
        <f t="shared" si="1"/>
        <v/>
      </c>
    </row>
    <row r="36" spans="1:7">
      <c r="A36">
        <v>33</v>
      </c>
      <c r="B36" s="46">
        <v>43803</v>
      </c>
      <c r="C36" s="282">
        <v>156.94177797175308</v>
      </c>
      <c r="D36" s="282">
        <v>104.08859355090497</v>
      </c>
      <c r="E36" s="181">
        <f t="shared" si="0"/>
        <v>104.08859355090497</v>
      </c>
      <c r="F36" s="208" t="str">
        <f t="shared" si="1"/>
        <v/>
      </c>
    </row>
    <row r="37" spans="1:7">
      <c r="A37">
        <v>34</v>
      </c>
      <c r="B37" s="46">
        <v>43804</v>
      </c>
      <c r="C37" s="282">
        <v>156.35437797175402</v>
      </c>
      <c r="D37" s="282">
        <v>104.08859355090497</v>
      </c>
      <c r="E37" s="181">
        <f t="shared" si="0"/>
        <v>104.08859355090497</v>
      </c>
      <c r="F37" s="208" t="str">
        <f t="shared" si="1"/>
        <v/>
      </c>
    </row>
    <row r="38" spans="1:7">
      <c r="A38">
        <v>35</v>
      </c>
      <c r="B38" s="46">
        <v>43805</v>
      </c>
      <c r="C38" s="282">
        <v>145.71837797175311</v>
      </c>
      <c r="D38" s="282">
        <v>104.08859355090497</v>
      </c>
      <c r="E38" s="181">
        <f t="shared" si="0"/>
        <v>104.08859355090497</v>
      </c>
      <c r="F38" s="208" t="str">
        <f t="shared" si="1"/>
        <v/>
      </c>
    </row>
    <row r="39" spans="1:7">
      <c r="A39">
        <v>36</v>
      </c>
      <c r="B39" s="46">
        <v>43806</v>
      </c>
      <c r="C39" s="282">
        <v>138.4799779717531</v>
      </c>
      <c r="D39" s="282">
        <v>104.08859355090497</v>
      </c>
      <c r="E39" s="181">
        <f t="shared" si="0"/>
        <v>104.08859355090497</v>
      </c>
      <c r="F39" s="208" t="str">
        <f t="shared" si="1"/>
        <v/>
      </c>
    </row>
    <row r="40" spans="1:7">
      <c r="A40">
        <v>37</v>
      </c>
      <c r="B40" s="46">
        <v>43807</v>
      </c>
      <c r="C40" s="282">
        <v>123.6798779717531</v>
      </c>
      <c r="D40" s="282">
        <v>104.08859355090497</v>
      </c>
      <c r="E40" s="181">
        <f t="shared" si="0"/>
        <v>104.08859355090497</v>
      </c>
      <c r="F40" s="208" t="str">
        <f t="shared" si="1"/>
        <v/>
      </c>
    </row>
    <row r="41" spans="1:7">
      <c r="A41">
        <v>38</v>
      </c>
      <c r="B41" s="46">
        <v>43808</v>
      </c>
      <c r="C41" s="282">
        <v>121.28207797175217</v>
      </c>
      <c r="D41" s="282">
        <v>104.08859355090497</v>
      </c>
      <c r="E41" s="181">
        <f t="shared" si="0"/>
        <v>104.08859355090497</v>
      </c>
      <c r="F41" s="208" t="str">
        <f t="shared" si="1"/>
        <v/>
      </c>
    </row>
    <row r="42" spans="1:7">
      <c r="A42">
        <v>39</v>
      </c>
      <c r="B42" s="46">
        <v>43809</v>
      </c>
      <c r="C42" s="282">
        <v>130.3171779717531</v>
      </c>
      <c r="D42" s="282">
        <v>104.08859355090497</v>
      </c>
      <c r="E42" s="181">
        <f t="shared" si="0"/>
        <v>104.08859355090497</v>
      </c>
      <c r="F42" s="208" t="str">
        <f t="shared" si="1"/>
        <v/>
      </c>
    </row>
    <row r="43" spans="1:7">
      <c r="A43">
        <v>40</v>
      </c>
      <c r="B43" s="46">
        <v>43810</v>
      </c>
      <c r="C43" s="282">
        <v>138.70278654671944</v>
      </c>
      <c r="D43" s="282">
        <v>104.08859355090497</v>
      </c>
      <c r="E43" s="181">
        <f t="shared" si="0"/>
        <v>104.08859355090497</v>
      </c>
      <c r="F43" s="208" t="str">
        <f t="shared" si="1"/>
        <v/>
      </c>
    </row>
    <row r="44" spans="1:7">
      <c r="A44">
        <v>41</v>
      </c>
      <c r="B44" s="46">
        <v>43811</v>
      </c>
      <c r="C44" s="282">
        <v>127.68308654672039</v>
      </c>
      <c r="D44" s="282">
        <v>104.08859355090497</v>
      </c>
      <c r="E44" s="181">
        <f t="shared" si="0"/>
        <v>104.08859355090497</v>
      </c>
      <c r="F44" s="208" t="str">
        <f t="shared" si="1"/>
        <v/>
      </c>
    </row>
    <row r="45" spans="1:7">
      <c r="A45">
        <v>42</v>
      </c>
      <c r="B45" s="46">
        <v>43812</v>
      </c>
      <c r="C45" s="282">
        <v>135.46618654671852</v>
      </c>
      <c r="D45" s="282">
        <v>104.08859355090497</v>
      </c>
      <c r="E45" s="181">
        <f t="shared" si="0"/>
        <v>104.08859355090497</v>
      </c>
      <c r="F45" s="208" t="str">
        <f t="shared" si="1"/>
        <v/>
      </c>
    </row>
    <row r="46" spans="1:7">
      <c r="A46">
        <v>43</v>
      </c>
      <c r="B46" s="46">
        <v>43813</v>
      </c>
      <c r="C46" s="282">
        <v>142.37948654671945</v>
      </c>
      <c r="D46" s="282">
        <v>104.08859355090497</v>
      </c>
      <c r="E46" s="181">
        <f t="shared" si="0"/>
        <v>104.08859355090497</v>
      </c>
      <c r="F46" s="208" t="str">
        <f t="shared" si="1"/>
        <v/>
      </c>
    </row>
    <row r="47" spans="1:7">
      <c r="A47">
        <v>44</v>
      </c>
      <c r="B47" s="46">
        <v>43814</v>
      </c>
      <c r="C47" s="282">
        <v>136.77508654672039</v>
      </c>
      <c r="D47" s="282">
        <v>104.08859355090497</v>
      </c>
      <c r="E47" s="181">
        <f t="shared" si="0"/>
        <v>104.08859355090497</v>
      </c>
      <c r="F47" s="208" t="str">
        <f>IF(DAY(B47)=15,IF(MONTH(B47)=1,"E",IF(MONTH(B47)=2,"F",IF(MONTH(B47)=3,"M",IF(MONTH(B47)=4,"A",IF(MONTH(B47)=5,"M",IF(MONTH(B47)=6,"J",IF(MONTH(B47)=7,"J",IF(MONTH(B47)=8,"A",IF(MONTH(B47)=9,"S",IF(MONTH(B47)=10,"O",IF(MONTH(B47)=11,"N",IF(MONTH(B47)=12,"D","")))))))))))),"")</f>
        <v>D</v>
      </c>
      <c r="G47" s="209">
        <f>IF(DAY(B47)=15,D47,"")</f>
        <v>104.08859355090497</v>
      </c>
    </row>
    <row r="48" spans="1:7">
      <c r="A48">
        <v>45</v>
      </c>
      <c r="B48" s="46">
        <v>43815</v>
      </c>
      <c r="C48" s="282">
        <v>157.64818654672038</v>
      </c>
      <c r="D48" s="282">
        <v>104.08859355090497</v>
      </c>
      <c r="E48" s="181">
        <f t="shared" si="0"/>
        <v>104.08859355090497</v>
      </c>
      <c r="F48" s="208" t="str">
        <f t="shared" si="1"/>
        <v/>
      </c>
    </row>
    <row r="49" spans="1:6">
      <c r="A49">
        <v>46</v>
      </c>
      <c r="B49" s="46">
        <v>43816</v>
      </c>
      <c r="C49" s="282">
        <v>173.63738654671945</v>
      </c>
      <c r="D49" s="282">
        <v>104.08859355090497</v>
      </c>
      <c r="E49" s="181">
        <f t="shared" si="0"/>
        <v>104.08859355090497</v>
      </c>
      <c r="F49" s="208" t="str">
        <f t="shared" si="1"/>
        <v/>
      </c>
    </row>
    <row r="50" spans="1:6">
      <c r="A50">
        <v>47</v>
      </c>
      <c r="B50" s="46">
        <v>43817</v>
      </c>
      <c r="C50" s="282">
        <v>334.36363688784093</v>
      </c>
      <c r="D50" s="282">
        <v>104.08859355090497</v>
      </c>
      <c r="E50" s="181">
        <f t="shared" si="0"/>
        <v>104.08859355090497</v>
      </c>
      <c r="F50" s="208" t="str">
        <f t="shared" si="1"/>
        <v/>
      </c>
    </row>
    <row r="51" spans="1:6">
      <c r="A51">
        <v>48</v>
      </c>
      <c r="B51" s="46">
        <v>43818</v>
      </c>
      <c r="C51" s="282">
        <v>332.79693688784465</v>
      </c>
      <c r="D51" s="282">
        <v>104.08859355090497</v>
      </c>
      <c r="E51" s="181">
        <f t="shared" si="0"/>
        <v>104.08859355090497</v>
      </c>
      <c r="F51" s="208" t="str">
        <f t="shared" si="1"/>
        <v/>
      </c>
    </row>
    <row r="52" spans="1:6">
      <c r="A52">
        <v>49</v>
      </c>
      <c r="B52" s="46">
        <v>43819</v>
      </c>
      <c r="C52" s="282">
        <v>354.77393688784275</v>
      </c>
      <c r="D52" s="282">
        <v>104.08859355090497</v>
      </c>
      <c r="E52" s="181">
        <f t="shared" si="0"/>
        <v>104.08859355090497</v>
      </c>
      <c r="F52" s="208" t="str">
        <f t="shared" si="1"/>
        <v/>
      </c>
    </row>
    <row r="53" spans="1:6">
      <c r="A53">
        <v>50</v>
      </c>
      <c r="B53" s="46">
        <v>43820</v>
      </c>
      <c r="C53" s="282">
        <v>354.52443688784462</v>
      </c>
      <c r="D53" s="282">
        <v>104.08859355090497</v>
      </c>
      <c r="E53" s="181">
        <f t="shared" si="0"/>
        <v>104.08859355090497</v>
      </c>
      <c r="F53" s="208" t="str">
        <f t="shared" si="1"/>
        <v/>
      </c>
    </row>
    <row r="54" spans="1:6">
      <c r="A54">
        <v>51</v>
      </c>
      <c r="B54" s="46">
        <v>43821</v>
      </c>
      <c r="C54" s="282">
        <v>343.64063688784279</v>
      </c>
      <c r="D54" s="282">
        <v>104.08859355090497</v>
      </c>
      <c r="E54" s="181">
        <f t="shared" si="0"/>
        <v>104.08859355090497</v>
      </c>
      <c r="F54" s="208" t="str">
        <f t="shared" si="1"/>
        <v/>
      </c>
    </row>
    <row r="55" spans="1:6">
      <c r="A55">
        <v>52</v>
      </c>
      <c r="B55" s="46">
        <v>43822</v>
      </c>
      <c r="C55" s="282">
        <v>350.88903688784467</v>
      </c>
      <c r="D55" s="282">
        <v>104.08859355090497</v>
      </c>
      <c r="E55" s="181">
        <f t="shared" si="0"/>
        <v>104.08859355090497</v>
      </c>
      <c r="F55" s="208" t="str">
        <f t="shared" si="1"/>
        <v/>
      </c>
    </row>
    <row r="56" spans="1:6">
      <c r="A56">
        <v>53</v>
      </c>
      <c r="B56" s="46">
        <v>43823</v>
      </c>
      <c r="C56" s="282">
        <v>355.5973368878428</v>
      </c>
      <c r="D56" s="282">
        <v>104.08859355090497</v>
      </c>
      <c r="E56" s="181">
        <f t="shared" si="0"/>
        <v>104.08859355090497</v>
      </c>
      <c r="F56" s="208" t="str">
        <f t="shared" si="1"/>
        <v/>
      </c>
    </row>
    <row r="57" spans="1:6">
      <c r="A57">
        <v>54</v>
      </c>
      <c r="B57" s="46">
        <v>43824</v>
      </c>
      <c r="C57" s="282">
        <v>172.96803796917945</v>
      </c>
      <c r="D57" s="282">
        <v>104.08859355090497</v>
      </c>
      <c r="E57" s="181">
        <f t="shared" si="0"/>
        <v>104.08859355090497</v>
      </c>
      <c r="F57" s="208" t="str">
        <f t="shared" si="1"/>
        <v/>
      </c>
    </row>
    <row r="58" spans="1:6">
      <c r="A58">
        <v>55</v>
      </c>
      <c r="B58" s="46">
        <v>43825</v>
      </c>
      <c r="C58" s="282">
        <v>174.7728379691813</v>
      </c>
      <c r="D58" s="282">
        <v>104.08859355090497</v>
      </c>
      <c r="E58" s="181">
        <f t="shared" si="0"/>
        <v>104.08859355090497</v>
      </c>
      <c r="F58" s="208" t="str">
        <f t="shared" si="1"/>
        <v/>
      </c>
    </row>
    <row r="59" spans="1:6">
      <c r="A59">
        <v>56</v>
      </c>
      <c r="B59" s="46">
        <v>43826</v>
      </c>
      <c r="C59" s="282">
        <v>178.6237379691832</v>
      </c>
      <c r="D59" s="282">
        <v>104.08859355090497</v>
      </c>
      <c r="E59" s="181">
        <f t="shared" si="0"/>
        <v>104.08859355090497</v>
      </c>
      <c r="F59" s="208" t="str">
        <f t="shared" si="1"/>
        <v/>
      </c>
    </row>
    <row r="60" spans="1:6">
      <c r="A60">
        <v>57</v>
      </c>
      <c r="B60" s="46">
        <v>43827</v>
      </c>
      <c r="C60" s="282">
        <v>175.33903796917946</v>
      </c>
      <c r="D60" s="282">
        <v>104.08859355090497</v>
      </c>
      <c r="E60" s="181">
        <f t="shared" si="0"/>
        <v>104.08859355090497</v>
      </c>
      <c r="F60" s="208" t="str">
        <f t="shared" si="1"/>
        <v/>
      </c>
    </row>
    <row r="61" spans="1:6">
      <c r="A61">
        <v>58</v>
      </c>
      <c r="B61" s="46">
        <v>43828</v>
      </c>
      <c r="C61" s="282">
        <v>165.11513796918132</v>
      </c>
      <c r="D61" s="282">
        <v>104.08859355090497</v>
      </c>
      <c r="E61" s="181">
        <f t="shared" si="0"/>
        <v>104.08859355090497</v>
      </c>
      <c r="F61" s="208" t="str">
        <f t="shared" si="1"/>
        <v/>
      </c>
    </row>
    <row r="62" spans="1:6">
      <c r="A62">
        <v>59</v>
      </c>
      <c r="B62" s="46">
        <v>43829</v>
      </c>
      <c r="C62" s="282">
        <v>163.71783796918129</v>
      </c>
      <c r="D62" s="282">
        <v>104.08859355090497</v>
      </c>
      <c r="E62" s="181">
        <f t="shared" si="0"/>
        <v>104.08859355090497</v>
      </c>
      <c r="F62" s="208" t="str">
        <f t="shared" si="1"/>
        <v/>
      </c>
    </row>
    <row r="63" spans="1:6">
      <c r="A63">
        <v>60</v>
      </c>
      <c r="B63" s="46">
        <v>43830</v>
      </c>
      <c r="C63" s="282">
        <v>161.18603796918876</v>
      </c>
      <c r="D63" s="282">
        <v>104.08859355090497</v>
      </c>
      <c r="E63" s="181">
        <f t="shared" si="0"/>
        <v>104.08859355090497</v>
      </c>
      <c r="F63" s="208" t="str">
        <f t="shared" si="1"/>
        <v/>
      </c>
    </row>
    <row r="64" spans="1:6">
      <c r="A64">
        <v>61</v>
      </c>
      <c r="B64" s="46">
        <v>43831</v>
      </c>
      <c r="C64" s="282">
        <v>184.28364091592655</v>
      </c>
      <c r="D64" s="282">
        <v>120.61015823780208</v>
      </c>
      <c r="E64" s="181">
        <f t="shared" si="0"/>
        <v>120.61015823780208</v>
      </c>
      <c r="F64" s="208" t="str">
        <f t="shared" si="1"/>
        <v/>
      </c>
    </row>
    <row r="65" spans="1:7">
      <c r="A65">
        <v>62</v>
      </c>
      <c r="B65" s="46">
        <v>43832</v>
      </c>
      <c r="C65" s="282">
        <v>191.98454091592654</v>
      </c>
      <c r="D65" s="282">
        <v>120.61015823780208</v>
      </c>
      <c r="E65" s="181">
        <f t="shared" si="0"/>
        <v>120.61015823780208</v>
      </c>
      <c r="F65" s="208" t="str">
        <f t="shared" si="1"/>
        <v/>
      </c>
    </row>
    <row r="66" spans="1:7">
      <c r="A66">
        <v>63</v>
      </c>
      <c r="B66" s="46">
        <v>43833</v>
      </c>
      <c r="C66" s="282">
        <v>184.82194091592655</v>
      </c>
      <c r="D66" s="282">
        <v>120.61015823780208</v>
      </c>
      <c r="E66" s="181">
        <f t="shared" si="0"/>
        <v>120.61015823780208</v>
      </c>
      <c r="F66" s="208" t="str">
        <f t="shared" si="1"/>
        <v/>
      </c>
    </row>
    <row r="67" spans="1:7">
      <c r="A67">
        <v>64</v>
      </c>
      <c r="B67" s="46">
        <v>43834</v>
      </c>
      <c r="C67" s="282">
        <v>172.69454091592468</v>
      </c>
      <c r="D67" s="282">
        <v>120.61015823780208</v>
      </c>
      <c r="E67" s="181">
        <f t="shared" si="0"/>
        <v>120.61015823780208</v>
      </c>
      <c r="F67" s="208" t="str">
        <f t="shared" si="1"/>
        <v/>
      </c>
    </row>
    <row r="68" spans="1:7">
      <c r="A68">
        <v>65</v>
      </c>
      <c r="B68" s="46">
        <v>43835</v>
      </c>
      <c r="C68" s="282">
        <v>159.62764091592655</v>
      </c>
      <c r="D68" s="282">
        <v>120.61015823780208</v>
      </c>
      <c r="E68" s="181">
        <f t="shared" ref="E68:E131" si="2">IF(C68&lt;D68,C68,D68)</f>
        <v>120.61015823780208</v>
      </c>
      <c r="F68" s="208" t="str">
        <f t="shared" ref="F68:F131" si="3">IF(DAY(B68)=15,IF(MONTH(B68)=1,"E",IF(MONTH(B68)=2,"F",IF(MONTH(B68)=3,"M",IF(MONTH(B68)=4,"A",IF(MONTH(B68)=5,"M",IF(MONTH(B68)=6,"J",IF(MONTH(B68)=7,"J",IF(MONTH(B68)=8,"A",IF(MONTH(B68)=9,"S",IF(MONTH(B68)=10,"O",IF(MONTH(B68)=11,"N",IF(MONTH(B68)=12,"D","")))))))))))),"")</f>
        <v/>
      </c>
    </row>
    <row r="69" spans="1:7">
      <c r="A69">
        <v>66</v>
      </c>
      <c r="B69" s="46">
        <v>43836</v>
      </c>
      <c r="C69" s="282">
        <v>163.11084091592656</v>
      </c>
      <c r="D69" s="282">
        <v>120.61015823780208</v>
      </c>
      <c r="E69" s="181">
        <f t="shared" si="2"/>
        <v>120.61015823780208</v>
      </c>
      <c r="F69" s="208" t="str">
        <f t="shared" si="3"/>
        <v/>
      </c>
    </row>
    <row r="70" spans="1:7">
      <c r="A70">
        <v>67</v>
      </c>
      <c r="B70" s="46">
        <v>43837</v>
      </c>
      <c r="C70" s="282">
        <v>178.37934091592655</v>
      </c>
      <c r="D70" s="282">
        <v>120.61015823780208</v>
      </c>
      <c r="E70" s="181">
        <f t="shared" si="2"/>
        <v>120.61015823780208</v>
      </c>
      <c r="F70" s="208" t="str">
        <f t="shared" si="3"/>
        <v/>
      </c>
    </row>
    <row r="71" spans="1:7">
      <c r="A71">
        <v>68</v>
      </c>
      <c r="B71" s="46">
        <v>43838</v>
      </c>
      <c r="C71" s="282">
        <v>184.30429312520474</v>
      </c>
      <c r="D71" s="282">
        <v>120.61015823780208</v>
      </c>
      <c r="E71" s="181">
        <f t="shared" si="2"/>
        <v>120.61015823780208</v>
      </c>
      <c r="F71" s="208" t="str">
        <f t="shared" si="3"/>
        <v/>
      </c>
    </row>
    <row r="72" spans="1:7">
      <c r="A72">
        <v>69</v>
      </c>
      <c r="B72" s="46">
        <v>43839</v>
      </c>
      <c r="C72" s="282">
        <v>167.72469312520474</v>
      </c>
      <c r="D72" s="282">
        <v>120.61015823780208</v>
      </c>
      <c r="E72" s="181">
        <f t="shared" si="2"/>
        <v>120.61015823780208</v>
      </c>
      <c r="F72" s="208" t="str">
        <f t="shared" si="3"/>
        <v/>
      </c>
    </row>
    <row r="73" spans="1:7">
      <c r="A73">
        <v>70</v>
      </c>
      <c r="B73" s="46">
        <v>43840</v>
      </c>
      <c r="C73" s="282">
        <v>172.46919312520473</v>
      </c>
      <c r="D73" s="282">
        <v>120.61015823780208</v>
      </c>
      <c r="E73" s="181">
        <f t="shared" si="2"/>
        <v>120.61015823780208</v>
      </c>
      <c r="F73" s="208" t="str">
        <f t="shared" si="3"/>
        <v/>
      </c>
    </row>
    <row r="74" spans="1:7">
      <c r="A74">
        <v>71</v>
      </c>
      <c r="B74" s="46">
        <v>43841</v>
      </c>
      <c r="C74" s="282">
        <v>146.39959312520472</v>
      </c>
      <c r="D74" s="282">
        <v>120.61015823780208</v>
      </c>
      <c r="E74" s="181">
        <f t="shared" si="2"/>
        <v>120.61015823780208</v>
      </c>
      <c r="F74" s="208" t="str">
        <f t="shared" si="3"/>
        <v/>
      </c>
    </row>
    <row r="75" spans="1:7">
      <c r="A75">
        <v>72</v>
      </c>
      <c r="B75" s="46">
        <v>43842</v>
      </c>
      <c r="C75" s="282">
        <v>143.13519312520472</v>
      </c>
      <c r="D75" s="282">
        <v>120.61015823780208</v>
      </c>
      <c r="E75" s="181">
        <f t="shared" si="2"/>
        <v>120.61015823780208</v>
      </c>
      <c r="F75" s="208" t="str">
        <f t="shared" si="3"/>
        <v/>
      </c>
    </row>
    <row r="76" spans="1:7">
      <c r="A76">
        <v>73</v>
      </c>
      <c r="B76" s="46">
        <v>43843</v>
      </c>
      <c r="C76" s="282">
        <v>167.98059312520473</v>
      </c>
      <c r="D76" s="282">
        <v>120.61015823780208</v>
      </c>
      <c r="E76" s="181">
        <f t="shared" si="2"/>
        <v>120.61015823780208</v>
      </c>
      <c r="F76" s="208" t="str">
        <f t="shared" si="3"/>
        <v/>
      </c>
    </row>
    <row r="77" spans="1:7">
      <c r="A77">
        <v>74</v>
      </c>
      <c r="B77" s="46">
        <v>43844</v>
      </c>
      <c r="C77" s="282">
        <v>161.94979312520474</v>
      </c>
      <c r="D77" s="282">
        <v>120.61015823780208</v>
      </c>
      <c r="E77" s="181">
        <f t="shared" si="2"/>
        <v>120.61015823780208</v>
      </c>
      <c r="F77" s="208" t="str">
        <f t="shared" si="3"/>
        <v/>
      </c>
    </row>
    <row r="78" spans="1:7">
      <c r="A78">
        <v>75</v>
      </c>
      <c r="B78" s="46">
        <v>43845</v>
      </c>
      <c r="C78" s="282">
        <v>109.49860715492852</v>
      </c>
      <c r="D78" s="282">
        <v>120.61015823780208</v>
      </c>
      <c r="E78" s="181">
        <f t="shared" si="2"/>
        <v>109.49860715492852</v>
      </c>
      <c r="F78" s="208" t="str">
        <f>IF(DAY(B78)=15,IF(MONTH(B78)=1,"E",IF(MONTH(B78)=2,"F",IF(MONTH(B78)=3,"M",IF(MONTH(B78)=4,"A",IF(MONTH(B78)=5,"M",IF(MONTH(B78)=6,"J",IF(MONTH(B78)=7,"J",IF(MONTH(B78)=8,"A",IF(MONTH(B78)=9,"S",IF(MONTH(B78)=10,"O",IF(MONTH(B78)=11,"N",IF(MONTH(B78)=12,"D","")))))))))))),"")</f>
        <v>E</v>
      </c>
      <c r="G78" s="209">
        <f>IF(DAY(B78)=15,D78,"")</f>
        <v>120.61015823780208</v>
      </c>
    </row>
    <row r="79" spans="1:7">
      <c r="A79">
        <v>76</v>
      </c>
      <c r="B79" s="46">
        <v>43846</v>
      </c>
      <c r="C79" s="282">
        <v>102.81940715493037</v>
      </c>
      <c r="D79" s="282">
        <v>120.61015823780208</v>
      </c>
      <c r="E79" s="181">
        <f t="shared" si="2"/>
        <v>102.81940715493037</v>
      </c>
      <c r="F79" s="208" t="str">
        <f t="shared" si="3"/>
        <v/>
      </c>
    </row>
    <row r="80" spans="1:7">
      <c r="A80">
        <v>77</v>
      </c>
      <c r="B80" s="46">
        <v>43847</v>
      </c>
      <c r="C80" s="282">
        <v>95.576007154928519</v>
      </c>
      <c r="D80" s="282">
        <v>120.61015823780208</v>
      </c>
      <c r="E80" s="181">
        <f t="shared" si="2"/>
        <v>95.576007154928519</v>
      </c>
      <c r="F80" s="208" t="str">
        <f t="shared" si="3"/>
        <v/>
      </c>
    </row>
    <row r="81" spans="1:6">
      <c r="A81">
        <v>78</v>
      </c>
      <c r="B81" s="46">
        <v>43848</v>
      </c>
      <c r="C81" s="282">
        <v>78.538607154930389</v>
      </c>
      <c r="D81" s="282">
        <v>120.61015823780208</v>
      </c>
      <c r="E81" s="181">
        <f t="shared" si="2"/>
        <v>78.538607154930389</v>
      </c>
      <c r="F81" s="208" t="str">
        <f t="shared" si="3"/>
        <v/>
      </c>
    </row>
    <row r="82" spans="1:6">
      <c r="A82">
        <v>79</v>
      </c>
      <c r="B82" s="46">
        <v>43849</v>
      </c>
      <c r="C82" s="282">
        <v>81.264607154928527</v>
      </c>
      <c r="D82" s="282">
        <v>120.61015823780208</v>
      </c>
      <c r="E82" s="181">
        <f t="shared" si="2"/>
        <v>81.264607154928527</v>
      </c>
      <c r="F82" s="208" t="str">
        <f t="shared" si="3"/>
        <v/>
      </c>
    </row>
    <row r="83" spans="1:6">
      <c r="A83">
        <v>80</v>
      </c>
      <c r="B83" s="46">
        <v>43850</v>
      </c>
      <c r="C83" s="282">
        <v>107.20760715493039</v>
      </c>
      <c r="D83" s="282">
        <v>120.61015823780208</v>
      </c>
      <c r="E83" s="181">
        <f t="shared" si="2"/>
        <v>107.20760715493039</v>
      </c>
      <c r="F83" s="208" t="str">
        <f t="shared" si="3"/>
        <v/>
      </c>
    </row>
    <row r="84" spans="1:6">
      <c r="A84">
        <v>81</v>
      </c>
      <c r="B84" s="46">
        <v>43851</v>
      </c>
      <c r="C84" s="282">
        <v>109.99690715492851</v>
      </c>
      <c r="D84" s="282">
        <v>120.61015823780208</v>
      </c>
      <c r="E84" s="181">
        <f t="shared" si="2"/>
        <v>109.99690715492851</v>
      </c>
      <c r="F84" s="208" t="str">
        <f t="shared" si="3"/>
        <v/>
      </c>
    </row>
    <row r="85" spans="1:6">
      <c r="A85">
        <v>82</v>
      </c>
      <c r="B85" s="46">
        <v>43852</v>
      </c>
      <c r="C85" s="282">
        <v>156.73273092885577</v>
      </c>
      <c r="D85" s="282">
        <v>120.61015823780208</v>
      </c>
      <c r="E85" s="181">
        <f t="shared" si="2"/>
        <v>120.61015823780208</v>
      </c>
      <c r="F85" s="208" t="str">
        <f t="shared" si="3"/>
        <v/>
      </c>
    </row>
    <row r="86" spans="1:6">
      <c r="A86">
        <v>83</v>
      </c>
      <c r="B86" s="46">
        <v>43853</v>
      </c>
      <c r="C86" s="282">
        <v>153.73723092885763</v>
      </c>
      <c r="D86" s="282">
        <v>120.61015823780208</v>
      </c>
      <c r="E86" s="181">
        <f t="shared" si="2"/>
        <v>120.61015823780208</v>
      </c>
      <c r="F86" s="208" t="str">
        <f t="shared" si="3"/>
        <v/>
      </c>
    </row>
    <row r="87" spans="1:6">
      <c r="A87">
        <v>84</v>
      </c>
      <c r="B87" s="46">
        <v>43854</v>
      </c>
      <c r="C87" s="282">
        <v>158.31193092885576</v>
      </c>
      <c r="D87" s="282">
        <v>120.61015823780208</v>
      </c>
      <c r="E87" s="181">
        <f t="shared" si="2"/>
        <v>120.61015823780208</v>
      </c>
      <c r="F87" s="208" t="str">
        <f t="shared" si="3"/>
        <v/>
      </c>
    </row>
    <row r="88" spans="1:6">
      <c r="A88">
        <v>85</v>
      </c>
      <c r="B88" s="46">
        <v>43855</v>
      </c>
      <c r="C88" s="282">
        <v>142.16853092885577</v>
      </c>
      <c r="D88" s="282">
        <v>120.61015823780208</v>
      </c>
      <c r="E88" s="181">
        <f t="shared" si="2"/>
        <v>120.61015823780208</v>
      </c>
      <c r="F88" s="208" t="str">
        <f t="shared" si="3"/>
        <v/>
      </c>
    </row>
    <row r="89" spans="1:6">
      <c r="A89">
        <v>86</v>
      </c>
      <c r="B89" s="46">
        <v>43856</v>
      </c>
      <c r="C89" s="282">
        <v>113.01793092885576</v>
      </c>
      <c r="D89" s="282">
        <v>120.61015823780208</v>
      </c>
      <c r="E89" s="181">
        <f t="shared" si="2"/>
        <v>113.01793092885576</v>
      </c>
      <c r="F89" s="208" t="str">
        <f t="shared" si="3"/>
        <v/>
      </c>
    </row>
    <row r="90" spans="1:6">
      <c r="A90">
        <v>87</v>
      </c>
      <c r="B90" s="46">
        <v>43857</v>
      </c>
      <c r="C90" s="282">
        <v>106.38223092885762</v>
      </c>
      <c r="D90" s="282">
        <v>120.61015823780208</v>
      </c>
      <c r="E90" s="181">
        <f t="shared" si="2"/>
        <v>106.38223092885762</v>
      </c>
      <c r="F90" s="208" t="str">
        <f t="shared" si="3"/>
        <v/>
      </c>
    </row>
    <row r="91" spans="1:6">
      <c r="A91">
        <v>88</v>
      </c>
      <c r="B91" s="46">
        <v>43858</v>
      </c>
      <c r="C91" s="282">
        <v>117.30713092885577</v>
      </c>
      <c r="D91" s="282">
        <v>120.61015823780208</v>
      </c>
      <c r="E91" s="181">
        <f t="shared" si="2"/>
        <v>117.30713092885577</v>
      </c>
      <c r="F91" s="208" t="str">
        <f t="shared" si="3"/>
        <v/>
      </c>
    </row>
    <row r="92" spans="1:6">
      <c r="A92">
        <v>89</v>
      </c>
      <c r="B92" s="46">
        <v>43859</v>
      </c>
      <c r="C92" s="282">
        <v>163.13593686418943</v>
      </c>
      <c r="D92" s="282">
        <v>120.61015823780208</v>
      </c>
      <c r="E92" s="181">
        <f t="shared" si="2"/>
        <v>120.61015823780208</v>
      </c>
      <c r="F92" s="208" t="str">
        <f t="shared" si="3"/>
        <v/>
      </c>
    </row>
    <row r="93" spans="1:6">
      <c r="A93">
        <v>90</v>
      </c>
      <c r="B93" s="46">
        <v>43860</v>
      </c>
      <c r="C93" s="282">
        <v>149.3266368641913</v>
      </c>
      <c r="D93" s="282">
        <v>120.61015823780208</v>
      </c>
      <c r="E93" s="181">
        <f t="shared" si="2"/>
        <v>120.61015823780208</v>
      </c>
      <c r="F93" s="208" t="str">
        <f t="shared" si="3"/>
        <v/>
      </c>
    </row>
    <row r="94" spans="1:6">
      <c r="A94">
        <v>91</v>
      </c>
      <c r="B94" s="46">
        <v>43861</v>
      </c>
      <c r="C94" s="282">
        <v>156.05203686418571</v>
      </c>
      <c r="D94" s="282">
        <v>120.61015823780208</v>
      </c>
      <c r="E94" s="181">
        <f t="shared" si="2"/>
        <v>120.61015823780208</v>
      </c>
      <c r="F94" s="208" t="str">
        <f t="shared" si="3"/>
        <v/>
      </c>
    </row>
    <row r="95" spans="1:6">
      <c r="A95">
        <v>92</v>
      </c>
      <c r="B95" s="46">
        <v>43862</v>
      </c>
      <c r="C95" s="282">
        <v>145.22593686419128</v>
      </c>
      <c r="D95" s="282">
        <v>123.04180331015149</v>
      </c>
      <c r="E95" s="181">
        <f t="shared" si="2"/>
        <v>123.04180331015149</v>
      </c>
      <c r="F95" s="208" t="str">
        <f t="shared" si="3"/>
        <v/>
      </c>
    </row>
    <row r="96" spans="1:6">
      <c r="A96">
        <v>93</v>
      </c>
      <c r="B96" s="46">
        <v>43863</v>
      </c>
      <c r="C96" s="282">
        <v>144.93633686419128</v>
      </c>
      <c r="D96" s="282">
        <v>123.04180331015149</v>
      </c>
      <c r="E96" s="181">
        <f t="shared" si="2"/>
        <v>123.04180331015149</v>
      </c>
      <c r="F96" s="208" t="str">
        <f t="shared" si="3"/>
        <v/>
      </c>
    </row>
    <row r="97" spans="1:7">
      <c r="A97">
        <v>94</v>
      </c>
      <c r="B97" s="46">
        <v>43864</v>
      </c>
      <c r="C97" s="282">
        <v>153.95463686418944</v>
      </c>
      <c r="D97" s="282">
        <v>123.04180331015149</v>
      </c>
      <c r="E97" s="181">
        <f t="shared" si="2"/>
        <v>123.04180331015149</v>
      </c>
      <c r="F97" s="208" t="str">
        <f t="shared" si="3"/>
        <v/>
      </c>
    </row>
    <row r="98" spans="1:7">
      <c r="A98">
        <v>95</v>
      </c>
      <c r="B98" s="46">
        <v>43865</v>
      </c>
      <c r="C98" s="282">
        <v>147.42883686419316</v>
      </c>
      <c r="D98" s="282">
        <v>123.04180331015149</v>
      </c>
      <c r="E98" s="181">
        <f t="shared" si="2"/>
        <v>123.04180331015149</v>
      </c>
      <c r="F98" s="208" t="str">
        <f t="shared" si="3"/>
        <v/>
      </c>
    </row>
    <row r="99" spans="1:7">
      <c r="A99">
        <v>96</v>
      </c>
      <c r="B99" s="46">
        <v>43866</v>
      </c>
      <c r="C99" s="282">
        <v>101.07637480868175</v>
      </c>
      <c r="D99" s="282">
        <v>123.04180331015149</v>
      </c>
      <c r="E99" s="181">
        <f t="shared" si="2"/>
        <v>101.07637480868175</v>
      </c>
      <c r="F99" s="208" t="str">
        <f t="shared" si="3"/>
        <v/>
      </c>
    </row>
    <row r="100" spans="1:7">
      <c r="A100">
        <v>97</v>
      </c>
      <c r="B100" s="46">
        <v>43867</v>
      </c>
      <c r="C100" s="282">
        <v>119.89337480868176</v>
      </c>
      <c r="D100" s="282">
        <v>123.04180331015149</v>
      </c>
      <c r="E100" s="181">
        <f t="shared" si="2"/>
        <v>119.89337480868176</v>
      </c>
      <c r="F100" s="208" t="str">
        <f t="shared" si="3"/>
        <v/>
      </c>
    </row>
    <row r="101" spans="1:7">
      <c r="A101">
        <v>98</v>
      </c>
      <c r="B101" s="46">
        <v>43868</v>
      </c>
      <c r="C101" s="282">
        <v>132.50547480868175</v>
      </c>
      <c r="D101" s="282">
        <v>123.04180331015149</v>
      </c>
      <c r="E101" s="181">
        <f t="shared" si="2"/>
        <v>123.04180331015149</v>
      </c>
      <c r="F101" s="208" t="str">
        <f t="shared" si="3"/>
        <v/>
      </c>
    </row>
    <row r="102" spans="1:7">
      <c r="A102">
        <v>99</v>
      </c>
      <c r="B102" s="46">
        <v>43869</v>
      </c>
      <c r="C102" s="282">
        <v>111.28487480868175</v>
      </c>
      <c r="D102" s="282">
        <v>123.04180331015149</v>
      </c>
      <c r="E102" s="181">
        <f t="shared" si="2"/>
        <v>111.28487480868175</v>
      </c>
      <c r="F102" s="208" t="str">
        <f t="shared" si="3"/>
        <v/>
      </c>
    </row>
    <row r="103" spans="1:7">
      <c r="A103">
        <v>100</v>
      </c>
      <c r="B103" s="46">
        <v>43870</v>
      </c>
      <c r="C103" s="282">
        <v>81.630574808679896</v>
      </c>
      <c r="D103" s="282">
        <v>123.04180331015149</v>
      </c>
      <c r="E103" s="181">
        <f t="shared" si="2"/>
        <v>81.630574808679896</v>
      </c>
      <c r="F103" s="208" t="str">
        <f t="shared" si="3"/>
        <v/>
      </c>
    </row>
    <row r="104" spans="1:7">
      <c r="A104">
        <v>101</v>
      </c>
      <c r="B104" s="46">
        <v>43871</v>
      </c>
      <c r="C104" s="282">
        <v>93.520274808683624</v>
      </c>
      <c r="D104" s="282">
        <v>123.04180331015149</v>
      </c>
      <c r="E104" s="181">
        <f t="shared" si="2"/>
        <v>93.520274808683624</v>
      </c>
      <c r="F104" s="208" t="str">
        <f t="shared" si="3"/>
        <v/>
      </c>
    </row>
    <row r="105" spans="1:7">
      <c r="A105">
        <v>102</v>
      </c>
      <c r="B105" s="46">
        <v>43872</v>
      </c>
      <c r="C105" s="282">
        <v>120.85797480868362</v>
      </c>
      <c r="D105" s="282">
        <v>123.04180331015149</v>
      </c>
      <c r="E105" s="181">
        <f t="shared" si="2"/>
        <v>120.85797480868362</v>
      </c>
      <c r="F105" s="208" t="str">
        <f t="shared" si="3"/>
        <v/>
      </c>
    </row>
    <row r="106" spans="1:7">
      <c r="A106">
        <v>103</v>
      </c>
      <c r="B106" s="46">
        <v>43873</v>
      </c>
      <c r="C106" s="282">
        <v>138.61622846951818</v>
      </c>
      <c r="D106" s="282">
        <v>123.04180331015149</v>
      </c>
      <c r="E106" s="181">
        <f t="shared" si="2"/>
        <v>123.04180331015149</v>
      </c>
      <c r="F106" s="208" t="str">
        <f t="shared" si="3"/>
        <v/>
      </c>
    </row>
    <row r="107" spans="1:7">
      <c r="A107">
        <v>104</v>
      </c>
      <c r="B107" s="46">
        <v>43874</v>
      </c>
      <c r="C107" s="282">
        <v>96.8228284695182</v>
      </c>
      <c r="D107" s="282">
        <v>123.04180331015149</v>
      </c>
      <c r="E107" s="181">
        <f t="shared" si="2"/>
        <v>96.8228284695182</v>
      </c>
      <c r="F107" s="208" t="str">
        <f t="shared" si="3"/>
        <v/>
      </c>
    </row>
    <row r="108" spans="1:7">
      <c r="A108">
        <v>105</v>
      </c>
      <c r="B108" s="46">
        <v>43875</v>
      </c>
      <c r="C108" s="282">
        <v>124.76382846952005</v>
      </c>
      <c r="D108" s="282">
        <v>123.04180331015149</v>
      </c>
      <c r="E108" s="181">
        <f t="shared" si="2"/>
        <v>123.04180331015149</v>
      </c>
      <c r="F108" s="208" t="str">
        <f>IF(DAY(B108)=15,IF(MONTH(B108)=1,"E",IF(MONTH(B108)=2,"F",IF(MONTH(B108)=3,"M",IF(MONTH(B108)=4,"A",IF(MONTH(B108)=5,"M",IF(MONTH(B108)=6,"J",IF(MONTH(B108)=7,"J",IF(MONTH(B108)=8,"A",IF(MONTH(B108)=9,"S",IF(MONTH(B108)=10,"O",IF(MONTH(B108)=11,"N",IF(MONTH(B108)=12,"D","")))))))))))),"")</f>
        <v/>
      </c>
    </row>
    <row r="109" spans="1:7">
      <c r="A109">
        <v>106</v>
      </c>
      <c r="B109" s="46">
        <v>43876</v>
      </c>
      <c r="C109" s="282">
        <v>77.748528469514483</v>
      </c>
      <c r="D109" s="282">
        <v>123.04180331015149</v>
      </c>
      <c r="E109" s="181">
        <f t="shared" si="2"/>
        <v>77.748528469514483</v>
      </c>
      <c r="F109" s="208" t="str">
        <f t="shared" si="3"/>
        <v>F</v>
      </c>
      <c r="G109" s="209">
        <f>IF(DAY(B109)=15,D109,"")</f>
        <v>123.04180331015149</v>
      </c>
    </row>
    <row r="110" spans="1:7">
      <c r="A110">
        <v>107</v>
      </c>
      <c r="B110" s="46">
        <v>43877</v>
      </c>
      <c r="C110" s="282">
        <v>60.013928469521922</v>
      </c>
      <c r="D110" s="282">
        <v>123.04180331015149</v>
      </c>
      <c r="E110" s="181">
        <f t="shared" si="2"/>
        <v>60.013928469521922</v>
      </c>
      <c r="F110" s="208" t="str">
        <f t="shared" si="3"/>
        <v/>
      </c>
    </row>
    <row r="111" spans="1:7">
      <c r="A111">
        <v>108</v>
      </c>
      <c r="B111" s="46">
        <v>43878</v>
      </c>
      <c r="C111" s="282">
        <v>83.613828469518197</v>
      </c>
      <c r="D111" s="282">
        <v>123.04180331015149</v>
      </c>
      <c r="E111" s="181">
        <f t="shared" si="2"/>
        <v>83.613828469518197</v>
      </c>
      <c r="F111" s="208" t="str">
        <f t="shared" si="3"/>
        <v/>
      </c>
    </row>
    <row r="112" spans="1:7">
      <c r="A112">
        <v>109</v>
      </c>
      <c r="B112" s="46">
        <v>43879</v>
      </c>
      <c r="C112" s="282">
        <v>108.04012846952006</v>
      </c>
      <c r="D112" s="282">
        <v>123.04180331015149</v>
      </c>
      <c r="E112" s="181">
        <f t="shared" si="2"/>
        <v>108.04012846952006</v>
      </c>
      <c r="F112" s="208" t="str">
        <f t="shared" si="3"/>
        <v/>
      </c>
    </row>
    <row r="113" spans="1:6">
      <c r="A113">
        <v>110</v>
      </c>
      <c r="B113" s="46">
        <v>43880</v>
      </c>
      <c r="C113" s="282">
        <v>106.5020102428887</v>
      </c>
      <c r="D113" s="282">
        <v>123.04180331015149</v>
      </c>
      <c r="E113" s="181">
        <f t="shared" si="2"/>
        <v>106.5020102428887</v>
      </c>
      <c r="F113" s="208" t="str">
        <f t="shared" si="3"/>
        <v/>
      </c>
    </row>
    <row r="114" spans="1:6">
      <c r="A114">
        <v>111</v>
      </c>
      <c r="B114" s="46">
        <v>43881</v>
      </c>
      <c r="C114" s="282">
        <v>108.2354102428887</v>
      </c>
      <c r="D114" s="282">
        <v>123.04180331015149</v>
      </c>
      <c r="E114" s="181">
        <f t="shared" si="2"/>
        <v>108.2354102428887</v>
      </c>
      <c r="F114" s="208" t="str">
        <f t="shared" si="3"/>
        <v/>
      </c>
    </row>
    <row r="115" spans="1:6">
      <c r="A115">
        <v>112</v>
      </c>
      <c r="B115" s="46">
        <v>43882</v>
      </c>
      <c r="C115" s="282">
        <v>96.361410242890557</v>
      </c>
      <c r="D115" s="282">
        <v>123.04180331015149</v>
      </c>
      <c r="E115" s="181">
        <f t="shared" si="2"/>
        <v>96.361410242890557</v>
      </c>
      <c r="F115" s="208" t="str">
        <f t="shared" si="3"/>
        <v/>
      </c>
    </row>
    <row r="116" spans="1:6">
      <c r="A116">
        <v>113</v>
      </c>
      <c r="B116" s="46">
        <v>43883</v>
      </c>
      <c r="C116" s="282">
        <v>87.22831024288871</v>
      </c>
      <c r="D116" s="282">
        <v>123.04180331015149</v>
      </c>
      <c r="E116" s="181">
        <f t="shared" si="2"/>
        <v>87.22831024288871</v>
      </c>
      <c r="F116" s="208" t="str">
        <f t="shared" si="3"/>
        <v/>
      </c>
    </row>
    <row r="117" spans="1:6">
      <c r="A117">
        <v>114</v>
      </c>
      <c r="B117" s="46">
        <v>43884</v>
      </c>
      <c r="C117" s="282">
        <v>70.260710242890568</v>
      </c>
      <c r="D117" s="282">
        <v>123.04180331015149</v>
      </c>
      <c r="E117" s="181">
        <f t="shared" si="2"/>
        <v>70.260710242890568</v>
      </c>
      <c r="F117" s="208" t="str">
        <f t="shared" si="3"/>
        <v/>
      </c>
    </row>
    <row r="118" spans="1:6">
      <c r="A118">
        <v>115</v>
      </c>
      <c r="B118" s="46">
        <v>43885</v>
      </c>
      <c r="C118" s="282">
        <v>100.42171024288871</v>
      </c>
      <c r="D118" s="282">
        <v>123.04180331015149</v>
      </c>
      <c r="E118" s="181">
        <f t="shared" si="2"/>
        <v>100.42171024288871</v>
      </c>
      <c r="F118" s="208" t="str">
        <f t="shared" si="3"/>
        <v/>
      </c>
    </row>
    <row r="119" spans="1:6">
      <c r="A119">
        <v>116</v>
      </c>
      <c r="B119" s="46">
        <v>43886</v>
      </c>
      <c r="C119" s="282">
        <v>64.319710242890565</v>
      </c>
      <c r="D119" s="282">
        <v>123.04180331015149</v>
      </c>
      <c r="E119" s="181">
        <f t="shared" si="2"/>
        <v>64.319710242890565</v>
      </c>
      <c r="F119" s="208" t="str">
        <f t="shared" si="3"/>
        <v/>
      </c>
    </row>
    <row r="120" spans="1:6">
      <c r="A120">
        <v>117</v>
      </c>
      <c r="B120" s="46">
        <v>43887</v>
      </c>
      <c r="C120" s="282">
        <v>73.959059217030187</v>
      </c>
      <c r="D120" s="282">
        <v>123.04180331015149</v>
      </c>
      <c r="E120" s="181">
        <f t="shared" si="2"/>
        <v>73.959059217030187</v>
      </c>
      <c r="F120" s="208" t="str">
        <f t="shared" si="3"/>
        <v/>
      </c>
    </row>
    <row r="121" spans="1:6">
      <c r="A121">
        <v>118</v>
      </c>
      <c r="B121" s="46">
        <v>43888</v>
      </c>
      <c r="C121" s="282">
        <v>62.859059217033909</v>
      </c>
      <c r="D121" s="282">
        <v>123.04180331015149</v>
      </c>
      <c r="E121" s="181">
        <f t="shared" si="2"/>
        <v>62.859059217033909</v>
      </c>
      <c r="F121" s="208" t="str">
        <f t="shared" si="3"/>
        <v/>
      </c>
    </row>
    <row r="122" spans="1:6">
      <c r="A122">
        <v>119</v>
      </c>
      <c r="B122" s="46">
        <v>43889</v>
      </c>
      <c r="C122" s="282">
        <v>77.919359217033914</v>
      </c>
      <c r="D122" s="282">
        <v>123.04180331015149</v>
      </c>
      <c r="E122" s="181">
        <f t="shared" si="2"/>
        <v>77.919359217033914</v>
      </c>
      <c r="F122" s="208" t="str">
        <f t="shared" si="3"/>
        <v/>
      </c>
    </row>
    <row r="123" spans="1:6">
      <c r="A123">
        <v>120</v>
      </c>
      <c r="B123" s="46">
        <v>43890</v>
      </c>
      <c r="C123" s="282">
        <v>37.53485921703205</v>
      </c>
      <c r="D123" s="282">
        <v>123.04180331015149</v>
      </c>
      <c r="E123" s="181">
        <f t="shared" si="2"/>
        <v>37.53485921703205</v>
      </c>
      <c r="F123" s="208" t="str">
        <f t="shared" si="3"/>
        <v/>
      </c>
    </row>
    <row r="124" spans="1:6">
      <c r="A124">
        <v>121</v>
      </c>
      <c r="B124" s="46">
        <v>43891</v>
      </c>
      <c r="C124" s="282">
        <v>43.078659217033909</v>
      </c>
      <c r="D124" s="282">
        <v>132.5377482022528</v>
      </c>
      <c r="E124" s="181">
        <f t="shared" si="2"/>
        <v>43.078659217033909</v>
      </c>
      <c r="F124" s="208" t="str">
        <f t="shared" si="3"/>
        <v/>
      </c>
    </row>
    <row r="125" spans="1:6">
      <c r="A125">
        <v>122</v>
      </c>
      <c r="B125" s="46">
        <v>43892</v>
      </c>
      <c r="C125" s="282">
        <v>76.267359217032052</v>
      </c>
      <c r="D125" s="282">
        <v>132.5377482022528</v>
      </c>
      <c r="E125" s="181">
        <f t="shared" si="2"/>
        <v>76.267359217032052</v>
      </c>
      <c r="F125" s="208" t="str">
        <f t="shared" si="3"/>
        <v/>
      </c>
    </row>
    <row r="126" spans="1:6">
      <c r="A126">
        <v>123</v>
      </c>
      <c r="B126" s="46">
        <v>43893</v>
      </c>
      <c r="C126" s="282">
        <v>77.871559217033905</v>
      </c>
      <c r="D126" s="282">
        <v>132.5377482022528</v>
      </c>
      <c r="E126" s="181">
        <f t="shared" si="2"/>
        <v>77.871559217033905</v>
      </c>
      <c r="F126" s="208" t="str">
        <f t="shared" si="3"/>
        <v/>
      </c>
    </row>
    <row r="127" spans="1:6">
      <c r="A127">
        <v>124</v>
      </c>
      <c r="B127" s="46">
        <v>43894</v>
      </c>
      <c r="C127" s="282">
        <v>163.08137888084127</v>
      </c>
      <c r="D127" s="282">
        <v>132.5377482022528</v>
      </c>
      <c r="E127" s="181">
        <f t="shared" si="2"/>
        <v>132.5377482022528</v>
      </c>
      <c r="F127" s="208" t="str">
        <f t="shared" si="3"/>
        <v/>
      </c>
    </row>
    <row r="128" spans="1:6">
      <c r="A128">
        <v>125</v>
      </c>
      <c r="B128" s="46">
        <v>43895</v>
      </c>
      <c r="C128" s="282">
        <v>152.79087888084314</v>
      </c>
      <c r="D128" s="282">
        <v>132.5377482022528</v>
      </c>
      <c r="E128" s="181">
        <f t="shared" si="2"/>
        <v>132.5377482022528</v>
      </c>
      <c r="F128" s="208" t="str">
        <f t="shared" si="3"/>
        <v/>
      </c>
    </row>
    <row r="129" spans="1:7">
      <c r="A129">
        <v>126</v>
      </c>
      <c r="B129" s="46">
        <v>43896</v>
      </c>
      <c r="C129" s="282">
        <v>160.08117888083945</v>
      </c>
      <c r="D129" s="282">
        <v>132.5377482022528</v>
      </c>
      <c r="E129" s="181">
        <f t="shared" si="2"/>
        <v>132.5377482022528</v>
      </c>
      <c r="F129" s="208" t="str">
        <f t="shared" si="3"/>
        <v/>
      </c>
    </row>
    <row r="130" spans="1:7">
      <c r="A130">
        <v>127</v>
      </c>
      <c r="B130" s="46">
        <v>43897</v>
      </c>
      <c r="C130" s="282">
        <v>163.19277888084315</v>
      </c>
      <c r="D130" s="282">
        <v>132.5377482022528</v>
      </c>
      <c r="E130" s="181">
        <f t="shared" si="2"/>
        <v>132.5377482022528</v>
      </c>
      <c r="F130" s="208" t="str">
        <f t="shared" si="3"/>
        <v/>
      </c>
    </row>
    <row r="131" spans="1:7">
      <c r="A131">
        <v>128</v>
      </c>
      <c r="B131" s="46">
        <v>43898</v>
      </c>
      <c r="C131" s="282">
        <v>160.10027888084127</v>
      </c>
      <c r="D131" s="282">
        <v>132.5377482022528</v>
      </c>
      <c r="E131" s="181">
        <f t="shared" si="2"/>
        <v>132.5377482022528</v>
      </c>
      <c r="F131" s="208" t="str">
        <f t="shared" si="3"/>
        <v/>
      </c>
    </row>
    <row r="132" spans="1:7">
      <c r="A132">
        <v>129</v>
      </c>
      <c r="B132" s="46">
        <v>43899</v>
      </c>
      <c r="C132" s="282">
        <v>178.97097888083943</v>
      </c>
      <c r="D132" s="282">
        <v>132.5377482022528</v>
      </c>
      <c r="E132" s="181">
        <f t="shared" ref="E132:E195" si="4">IF(C132&lt;D132,C132,D132)</f>
        <v>132.5377482022528</v>
      </c>
      <c r="F132" s="208" t="str">
        <f t="shared" ref="F132:F195" si="5">IF(DAY(B132)=15,IF(MONTH(B132)=1,"E",IF(MONTH(B132)=2,"F",IF(MONTH(B132)=3,"M",IF(MONTH(B132)=4,"A",IF(MONTH(B132)=5,"M",IF(MONTH(B132)=6,"J",IF(MONTH(B132)=7,"J",IF(MONTH(B132)=8,"A",IF(MONTH(B132)=9,"S",IF(MONTH(B132)=10,"O",IF(MONTH(B132)=11,"N",IF(MONTH(B132)=12,"D","")))))))))))),"")</f>
        <v/>
      </c>
    </row>
    <row r="133" spans="1:7">
      <c r="A133">
        <v>130</v>
      </c>
      <c r="B133" s="46">
        <v>43900</v>
      </c>
      <c r="C133" s="282">
        <v>190.54627888084315</v>
      </c>
      <c r="D133" s="282">
        <v>132.5377482022528</v>
      </c>
      <c r="E133" s="181">
        <f t="shared" si="4"/>
        <v>132.5377482022528</v>
      </c>
      <c r="F133" s="208" t="str">
        <f t="shared" si="5"/>
        <v/>
      </c>
    </row>
    <row r="134" spans="1:7">
      <c r="A134">
        <v>131</v>
      </c>
      <c r="B134" s="46">
        <v>43901</v>
      </c>
      <c r="C134" s="282">
        <v>136.73492045660987</v>
      </c>
      <c r="D134" s="282">
        <v>132.5377482022528</v>
      </c>
      <c r="E134" s="181">
        <f t="shared" si="4"/>
        <v>132.5377482022528</v>
      </c>
      <c r="F134" s="208" t="str">
        <f t="shared" si="5"/>
        <v/>
      </c>
    </row>
    <row r="135" spans="1:7">
      <c r="A135">
        <v>132</v>
      </c>
      <c r="B135" s="46">
        <v>43902</v>
      </c>
      <c r="C135" s="282">
        <v>137.07152045660987</v>
      </c>
      <c r="D135" s="282">
        <v>132.5377482022528</v>
      </c>
      <c r="E135" s="181">
        <f t="shared" si="4"/>
        <v>132.5377482022528</v>
      </c>
      <c r="F135" s="208" t="str">
        <f t="shared" si="5"/>
        <v/>
      </c>
    </row>
    <row r="136" spans="1:7">
      <c r="A136">
        <v>133</v>
      </c>
      <c r="B136" s="46">
        <v>43903</v>
      </c>
      <c r="C136" s="282">
        <v>118.60192045660988</v>
      </c>
      <c r="D136" s="282">
        <v>132.5377482022528</v>
      </c>
      <c r="E136" s="181">
        <f t="shared" si="4"/>
        <v>118.60192045660988</v>
      </c>
      <c r="F136" s="208" t="str">
        <f t="shared" si="5"/>
        <v/>
      </c>
    </row>
    <row r="137" spans="1:7">
      <c r="A137">
        <v>134</v>
      </c>
      <c r="B137" s="46">
        <v>43904</v>
      </c>
      <c r="C137" s="282">
        <v>117.30392045660801</v>
      </c>
      <c r="D137" s="282">
        <v>132.5377482022528</v>
      </c>
      <c r="E137" s="181">
        <f t="shared" si="4"/>
        <v>117.30392045660801</v>
      </c>
      <c r="F137" s="208" t="str">
        <f t="shared" si="5"/>
        <v/>
      </c>
    </row>
    <row r="138" spans="1:7">
      <c r="A138">
        <v>135</v>
      </c>
      <c r="B138" s="46">
        <v>43905</v>
      </c>
      <c r="C138" s="282">
        <v>86.369520456609862</v>
      </c>
      <c r="D138" s="282">
        <v>132.5377482022528</v>
      </c>
      <c r="E138" s="181">
        <f t="shared" si="4"/>
        <v>86.369520456609862</v>
      </c>
      <c r="F138" s="208" t="str">
        <f t="shared" si="5"/>
        <v>M</v>
      </c>
      <c r="G138" s="209">
        <f>IF(DAY(B138)=15,D138,"")</f>
        <v>132.5377482022528</v>
      </c>
    </row>
    <row r="139" spans="1:7">
      <c r="A139">
        <v>136</v>
      </c>
      <c r="B139" s="46">
        <v>43906</v>
      </c>
      <c r="C139" s="282">
        <v>108.84542045660987</v>
      </c>
      <c r="D139" s="282">
        <v>132.5377482022528</v>
      </c>
      <c r="E139" s="181">
        <f t="shared" si="4"/>
        <v>108.84542045660987</v>
      </c>
      <c r="F139" s="208" t="str">
        <f>IF(DAY(B139)=15,IF(MONTH(B139)=1,"E",IF(MONTH(B139)=2,"F",IF(MONTH(B139)=3,"M",IF(MONTH(B139)=4,"A",IF(MONTH(B139)=5,"M",IF(MONTH(B139)=6,"J",IF(MONTH(B139)=7,"J",IF(MONTH(B139)=8,"A",IF(MONTH(B139)=9,"S",IF(MONTH(B139)=10,"O",IF(MONTH(B139)=11,"N",IF(MONTH(B139)=12,"D","")))))))))))),"")</f>
        <v/>
      </c>
    </row>
    <row r="140" spans="1:7">
      <c r="A140">
        <v>137</v>
      </c>
      <c r="B140" s="46">
        <v>43907</v>
      </c>
      <c r="C140" s="282">
        <v>108.86742045660802</v>
      </c>
      <c r="D140" s="282">
        <v>132.5377482022528</v>
      </c>
      <c r="E140" s="181">
        <f t="shared" si="4"/>
        <v>108.86742045660802</v>
      </c>
      <c r="F140" s="208" t="str">
        <f t="shared" si="5"/>
        <v/>
      </c>
    </row>
    <row r="141" spans="1:7">
      <c r="A141">
        <v>138</v>
      </c>
      <c r="B141" s="46">
        <v>43908</v>
      </c>
      <c r="C141" s="282">
        <v>170.3784249703441</v>
      </c>
      <c r="D141" s="282">
        <v>132.5377482022528</v>
      </c>
      <c r="E141" s="181">
        <f t="shared" si="4"/>
        <v>132.5377482022528</v>
      </c>
      <c r="F141" s="208" t="str">
        <f t="shared" si="5"/>
        <v/>
      </c>
    </row>
    <row r="142" spans="1:7">
      <c r="A142">
        <v>139</v>
      </c>
      <c r="B142" s="46">
        <v>43909</v>
      </c>
      <c r="C142" s="282">
        <v>160.06522497034595</v>
      </c>
      <c r="D142" s="282">
        <v>132.5377482022528</v>
      </c>
      <c r="E142" s="181">
        <f t="shared" si="4"/>
        <v>132.5377482022528</v>
      </c>
      <c r="F142" s="208" t="str">
        <f t="shared" si="5"/>
        <v/>
      </c>
    </row>
    <row r="143" spans="1:7">
      <c r="A143">
        <v>140</v>
      </c>
      <c r="B143" s="46">
        <v>43910</v>
      </c>
      <c r="C143" s="282">
        <v>155.51932497034221</v>
      </c>
      <c r="D143" s="282">
        <v>132.5377482022528</v>
      </c>
      <c r="E143" s="181">
        <f t="shared" si="4"/>
        <v>132.5377482022528</v>
      </c>
      <c r="F143" s="208" t="str">
        <f t="shared" si="5"/>
        <v/>
      </c>
    </row>
    <row r="144" spans="1:7">
      <c r="A144">
        <v>141</v>
      </c>
      <c r="B144" s="46">
        <v>43911</v>
      </c>
      <c r="C144" s="282">
        <v>145.0455249703441</v>
      </c>
      <c r="D144" s="282">
        <v>132.5377482022528</v>
      </c>
      <c r="E144" s="181">
        <f t="shared" si="4"/>
        <v>132.5377482022528</v>
      </c>
      <c r="F144" s="208" t="str">
        <f t="shared" si="5"/>
        <v/>
      </c>
    </row>
    <row r="145" spans="1:6">
      <c r="A145">
        <v>142</v>
      </c>
      <c r="B145" s="46">
        <v>43912</v>
      </c>
      <c r="C145" s="282">
        <v>137.97682497034407</v>
      </c>
      <c r="D145" s="282">
        <v>132.5377482022528</v>
      </c>
      <c r="E145" s="181">
        <f t="shared" si="4"/>
        <v>132.5377482022528</v>
      </c>
      <c r="F145" s="208" t="str">
        <f t="shared" si="5"/>
        <v/>
      </c>
    </row>
    <row r="146" spans="1:6">
      <c r="A146">
        <v>143</v>
      </c>
      <c r="B146" s="46">
        <v>43913</v>
      </c>
      <c r="C146" s="282">
        <v>145.83512497034593</v>
      </c>
      <c r="D146" s="282">
        <v>132.5377482022528</v>
      </c>
      <c r="E146" s="181">
        <f t="shared" si="4"/>
        <v>132.5377482022528</v>
      </c>
      <c r="F146" s="208" t="str">
        <f t="shared" si="5"/>
        <v/>
      </c>
    </row>
    <row r="147" spans="1:6">
      <c r="A147">
        <v>144</v>
      </c>
      <c r="B147" s="46">
        <v>43914</v>
      </c>
      <c r="C147" s="282">
        <v>140.25812497034221</v>
      </c>
      <c r="D147" s="282">
        <v>132.5377482022528</v>
      </c>
      <c r="E147" s="181">
        <f t="shared" si="4"/>
        <v>132.5377482022528</v>
      </c>
      <c r="F147" s="208" t="str">
        <f t="shared" si="5"/>
        <v/>
      </c>
    </row>
    <row r="148" spans="1:6">
      <c r="A148">
        <v>145</v>
      </c>
      <c r="B148" s="46">
        <v>43915</v>
      </c>
      <c r="C148" s="282">
        <v>113.15580534969642</v>
      </c>
      <c r="D148" s="282">
        <v>132.5377482022528</v>
      </c>
      <c r="E148" s="181">
        <f t="shared" si="4"/>
        <v>113.15580534969642</v>
      </c>
      <c r="F148" s="208" t="str">
        <f t="shared" si="5"/>
        <v/>
      </c>
    </row>
    <row r="149" spans="1:6">
      <c r="A149">
        <v>146</v>
      </c>
      <c r="B149" s="46">
        <v>43916</v>
      </c>
      <c r="C149" s="282">
        <v>71.520605349694563</v>
      </c>
      <c r="D149" s="282">
        <v>132.5377482022528</v>
      </c>
      <c r="E149" s="181">
        <f t="shared" si="4"/>
        <v>71.520605349694563</v>
      </c>
      <c r="F149" s="208" t="str">
        <f t="shared" si="5"/>
        <v/>
      </c>
    </row>
    <row r="150" spans="1:6">
      <c r="A150">
        <v>147</v>
      </c>
      <c r="B150" s="46">
        <v>43917</v>
      </c>
      <c r="C150" s="282">
        <v>92.584205349694557</v>
      </c>
      <c r="D150" s="282">
        <v>132.5377482022528</v>
      </c>
      <c r="E150" s="181">
        <f t="shared" si="4"/>
        <v>92.584205349694557</v>
      </c>
      <c r="F150" s="208" t="str">
        <f t="shared" si="5"/>
        <v/>
      </c>
    </row>
    <row r="151" spans="1:6">
      <c r="A151">
        <v>148</v>
      </c>
      <c r="B151" s="46">
        <v>43918</v>
      </c>
      <c r="C151" s="282">
        <v>92.001505349692692</v>
      </c>
      <c r="D151" s="282">
        <v>132.5377482022528</v>
      </c>
      <c r="E151" s="181">
        <f t="shared" si="4"/>
        <v>92.001505349692692</v>
      </c>
      <c r="F151" s="208" t="str">
        <f t="shared" si="5"/>
        <v/>
      </c>
    </row>
    <row r="152" spans="1:6">
      <c r="A152">
        <v>149</v>
      </c>
      <c r="B152" s="46">
        <v>43919</v>
      </c>
      <c r="C152" s="282">
        <v>39.350705349696426</v>
      </c>
      <c r="D152" s="282">
        <v>132.5377482022528</v>
      </c>
      <c r="E152" s="181">
        <f t="shared" si="4"/>
        <v>39.350705349696426</v>
      </c>
      <c r="F152" s="208" t="str">
        <f t="shared" si="5"/>
        <v/>
      </c>
    </row>
    <row r="153" spans="1:6">
      <c r="A153">
        <v>150</v>
      </c>
      <c r="B153" s="46">
        <v>43920</v>
      </c>
      <c r="C153" s="282">
        <v>46.330505349694562</v>
      </c>
      <c r="D153" s="282">
        <v>132.5377482022528</v>
      </c>
      <c r="E153" s="181">
        <f t="shared" si="4"/>
        <v>46.330505349694562</v>
      </c>
      <c r="F153" s="208" t="str">
        <f t="shared" si="5"/>
        <v/>
      </c>
    </row>
    <row r="154" spans="1:6">
      <c r="A154">
        <v>151</v>
      </c>
      <c r="B154" s="46">
        <v>43921</v>
      </c>
      <c r="C154" s="282">
        <v>51.606705349692703</v>
      </c>
      <c r="D154" s="282">
        <v>132.5377482022528</v>
      </c>
      <c r="E154" s="181">
        <f t="shared" si="4"/>
        <v>51.606705349692703</v>
      </c>
      <c r="F154" s="208" t="str">
        <f t="shared" si="5"/>
        <v/>
      </c>
    </row>
    <row r="155" spans="1:6">
      <c r="A155">
        <v>152</v>
      </c>
      <c r="B155" s="46">
        <v>43922</v>
      </c>
      <c r="C155" s="282">
        <v>134.40447783593535</v>
      </c>
      <c r="D155" s="282">
        <v>129.30997561700028</v>
      </c>
      <c r="E155" s="181">
        <f t="shared" si="4"/>
        <v>129.30997561700028</v>
      </c>
      <c r="F155" s="208" t="str">
        <f t="shared" si="5"/>
        <v/>
      </c>
    </row>
    <row r="156" spans="1:6">
      <c r="A156">
        <v>153</v>
      </c>
      <c r="B156" s="46">
        <v>43923</v>
      </c>
      <c r="C156" s="282">
        <v>122.02307783593349</v>
      </c>
      <c r="D156" s="282">
        <v>129.30997561700028</v>
      </c>
      <c r="E156" s="181">
        <f t="shared" si="4"/>
        <v>122.02307783593349</v>
      </c>
      <c r="F156" s="208" t="str">
        <f t="shared" si="5"/>
        <v/>
      </c>
    </row>
    <row r="157" spans="1:6">
      <c r="A157">
        <v>154</v>
      </c>
      <c r="B157" s="46">
        <v>43924</v>
      </c>
      <c r="C157" s="282">
        <v>126.27587783593164</v>
      </c>
      <c r="D157" s="282">
        <v>129.30997561700028</v>
      </c>
      <c r="E157" s="181">
        <f t="shared" si="4"/>
        <v>126.27587783593164</v>
      </c>
      <c r="F157" s="208" t="str">
        <f t="shared" si="5"/>
        <v/>
      </c>
    </row>
    <row r="158" spans="1:6">
      <c r="A158">
        <v>155</v>
      </c>
      <c r="B158" s="46">
        <v>43925</v>
      </c>
      <c r="C158" s="282">
        <v>94.506777835935353</v>
      </c>
      <c r="D158" s="282">
        <v>129.30997561700028</v>
      </c>
      <c r="E158" s="181">
        <f t="shared" si="4"/>
        <v>94.506777835935353</v>
      </c>
      <c r="F158" s="208" t="str">
        <f t="shared" si="5"/>
        <v/>
      </c>
    </row>
    <row r="159" spans="1:6">
      <c r="A159">
        <v>156</v>
      </c>
      <c r="B159" s="46">
        <v>43926</v>
      </c>
      <c r="C159" s="282">
        <v>96.542077835933497</v>
      </c>
      <c r="D159" s="282">
        <v>129.30997561700028</v>
      </c>
      <c r="E159" s="181">
        <f t="shared" si="4"/>
        <v>96.542077835933497</v>
      </c>
      <c r="F159" s="208" t="str">
        <f t="shared" si="5"/>
        <v/>
      </c>
    </row>
    <row r="160" spans="1:6">
      <c r="A160">
        <v>157</v>
      </c>
      <c r="B160" s="46">
        <v>43927</v>
      </c>
      <c r="C160" s="282">
        <v>126.34327783593535</v>
      </c>
      <c r="D160" s="282">
        <v>129.30997561700028</v>
      </c>
      <c r="E160" s="181">
        <f t="shared" si="4"/>
        <v>126.34327783593535</v>
      </c>
      <c r="F160" s="208" t="str">
        <f t="shared" si="5"/>
        <v/>
      </c>
    </row>
    <row r="161" spans="1:7">
      <c r="A161">
        <v>158</v>
      </c>
      <c r="B161" s="46">
        <v>43928</v>
      </c>
      <c r="C161" s="282">
        <v>128.90007783592978</v>
      </c>
      <c r="D161" s="282">
        <v>129.30997561700028</v>
      </c>
      <c r="E161" s="181">
        <f t="shared" si="4"/>
        <v>128.90007783592978</v>
      </c>
      <c r="F161" s="208" t="str">
        <f t="shared" si="5"/>
        <v/>
      </c>
    </row>
    <row r="162" spans="1:7">
      <c r="A162">
        <v>159</v>
      </c>
      <c r="B162" s="46">
        <v>43929</v>
      </c>
      <c r="C162" s="282">
        <v>113.33062023510224</v>
      </c>
      <c r="D162" s="282">
        <v>129.30997561700028</v>
      </c>
      <c r="E162" s="181">
        <f t="shared" si="4"/>
        <v>113.33062023510224</v>
      </c>
      <c r="F162" s="208" t="str">
        <f t="shared" si="5"/>
        <v/>
      </c>
    </row>
    <row r="163" spans="1:7">
      <c r="A163">
        <v>160</v>
      </c>
      <c r="B163" s="46">
        <v>43930</v>
      </c>
      <c r="C163" s="282">
        <v>102.35942023509853</v>
      </c>
      <c r="D163" s="282">
        <v>129.30997561700028</v>
      </c>
      <c r="E163" s="181">
        <f t="shared" si="4"/>
        <v>102.35942023509853</v>
      </c>
      <c r="F163" s="208" t="str">
        <f t="shared" si="5"/>
        <v/>
      </c>
    </row>
    <row r="164" spans="1:7">
      <c r="A164">
        <v>161</v>
      </c>
      <c r="B164" s="46">
        <v>43931</v>
      </c>
      <c r="C164" s="282">
        <v>100.01672023510039</v>
      </c>
      <c r="D164" s="282">
        <v>129.30997561700028</v>
      </c>
      <c r="E164" s="181">
        <f t="shared" si="4"/>
        <v>100.01672023510039</v>
      </c>
      <c r="F164" s="208" t="str">
        <f t="shared" si="5"/>
        <v/>
      </c>
    </row>
    <row r="165" spans="1:7">
      <c r="A165">
        <v>162</v>
      </c>
      <c r="B165" s="46">
        <v>43932</v>
      </c>
      <c r="C165" s="282">
        <v>104.57982023510039</v>
      </c>
      <c r="D165" s="282">
        <v>129.30997561700028</v>
      </c>
      <c r="E165" s="181">
        <f t="shared" si="4"/>
        <v>104.57982023510039</v>
      </c>
      <c r="F165" s="208" t="str">
        <f t="shared" si="5"/>
        <v/>
      </c>
    </row>
    <row r="166" spans="1:7">
      <c r="A166">
        <v>163</v>
      </c>
      <c r="B166" s="46">
        <v>43933</v>
      </c>
      <c r="C166" s="282">
        <v>94.163720235100399</v>
      </c>
      <c r="D166" s="282">
        <v>129.30997561700028</v>
      </c>
      <c r="E166" s="181">
        <f t="shared" si="4"/>
        <v>94.163720235100399</v>
      </c>
      <c r="F166" s="208" t="str">
        <f t="shared" si="5"/>
        <v/>
      </c>
    </row>
    <row r="167" spans="1:7">
      <c r="A167">
        <v>164</v>
      </c>
      <c r="B167" s="46">
        <v>43934</v>
      </c>
      <c r="C167" s="282">
        <v>102.59432023509852</v>
      </c>
      <c r="D167" s="282">
        <v>129.30997561700028</v>
      </c>
      <c r="E167" s="181">
        <f t="shared" si="4"/>
        <v>102.59432023509852</v>
      </c>
      <c r="F167" s="208" t="str">
        <f t="shared" si="5"/>
        <v/>
      </c>
    </row>
    <row r="168" spans="1:7">
      <c r="A168">
        <v>165</v>
      </c>
      <c r="B168" s="46">
        <v>43935</v>
      </c>
      <c r="C168" s="282">
        <v>114.42222023509854</v>
      </c>
      <c r="D168" s="282">
        <v>129.30997561700028</v>
      </c>
      <c r="E168" s="181">
        <f t="shared" si="4"/>
        <v>114.42222023509854</v>
      </c>
      <c r="F168" s="208" t="str">
        <f t="shared" si="5"/>
        <v/>
      </c>
    </row>
    <row r="169" spans="1:7">
      <c r="A169">
        <v>166</v>
      </c>
      <c r="B169" s="46">
        <v>43936</v>
      </c>
      <c r="C169" s="282">
        <v>158.30298560191989</v>
      </c>
      <c r="D169" s="282">
        <v>129.30997561700028</v>
      </c>
      <c r="E169" s="181">
        <f t="shared" si="4"/>
        <v>129.30997561700028</v>
      </c>
      <c r="F169" s="208" t="str">
        <f t="shared" si="5"/>
        <v>A</v>
      </c>
      <c r="G169" s="209">
        <f>IF(DAY(B169)=15,D169,"")</f>
        <v>129.30997561700028</v>
      </c>
    </row>
    <row r="170" spans="1:7">
      <c r="A170">
        <v>167</v>
      </c>
      <c r="B170" s="46">
        <v>43937</v>
      </c>
      <c r="C170" s="282">
        <v>162.35648560191242</v>
      </c>
      <c r="D170" s="282">
        <v>129.30997561700028</v>
      </c>
      <c r="E170" s="181">
        <f t="shared" si="4"/>
        <v>129.30997561700028</v>
      </c>
      <c r="F170" s="208" t="str">
        <f t="shared" si="5"/>
        <v/>
      </c>
    </row>
    <row r="171" spans="1:7">
      <c r="A171">
        <v>168</v>
      </c>
      <c r="B171" s="46">
        <v>43938</v>
      </c>
      <c r="C171" s="282">
        <v>181.2441856019143</v>
      </c>
      <c r="D171" s="282">
        <v>129.30997561700028</v>
      </c>
      <c r="E171" s="181">
        <f t="shared" si="4"/>
        <v>129.30997561700028</v>
      </c>
      <c r="F171" s="208" t="str">
        <f t="shared" si="5"/>
        <v/>
      </c>
    </row>
    <row r="172" spans="1:7">
      <c r="A172">
        <v>169</v>
      </c>
      <c r="B172" s="46">
        <v>43939</v>
      </c>
      <c r="C172" s="282">
        <v>189.8460856019143</v>
      </c>
      <c r="D172" s="282">
        <v>129.30997561700028</v>
      </c>
      <c r="E172" s="181">
        <f t="shared" si="4"/>
        <v>129.30997561700028</v>
      </c>
      <c r="F172" s="208" t="str">
        <f t="shared" si="5"/>
        <v/>
      </c>
    </row>
    <row r="173" spans="1:7">
      <c r="A173">
        <v>170</v>
      </c>
      <c r="B173" s="46">
        <v>43940</v>
      </c>
      <c r="C173" s="282">
        <v>186.59238560191616</v>
      </c>
      <c r="D173" s="282">
        <v>129.30997561700028</v>
      </c>
      <c r="E173" s="181">
        <f t="shared" si="4"/>
        <v>129.30997561700028</v>
      </c>
      <c r="F173" s="208" t="str">
        <f t="shared" si="5"/>
        <v/>
      </c>
    </row>
    <row r="174" spans="1:7">
      <c r="A174">
        <v>171</v>
      </c>
      <c r="B174" s="46">
        <v>43941</v>
      </c>
      <c r="C174" s="282">
        <v>187.58548560191429</v>
      </c>
      <c r="D174" s="282">
        <v>129.30997561700028</v>
      </c>
      <c r="E174" s="181">
        <f t="shared" si="4"/>
        <v>129.30997561700028</v>
      </c>
      <c r="F174" s="208" t="str">
        <f t="shared" si="5"/>
        <v/>
      </c>
    </row>
    <row r="175" spans="1:7">
      <c r="A175">
        <v>172</v>
      </c>
      <c r="B175" s="46">
        <v>43942</v>
      </c>
      <c r="C175" s="282">
        <v>201.50998560191428</v>
      </c>
      <c r="D175" s="282">
        <v>129.30997561700028</v>
      </c>
      <c r="E175" s="181">
        <f t="shared" si="4"/>
        <v>129.30997561700028</v>
      </c>
      <c r="F175" s="208" t="str">
        <f t="shared" si="5"/>
        <v/>
      </c>
    </row>
    <row r="176" spans="1:7">
      <c r="A176">
        <v>173</v>
      </c>
      <c r="B176" s="46">
        <v>43943</v>
      </c>
      <c r="C176" s="282">
        <v>163.15151164440064</v>
      </c>
      <c r="D176" s="282">
        <v>129.30997561700028</v>
      </c>
      <c r="E176" s="181">
        <f t="shared" si="4"/>
        <v>129.30997561700028</v>
      </c>
      <c r="F176" s="208" t="str">
        <f t="shared" si="5"/>
        <v/>
      </c>
    </row>
    <row r="177" spans="1:6">
      <c r="A177">
        <v>174</v>
      </c>
      <c r="B177" s="46">
        <v>43944</v>
      </c>
      <c r="C177" s="282">
        <v>191.00541164440438</v>
      </c>
      <c r="D177" s="282">
        <v>129.30997561700028</v>
      </c>
      <c r="E177" s="181">
        <f t="shared" si="4"/>
        <v>129.30997561700028</v>
      </c>
      <c r="F177" s="208" t="str">
        <f t="shared" si="5"/>
        <v/>
      </c>
    </row>
    <row r="178" spans="1:6">
      <c r="A178">
        <v>175</v>
      </c>
      <c r="B178" s="46">
        <v>43945</v>
      </c>
      <c r="C178" s="282">
        <v>187.46851164440253</v>
      </c>
      <c r="D178" s="282">
        <v>129.30997561700028</v>
      </c>
      <c r="E178" s="181">
        <f t="shared" si="4"/>
        <v>129.30997561700028</v>
      </c>
      <c r="F178" s="208" t="str">
        <f t="shared" si="5"/>
        <v/>
      </c>
    </row>
    <row r="179" spans="1:6">
      <c r="A179">
        <v>176</v>
      </c>
      <c r="B179" s="46">
        <v>43946</v>
      </c>
      <c r="C179" s="282">
        <v>176.51871164440254</v>
      </c>
      <c r="D179" s="282">
        <v>129.30997561700028</v>
      </c>
      <c r="E179" s="181">
        <f t="shared" si="4"/>
        <v>129.30997561700028</v>
      </c>
      <c r="F179" s="208" t="str">
        <f t="shared" si="5"/>
        <v/>
      </c>
    </row>
    <row r="180" spans="1:6">
      <c r="A180">
        <v>177</v>
      </c>
      <c r="B180" s="46">
        <v>43947</v>
      </c>
      <c r="C180" s="282">
        <v>173.53591164440252</v>
      </c>
      <c r="D180" s="282">
        <v>129.30997561700028</v>
      </c>
      <c r="E180" s="181">
        <f t="shared" si="4"/>
        <v>129.30997561700028</v>
      </c>
      <c r="F180" s="208" t="str">
        <f t="shared" si="5"/>
        <v/>
      </c>
    </row>
    <row r="181" spans="1:6">
      <c r="A181">
        <v>178</v>
      </c>
      <c r="B181" s="46">
        <v>43948</v>
      </c>
      <c r="C181" s="282">
        <v>187.58451164440439</v>
      </c>
      <c r="D181" s="282">
        <v>129.30997561700028</v>
      </c>
      <c r="E181" s="181">
        <f t="shared" si="4"/>
        <v>129.30997561700028</v>
      </c>
      <c r="F181" s="208" t="str">
        <f t="shared" si="5"/>
        <v/>
      </c>
    </row>
    <row r="182" spans="1:6">
      <c r="A182">
        <v>179</v>
      </c>
      <c r="B182" s="46">
        <v>43949</v>
      </c>
      <c r="C182" s="282">
        <v>175.34141164440251</v>
      </c>
      <c r="D182" s="282">
        <v>129.30997561700028</v>
      </c>
      <c r="E182" s="181">
        <f t="shared" si="4"/>
        <v>129.30997561700028</v>
      </c>
      <c r="F182" s="208" t="str">
        <f t="shared" si="5"/>
        <v/>
      </c>
    </row>
    <row r="183" spans="1:6">
      <c r="A183">
        <v>180</v>
      </c>
      <c r="B183" s="46">
        <v>43950</v>
      </c>
      <c r="C183" s="282">
        <v>179.67674334770666</v>
      </c>
      <c r="D183" s="282">
        <v>129.30997561700028</v>
      </c>
      <c r="E183" s="181">
        <f t="shared" si="4"/>
        <v>129.30997561700028</v>
      </c>
      <c r="F183" s="208" t="str">
        <f t="shared" si="5"/>
        <v/>
      </c>
    </row>
    <row r="184" spans="1:6">
      <c r="A184">
        <v>181</v>
      </c>
      <c r="B184" s="46">
        <v>43951</v>
      </c>
      <c r="C184" s="282">
        <v>159.46004334771035</v>
      </c>
      <c r="D184" s="282">
        <v>129.30997561700028</v>
      </c>
      <c r="E184" s="181">
        <f t="shared" si="4"/>
        <v>129.30997561700028</v>
      </c>
      <c r="F184" s="208" t="str">
        <f t="shared" si="5"/>
        <v/>
      </c>
    </row>
    <row r="185" spans="1:6">
      <c r="A185">
        <v>182</v>
      </c>
      <c r="B185" s="46">
        <v>43952</v>
      </c>
      <c r="C185" s="282">
        <v>141.94044334770851</v>
      </c>
      <c r="D185" s="282">
        <v>104.0249711788601</v>
      </c>
      <c r="E185" s="181">
        <f t="shared" si="4"/>
        <v>104.0249711788601</v>
      </c>
      <c r="F185" s="208" t="str">
        <f t="shared" si="5"/>
        <v/>
      </c>
    </row>
    <row r="186" spans="1:6">
      <c r="A186">
        <v>183</v>
      </c>
      <c r="B186" s="46">
        <v>43953</v>
      </c>
      <c r="C186" s="282">
        <v>162.45604334770476</v>
      </c>
      <c r="D186" s="282">
        <v>104.0249711788601</v>
      </c>
      <c r="E186" s="181">
        <f t="shared" si="4"/>
        <v>104.0249711788601</v>
      </c>
      <c r="F186" s="208" t="str">
        <f t="shared" si="5"/>
        <v/>
      </c>
    </row>
    <row r="187" spans="1:6">
      <c r="A187">
        <v>184</v>
      </c>
      <c r="B187" s="46">
        <v>43954</v>
      </c>
      <c r="C187" s="282">
        <v>156.22704334771038</v>
      </c>
      <c r="D187" s="282">
        <v>104.0249711788601</v>
      </c>
      <c r="E187" s="181">
        <f t="shared" si="4"/>
        <v>104.0249711788601</v>
      </c>
      <c r="F187" s="208" t="str">
        <f t="shared" si="5"/>
        <v/>
      </c>
    </row>
    <row r="188" spans="1:6">
      <c r="A188">
        <v>185</v>
      </c>
      <c r="B188" s="46">
        <v>43955</v>
      </c>
      <c r="C188" s="282">
        <v>150.44364334770665</v>
      </c>
      <c r="D188" s="282">
        <v>104.0249711788601</v>
      </c>
      <c r="E188" s="181">
        <f t="shared" si="4"/>
        <v>104.0249711788601</v>
      </c>
      <c r="F188" s="208" t="str">
        <f t="shared" si="5"/>
        <v/>
      </c>
    </row>
    <row r="189" spans="1:6">
      <c r="A189">
        <v>186</v>
      </c>
      <c r="B189" s="46">
        <v>43956</v>
      </c>
      <c r="C189" s="282">
        <v>195.05914334770665</v>
      </c>
      <c r="D189" s="282">
        <v>104.0249711788601</v>
      </c>
      <c r="E189" s="181">
        <f t="shared" si="4"/>
        <v>104.0249711788601</v>
      </c>
      <c r="F189" s="208" t="str">
        <f t="shared" si="5"/>
        <v/>
      </c>
    </row>
    <row r="190" spans="1:6">
      <c r="A190">
        <v>187</v>
      </c>
      <c r="B190" s="46">
        <v>43957</v>
      </c>
      <c r="C190" s="282">
        <v>136.12816014253497</v>
      </c>
      <c r="D190" s="282">
        <v>104.0249711788601</v>
      </c>
      <c r="E190" s="181">
        <f t="shared" si="4"/>
        <v>104.0249711788601</v>
      </c>
      <c r="F190" s="208" t="str">
        <f t="shared" si="5"/>
        <v/>
      </c>
    </row>
    <row r="191" spans="1:6">
      <c r="A191">
        <v>188</v>
      </c>
      <c r="B191" s="46">
        <v>43958</v>
      </c>
      <c r="C191" s="282">
        <v>121.61546014253311</v>
      </c>
      <c r="D191" s="282">
        <v>104.0249711788601</v>
      </c>
      <c r="E191" s="181">
        <f t="shared" si="4"/>
        <v>104.0249711788601</v>
      </c>
      <c r="F191" s="208" t="str">
        <f t="shared" si="5"/>
        <v/>
      </c>
    </row>
    <row r="192" spans="1:6">
      <c r="A192">
        <v>189</v>
      </c>
      <c r="B192" s="46">
        <v>43959</v>
      </c>
      <c r="C192" s="282">
        <v>112.48296014253124</v>
      </c>
      <c r="D192" s="282">
        <v>104.0249711788601</v>
      </c>
      <c r="E192" s="181">
        <f t="shared" si="4"/>
        <v>104.0249711788601</v>
      </c>
      <c r="F192" s="208" t="str">
        <f t="shared" si="5"/>
        <v/>
      </c>
    </row>
    <row r="193" spans="1:7">
      <c r="A193">
        <v>190</v>
      </c>
      <c r="B193" s="46">
        <v>43960</v>
      </c>
      <c r="C193" s="282">
        <v>99.332860142533121</v>
      </c>
      <c r="D193" s="282">
        <v>104.0249711788601</v>
      </c>
      <c r="E193" s="181">
        <f t="shared" si="4"/>
        <v>99.332860142533121</v>
      </c>
      <c r="F193" s="208" t="str">
        <f t="shared" si="5"/>
        <v/>
      </c>
    </row>
    <row r="194" spans="1:7">
      <c r="A194">
        <v>191</v>
      </c>
      <c r="B194" s="46">
        <v>43961</v>
      </c>
      <c r="C194" s="282">
        <v>88.647960142533108</v>
      </c>
      <c r="D194" s="282">
        <v>104.0249711788601</v>
      </c>
      <c r="E194" s="181">
        <f t="shared" si="4"/>
        <v>88.647960142533108</v>
      </c>
      <c r="F194" s="208" t="str">
        <f t="shared" si="5"/>
        <v/>
      </c>
    </row>
    <row r="195" spans="1:7">
      <c r="A195">
        <v>192</v>
      </c>
      <c r="B195" s="46">
        <v>43962</v>
      </c>
      <c r="C195" s="282">
        <v>98.173560142531244</v>
      </c>
      <c r="D195" s="282">
        <v>104.0249711788601</v>
      </c>
      <c r="E195" s="181">
        <f t="shared" si="4"/>
        <v>98.173560142531244</v>
      </c>
      <c r="F195" s="208" t="str">
        <f t="shared" si="5"/>
        <v/>
      </c>
    </row>
    <row r="196" spans="1:7">
      <c r="A196">
        <v>193</v>
      </c>
      <c r="B196" s="46">
        <v>43963</v>
      </c>
      <c r="C196" s="282">
        <v>143.88616014253498</v>
      </c>
      <c r="D196" s="282">
        <v>104.0249711788601</v>
      </c>
      <c r="E196" s="181">
        <f t="shared" ref="E196:E259" si="6">IF(C196&lt;D196,C196,D196)</f>
        <v>104.0249711788601</v>
      </c>
      <c r="F196" s="208" t="str">
        <f t="shared" ref="F196:F259" si="7">IF(DAY(B196)=15,IF(MONTH(B196)=1,"E",IF(MONTH(B196)=2,"F",IF(MONTH(B196)=3,"M",IF(MONTH(B196)=4,"A",IF(MONTH(B196)=5,"M",IF(MONTH(B196)=6,"J",IF(MONTH(B196)=7,"J",IF(MONTH(B196)=8,"A",IF(MONTH(B196)=9,"S",IF(MONTH(B196)=10,"O",IF(MONTH(B196)=11,"N",IF(MONTH(B196)=12,"D","")))))))))))),"")</f>
        <v/>
      </c>
    </row>
    <row r="197" spans="1:7">
      <c r="A197">
        <v>194</v>
      </c>
      <c r="B197" s="46">
        <v>43964</v>
      </c>
      <c r="C197" s="282">
        <v>150.43729215595312</v>
      </c>
      <c r="D197" s="282">
        <v>104.0249711788601</v>
      </c>
      <c r="E197" s="181">
        <f t="shared" si="6"/>
        <v>104.0249711788601</v>
      </c>
      <c r="F197" s="208" t="str">
        <f t="shared" si="7"/>
        <v/>
      </c>
    </row>
    <row r="198" spans="1:7">
      <c r="A198">
        <v>195</v>
      </c>
      <c r="B198" s="46">
        <v>43965</v>
      </c>
      <c r="C198" s="282">
        <v>121.29869215595498</v>
      </c>
      <c r="D198" s="282">
        <v>104.0249711788601</v>
      </c>
      <c r="E198" s="181">
        <f t="shared" si="6"/>
        <v>104.0249711788601</v>
      </c>
      <c r="F198" s="208" t="str">
        <f t="shared" si="7"/>
        <v/>
      </c>
    </row>
    <row r="199" spans="1:7">
      <c r="A199">
        <v>196</v>
      </c>
      <c r="B199" s="46">
        <v>43966</v>
      </c>
      <c r="C199" s="282">
        <v>119.889892155955</v>
      </c>
      <c r="D199" s="282">
        <v>104.0249711788601</v>
      </c>
      <c r="E199" s="181">
        <f t="shared" si="6"/>
        <v>104.0249711788601</v>
      </c>
      <c r="F199" s="208" t="str">
        <f t="shared" si="7"/>
        <v>M</v>
      </c>
      <c r="G199" s="209">
        <f>IF(DAY(B199)=15,D199,"")</f>
        <v>104.0249711788601</v>
      </c>
    </row>
    <row r="200" spans="1:7">
      <c r="A200">
        <v>197</v>
      </c>
      <c r="B200" s="46">
        <v>43967</v>
      </c>
      <c r="C200" s="282">
        <v>107.10919215595871</v>
      </c>
      <c r="D200" s="282">
        <v>104.0249711788601</v>
      </c>
      <c r="E200" s="181">
        <f t="shared" si="6"/>
        <v>104.0249711788601</v>
      </c>
      <c r="F200" s="208" t="str">
        <f>IF(DAY(B200)=15,IF(MONTH(B200)=1,"E",IF(MONTH(B200)=2,"F",IF(MONTH(B200)=3,"M",IF(MONTH(B200)=4,"A",IF(MONTH(B200)=5,"M",IF(MONTH(B200)=6,"J",IF(MONTH(B200)=7,"J",IF(MONTH(B200)=8,"A",IF(MONTH(B200)=9,"S",IF(MONTH(B200)=10,"O",IF(MONTH(B200)=11,"N",IF(MONTH(B200)=12,"D","")))))))))))),"")</f>
        <v/>
      </c>
    </row>
    <row r="201" spans="1:7">
      <c r="A201">
        <v>198</v>
      </c>
      <c r="B201" s="46">
        <v>43968</v>
      </c>
      <c r="C201" s="282">
        <v>98.103592155951262</v>
      </c>
      <c r="D201" s="282">
        <v>104.0249711788601</v>
      </c>
      <c r="E201" s="181">
        <f t="shared" si="6"/>
        <v>98.103592155951262</v>
      </c>
      <c r="F201" s="208" t="str">
        <f t="shared" si="7"/>
        <v/>
      </c>
    </row>
    <row r="202" spans="1:7">
      <c r="A202">
        <v>199</v>
      </c>
      <c r="B202" s="46">
        <v>43969</v>
      </c>
      <c r="C202" s="282">
        <v>106.96159215595685</v>
      </c>
      <c r="D202" s="282">
        <v>104.0249711788601</v>
      </c>
      <c r="E202" s="181">
        <f t="shared" si="6"/>
        <v>104.0249711788601</v>
      </c>
      <c r="F202" s="208" t="str">
        <f t="shared" si="7"/>
        <v/>
      </c>
    </row>
    <row r="203" spans="1:7">
      <c r="A203">
        <v>200</v>
      </c>
      <c r="B203" s="46">
        <v>43970</v>
      </c>
      <c r="C203" s="282">
        <v>96.202492155954985</v>
      </c>
      <c r="D203" s="282">
        <v>104.0249711788601</v>
      </c>
      <c r="E203" s="181">
        <f t="shared" si="6"/>
        <v>96.202492155954985</v>
      </c>
      <c r="F203" s="208" t="str">
        <f t="shared" si="7"/>
        <v/>
      </c>
    </row>
    <row r="204" spans="1:7">
      <c r="A204">
        <v>201</v>
      </c>
      <c r="B204" s="46">
        <v>43971</v>
      </c>
      <c r="C204" s="282">
        <v>88.739219824280596</v>
      </c>
      <c r="D204" s="282">
        <v>104.0249711788601</v>
      </c>
      <c r="E204" s="181">
        <f t="shared" si="6"/>
        <v>88.739219824280596</v>
      </c>
      <c r="F204" s="208" t="str">
        <f t="shared" si="7"/>
        <v/>
      </c>
    </row>
    <row r="205" spans="1:7">
      <c r="A205">
        <v>202</v>
      </c>
      <c r="B205" s="46">
        <v>43972</v>
      </c>
      <c r="C205" s="282">
        <v>99.634619824282453</v>
      </c>
      <c r="D205" s="282">
        <v>104.0249711788601</v>
      </c>
      <c r="E205" s="181">
        <f t="shared" si="6"/>
        <v>99.634619824282453</v>
      </c>
      <c r="F205" s="208" t="str">
        <f t="shared" si="7"/>
        <v/>
      </c>
    </row>
    <row r="206" spans="1:7">
      <c r="A206">
        <v>203</v>
      </c>
      <c r="B206" s="46">
        <v>43973</v>
      </c>
      <c r="C206" s="282">
        <v>110.96651982428432</v>
      </c>
      <c r="D206" s="282">
        <v>104.0249711788601</v>
      </c>
      <c r="E206" s="181">
        <f t="shared" si="6"/>
        <v>104.0249711788601</v>
      </c>
      <c r="F206" s="208" t="str">
        <f t="shared" si="7"/>
        <v/>
      </c>
    </row>
    <row r="207" spans="1:7">
      <c r="A207">
        <v>204</v>
      </c>
      <c r="B207" s="46">
        <v>43974</v>
      </c>
      <c r="C207" s="282">
        <v>75.814719824276864</v>
      </c>
      <c r="D207" s="282">
        <v>104.0249711788601</v>
      </c>
      <c r="E207" s="181">
        <f t="shared" si="6"/>
        <v>75.814719824276864</v>
      </c>
      <c r="F207" s="208" t="str">
        <f t="shared" si="7"/>
        <v/>
      </c>
    </row>
    <row r="208" spans="1:7">
      <c r="A208">
        <v>205</v>
      </c>
      <c r="B208" s="46">
        <v>43975</v>
      </c>
      <c r="C208" s="282">
        <v>73.434619824284312</v>
      </c>
      <c r="D208" s="282">
        <v>104.0249711788601</v>
      </c>
      <c r="E208" s="181">
        <f t="shared" si="6"/>
        <v>73.434619824284312</v>
      </c>
      <c r="F208" s="208" t="str">
        <f t="shared" si="7"/>
        <v/>
      </c>
    </row>
    <row r="209" spans="1:6">
      <c r="A209">
        <v>206</v>
      </c>
      <c r="B209" s="46">
        <v>43976</v>
      </c>
      <c r="C209" s="282">
        <v>79.599919824282452</v>
      </c>
      <c r="D209" s="282">
        <v>104.0249711788601</v>
      </c>
      <c r="E209" s="181">
        <f t="shared" si="6"/>
        <v>79.599919824282452</v>
      </c>
      <c r="F209" s="208" t="str">
        <f t="shared" si="7"/>
        <v/>
      </c>
    </row>
    <row r="210" spans="1:6">
      <c r="A210">
        <v>207</v>
      </c>
      <c r="B210" s="46">
        <v>43977</v>
      </c>
      <c r="C210" s="282">
        <v>71.389319824278729</v>
      </c>
      <c r="D210" s="282">
        <v>104.0249711788601</v>
      </c>
      <c r="E210" s="181">
        <f t="shared" si="6"/>
        <v>71.389319824278729</v>
      </c>
      <c r="F210" s="208" t="str">
        <f t="shared" si="7"/>
        <v/>
      </c>
    </row>
    <row r="211" spans="1:6">
      <c r="A211">
        <v>208</v>
      </c>
      <c r="B211" s="46">
        <v>43978</v>
      </c>
      <c r="C211" s="282">
        <v>56.780297967005524</v>
      </c>
      <c r="D211" s="282">
        <v>104.0249711788601</v>
      </c>
      <c r="E211" s="181">
        <f t="shared" si="6"/>
        <v>56.780297967005524</v>
      </c>
      <c r="F211" s="208" t="str">
        <f t="shared" si="7"/>
        <v/>
      </c>
    </row>
    <row r="212" spans="1:6">
      <c r="A212">
        <v>209</v>
      </c>
      <c r="B212" s="46">
        <v>43979</v>
      </c>
      <c r="C212" s="282">
        <v>68.078397967005529</v>
      </c>
      <c r="D212" s="282">
        <v>104.0249711788601</v>
      </c>
      <c r="E212" s="181">
        <f t="shared" si="6"/>
        <v>68.078397967005529</v>
      </c>
      <c r="F212" s="208" t="str">
        <f t="shared" si="7"/>
        <v/>
      </c>
    </row>
    <row r="213" spans="1:6">
      <c r="A213">
        <v>210</v>
      </c>
      <c r="B213" s="46">
        <v>43980</v>
      </c>
      <c r="C213" s="282">
        <v>87.433897967001798</v>
      </c>
      <c r="D213" s="282">
        <v>104.0249711788601</v>
      </c>
      <c r="E213" s="181">
        <f t="shared" si="6"/>
        <v>87.433897967001798</v>
      </c>
      <c r="F213" s="208" t="str">
        <f t="shared" si="7"/>
        <v/>
      </c>
    </row>
    <row r="214" spans="1:6">
      <c r="A214">
        <v>211</v>
      </c>
      <c r="B214" s="46">
        <v>43981</v>
      </c>
      <c r="C214" s="282">
        <v>65.949397967003662</v>
      </c>
      <c r="D214" s="282">
        <v>104.0249711788601</v>
      </c>
      <c r="E214" s="181">
        <f t="shared" si="6"/>
        <v>65.949397967003662</v>
      </c>
      <c r="F214" s="208" t="str">
        <f t="shared" si="7"/>
        <v/>
      </c>
    </row>
    <row r="215" spans="1:6">
      <c r="A215">
        <v>212</v>
      </c>
      <c r="B215" s="46">
        <v>43982</v>
      </c>
      <c r="C215" s="282">
        <v>59.973997967001793</v>
      </c>
      <c r="D215" s="282">
        <v>104.0249711788601</v>
      </c>
      <c r="E215" s="181">
        <f t="shared" si="6"/>
        <v>59.973997967001793</v>
      </c>
      <c r="F215" s="208" t="str">
        <f t="shared" si="7"/>
        <v/>
      </c>
    </row>
    <row r="216" spans="1:6">
      <c r="A216">
        <v>213</v>
      </c>
      <c r="B216" s="46">
        <v>43983</v>
      </c>
      <c r="C216" s="282">
        <v>92.190697967007381</v>
      </c>
      <c r="D216" s="282">
        <v>64.512028542813908</v>
      </c>
      <c r="E216" s="181">
        <f t="shared" si="6"/>
        <v>64.512028542813908</v>
      </c>
      <c r="F216" s="208" t="str">
        <f t="shared" si="7"/>
        <v/>
      </c>
    </row>
    <row r="217" spans="1:6">
      <c r="A217">
        <v>214</v>
      </c>
      <c r="B217" s="46">
        <v>43984</v>
      </c>
      <c r="C217" s="282">
        <v>98.260597967005523</v>
      </c>
      <c r="D217" s="282">
        <v>64.512028542813908</v>
      </c>
      <c r="E217" s="181">
        <f t="shared" si="6"/>
        <v>64.512028542813908</v>
      </c>
      <c r="F217" s="208" t="str">
        <f t="shared" si="7"/>
        <v/>
      </c>
    </row>
    <row r="218" spans="1:6">
      <c r="A218">
        <v>215</v>
      </c>
      <c r="B218" s="46">
        <v>43985</v>
      </c>
      <c r="C218" s="282">
        <v>61.905344371254742</v>
      </c>
      <c r="D218" s="282">
        <v>64.512028542813908</v>
      </c>
      <c r="E218" s="181">
        <f t="shared" si="6"/>
        <v>61.905344371254742</v>
      </c>
      <c r="F218" s="208" t="str">
        <f t="shared" si="7"/>
        <v/>
      </c>
    </row>
    <row r="219" spans="1:6">
      <c r="A219">
        <v>216</v>
      </c>
      <c r="B219" s="46">
        <v>43986</v>
      </c>
      <c r="C219" s="282">
        <v>55.473644371258473</v>
      </c>
      <c r="D219" s="282">
        <v>64.512028542813908</v>
      </c>
      <c r="E219" s="181">
        <f t="shared" si="6"/>
        <v>55.473644371258473</v>
      </c>
      <c r="F219" s="208" t="str">
        <f t="shared" si="7"/>
        <v/>
      </c>
    </row>
    <row r="220" spans="1:6">
      <c r="A220">
        <v>217</v>
      </c>
      <c r="B220" s="46">
        <v>43987</v>
      </c>
      <c r="C220" s="282">
        <v>55.85604437125847</v>
      </c>
      <c r="D220" s="282">
        <v>64.512028542813908</v>
      </c>
      <c r="E220" s="181">
        <f t="shared" si="6"/>
        <v>55.85604437125847</v>
      </c>
      <c r="F220" s="208" t="str">
        <f t="shared" si="7"/>
        <v/>
      </c>
    </row>
    <row r="221" spans="1:6">
      <c r="A221">
        <v>218</v>
      </c>
      <c r="B221" s="46">
        <v>43988</v>
      </c>
      <c r="C221" s="282">
        <v>38.13264437125661</v>
      </c>
      <c r="D221" s="282">
        <v>64.512028542813908</v>
      </c>
      <c r="E221" s="181">
        <f t="shared" si="6"/>
        <v>38.13264437125661</v>
      </c>
      <c r="F221" s="208" t="str">
        <f t="shared" si="7"/>
        <v/>
      </c>
    </row>
    <row r="222" spans="1:6">
      <c r="A222">
        <v>219</v>
      </c>
      <c r="B222" s="46">
        <v>43989</v>
      </c>
      <c r="C222" s="282">
        <v>32.878044371254745</v>
      </c>
      <c r="D222" s="282">
        <v>64.512028542813908</v>
      </c>
      <c r="E222" s="181">
        <f t="shared" si="6"/>
        <v>32.878044371254745</v>
      </c>
      <c r="F222" s="208" t="str">
        <f t="shared" si="7"/>
        <v/>
      </c>
    </row>
    <row r="223" spans="1:6">
      <c r="A223">
        <v>220</v>
      </c>
      <c r="B223" s="46">
        <v>43990</v>
      </c>
      <c r="C223" s="282">
        <v>34.727844371256609</v>
      </c>
      <c r="D223" s="282">
        <v>64.512028542813908</v>
      </c>
      <c r="E223" s="181">
        <f t="shared" si="6"/>
        <v>34.727844371256609</v>
      </c>
      <c r="F223" s="208" t="str">
        <f t="shared" si="7"/>
        <v/>
      </c>
    </row>
    <row r="224" spans="1:6">
      <c r="A224">
        <v>221</v>
      </c>
      <c r="B224" s="46">
        <v>43991</v>
      </c>
      <c r="C224" s="282">
        <v>44.663944371258459</v>
      </c>
      <c r="D224" s="282">
        <v>64.512028542813908</v>
      </c>
      <c r="E224" s="181">
        <f t="shared" si="6"/>
        <v>44.663944371258459</v>
      </c>
      <c r="F224" s="208" t="str">
        <f t="shared" si="7"/>
        <v/>
      </c>
    </row>
    <row r="225" spans="1:7">
      <c r="A225">
        <v>222</v>
      </c>
      <c r="B225" s="46">
        <v>43992</v>
      </c>
      <c r="C225" s="282">
        <v>71.323262023906778</v>
      </c>
      <c r="D225" s="282">
        <v>64.512028542813908</v>
      </c>
      <c r="E225" s="181">
        <f t="shared" si="6"/>
        <v>64.512028542813908</v>
      </c>
      <c r="F225" s="208" t="str">
        <f t="shared" si="7"/>
        <v/>
      </c>
    </row>
    <row r="226" spans="1:7">
      <c r="A226">
        <v>223</v>
      </c>
      <c r="B226" s="46">
        <v>43993</v>
      </c>
      <c r="C226" s="282">
        <v>55.397262023908645</v>
      </c>
      <c r="D226" s="282">
        <v>64.512028542813908</v>
      </c>
      <c r="E226" s="181">
        <f t="shared" si="6"/>
        <v>55.397262023908645</v>
      </c>
      <c r="F226" s="208" t="str">
        <f t="shared" si="7"/>
        <v/>
      </c>
    </row>
    <row r="227" spans="1:7">
      <c r="A227">
        <v>224</v>
      </c>
      <c r="B227" s="46">
        <v>43994</v>
      </c>
      <c r="C227" s="282">
        <v>61.927462023908653</v>
      </c>
      <c r="D227" s="282">
        <v>64.512028542813908</v>
      </c>
      <c r="E227" s="181">
        <f t="shared" si="6"/>
        <v>61.927462023908653</v>
      </c>
      <c r="F227" s="208" t="str">
        <f t="shared" si="7"/>
        <v/>
      </c>
    </row>
    <row r="228" spans="1:7">
      <c r="A228">
        <v>225</v>
      </c>
      <c r="B228" s="46">
        <v>43995</v>
      </c>
      <c r="C228" s="282">
        <v>56.816062023908643</v>
      </c>
      <c r="D228" s="282">
        <v>64.512028542813908</v>
      </c>
      <c r="E228" s="181">
        <f t="shared" si="6"/>
        <v>56.816062023908643</v>
      </c>
      <c r="F228" s="208" t="str">
        <f t="shared" si="7"/>
        <v/>
      </c>
    </row>
    <row r="229" spans="1:7">
      <c r="A229">
        <v>226</v>
      </c>
      <c r="B229" s="46">
        <v>43996</v>
      </c>
      <c r="C229" s="282">
        <v>53.090462023908643</v>
      </c>
      <c r="D229" s="282">
        <v>64.512028542813908</v>
      </c>
      <c r="E229" s="181">
        <f t="shared" si="6"/>
        <v>53.090462023908643</v>
      </c>
      <c r="F229" s="208" t="str">
        <f t="shared" si="7"/>
        <v/>
      </c>
    </row>
    <row r="230" spans="1:7">
      <c r="A230">
        <v>227</v>
      </c>
      <c r="B230" s="46">
        <v>43997</v>
      </c>
      <c r="C230" s="282">
        <v>65.941062023908643</v>
      </c>
      <c r="D230" s="282">
        <v>64.512028542813908</v>
      </c>
      <c r="E230" s="181">
        <f t="shared" si="6"/>
        <v>64.512028542813908</v>
      </c>
      <c r="F230" s="208" t="str">
        <f>IF(DAY(B230)=15,IF(MONTH(B230)=1,"E",IF(MONTH(B230)=2,"F",IF(MONTH(B230)=3,"M",IF(MONTH(B230)=4,"A",IF(MONTH(B230)=5,"M",IF(MONTH(B230)=6,"J",IF(MONTH(B230)=7,"J",IF(MONTH(B230)=8,"A",IF(MONTH(B230)=9,"S",IF(MONTH(B230)=10,"O",IF(MONTH(B230)=11,"N",IF(MONTH(B230)=12,"D","")))))))))))),"")</f>
        <v>J</v>
      </c>
      <c r="G230" s="209">
        <f>IF(DAY(B230)=15,D230,"")</f>
        <v>64.512028542813908</v>
      </c>
    </row>
    <row r="231" spans="1:7">
      <c r="A231">
        <v>228</v>
      </c>
      <c r="B231" s="46">
        <v>43998</v>
      </c>
      <c r="C231" s="282">
        <v>68.063362023908638</v>
      </c>
      <c r="D231" s="282">
        <v>64.512028542813908</v>
      </c>
      <c r="E231" s="181">
        <f t="shared" si="6"/>
        <v>64.512028542813908</v>
      </c>
      <c r="F231" s="208" t="str">
        <f t="shared" si="7"/>
        <v/>
      </c>
    </row>
    <row r="232" spans="1:7">
      <c r="A232">
        <v>229</v>
      </c>
      <c r="B232" s="46">
        <v>43999</v>
      </c>
      <c r="C232" s="282">
        <v>57.908673730405049</v>
      </c>
      <c r="D232" s="282">
        <v>64.512028542813908</v>
      </c>
      <c r="E232" s="181">
        <f t="shared" si="6"/>
        <v>57.908673730405049</v>
      </c>
      <c r="F232" s="208" t="str">
        <f t="shared" si="7"/>
        <v/>
      </c>
    </row>
    <row r="233" spans="1:7">
      <c r="A233">
        <v>230</v>
      </c>
      <c r="B233" s="46">
        <v>44000</v>
      </c>
      <c r="C233" s="282">
        <v>51.14037373041063</v>
      </c>
      <c r="D233" s="282">
        <v>64.512028542813908</v>
      </c>
      <c r="E233" s="181">
        <f t="shared" si="6"/>
        <v>51.14037373041063</v>
      </c>
      <c r="F233" s="208" t="str">
        <f t="shared" si="7"/>
        <v/>
      </c>
    </row>
    <row r="234" spans="1:7">
      <c r="A234">
        <v>231</v>
      </c>
      <c r="B234" s="46">
        <v>44001</v>
      </c>
      <c r="C234" s="282">
        <v>48.942373730403183</v>
      </c>
      <c r="D234" s="282">
        <v>64.512028542813908</v>
      </c>
      <c r="E234" s="181">
        <f t="shared" si="6"/>
        <v>48.942373730403183</v>
      </c>
      <c r="F234" s="208" t="str">
        <f t="shared" si="7"/>
        <v/>
      </c>
    </row>
    <row r="235" spans="1:7">
      <c r="A235">
        <v>232</v>
      </c>
      <c r="B235" s="46">
        <v>44002</v>
      </c>
      <c r="C235" s="282">
        <v>32.105273730408769</v>
      </c>
      <c r="D235" s="282">
        <v>64.512028542813908</v>
      </c>
      <c r="E235" s="181">
        <f t="shared" si="6"/>
        <v>32.105273730408769</v>
      </c>
      <c r="F235" s="208" t="str">
        <f t="shared" si="7"/>
        <v/>
      </c>
    </row>
    <row r="236" spans="1:7">
      <c r="A236">
        <v>233</v>
      </c>
      <c r="B236" s="46">
        <v>44003</v>
      </c>
      <c r="C236" s="282">
        <v>26.652473730408776</v>
      </c>
      <c r="D236" s="282">
        <v>64.512028542813908</v>
      </c>
      <c r="E236" s="181">
        <f t="shared" si="6"/>
        <v>26.652473730408776</v>
      </c>
      <c r="F236" s="208" t="str">
        <f t="shared" si="7"/>
        <v/>
      </c>
    </row>
    <row r="237" spans="1:7">
      <c r="A237">
        <v>234</v>
      </c>
      <c r="B237" s="46">
        <v>44004</v>
      </c>
      <c r="C237" s="282">
        <v>45.374773730406915</v>
      </c>
      <c r="D237" s="282">
        <v>64.512028542813908</v>
      </c>
      <c r="E237" s="181">
        <f t="shared" si="6"/>
        <v>45.374773730406915</v>
      </c>
      <c r="F237" s="208" t="str">
        <f t="shared" si="7"/>
        <v/>
      </c>
    </row>
    <row r="238" spans="1:7">
      <c r="A238">
        <v>235</v>
      </c>
      <c r="B238" s="46">
        <v>44005</v>
      </c>
      <c r="C238" s="282">
        <v>63.074573730406904</v>
      </c>
      <c r="D238" s="282">
        <v>64.512028542813908</v>
      </c>
      <c r="E238" s="181">
        <f t="shared" si="6"/>
        <v>63.074573730406904</v>
      </c>
      <c r="F238" s="208" t="str">
        <f t="shared" si="7"/>
        <v/>
      </c>
    </row>
    <row r="239" spans="1:7">
      <c r="A239">
        <v>236</v>
      </c>
      <c r="B239" s="46">
        <v>44006</v>
      </c>
      <c r="C239" s="282">
        <v>38.710998386582361</v>
      </c>
      <c r="D239" s="282">
        <v>64.512028542813908</v>
      </c>
      <c r="E239" s="181">
        <f t="shared" si="6"/>
        <v>38.710998386582361</v>
      </c>
      <c r="F239" s="208" t="str">
        <f t="shared" si="7"/>
        <v/>
      </c>
    </row>
    <row r="240" spans="1:7">
      <c r="A240">
        <v>237</v>
      </c>
      <c r="B240" s="46">
        <v>44007</v>
      </c>
      <c r="C240" s="282">
        <v>49.306998386587949</v>
      </c>
      <c r="D240" s="282">
        <v>64.512028542813908</v>
      </c>
      <c r="E240" s="181">
        <f t="shared" si="6"/>
        <v>49.306998386587949</v>
      </c>
      <c r="F240" s="208" t="str">
        <f t="shared" si="7"/>
        <v/>
      </c>
    </row>
    <row r="241" spans="1:6">
      <c r="A241">
        <v>238</v>
      </c>
      <c r="B241" s="46">
        <v>44008</v>
      </c>
      <c r="C241" s="282">
        <v>49.329998386584222</v>
      </c>
      <c r="D241" s="282">
        <v>64.512028542813908</v>
      </c>
      <c r="E241" s="181">
        <f t="shared" si="6"/>
        <v>49.329998386584222</v>
      </c>
      <c r="F241" s="208" t="str">
        <f t="shared" si="7"/>
        <v/>
      </c>
    </row>
    <row r="242" spans="1:6">
      <c r="A242">
        <v>239</v>
      </c>
      <c r="B242" s="46">
        <v>44009</v>
      </c>
      <c r="C242" s="282">
        <v>34.305298386582365</v>
      </c>
      <c r="D242" s="282">
        <v>64.512028542813908</v>
      </c>
      <c r="E242" s="181">
        <f t="shared" si="6"/>
        <v>34.305298386582365</v>
      </c>
      <c r="F242" s="208" t="str">
        <f t="shared" si="7"/>
        <v/>
      </c>
    </row>
    <row r="243" spans="1:6">
      <c r="A243">
        <v>240</v>
      </c>
      <c r="B243" s="46">
        <v>44010</v>
      </c>
      <c r="C243" s="282">
        <v>30.354798386584225</v>
      </c>
      <c r="D243" s="282">
        <v>64.512028542813908</v>
      </c>
      <c r="E243" s="181">
        <f t="shared" si="6"/>
        <v>30.354798386584225</v>
      </c>
      <c r="F243" s="208" t="str">
        <f t="shared" si="7"/>
        <v/>
      </c>
    </row>
    <row r="244" spans="1:6">
      <c r="A244">
        <v>241</v>
      </c>
      <c r="B244" s="46">
        <v>44011</v>
      </c>
      <c r="C244" s="282">
        <v>45.563998386586086</v>
      </c>
      <c r="D244" s="282">
        <v>64.512028542813908</v>
      </c>
      <c r="E244" s="181">
        <f t="shared" si="6"/>
        <v>45.563998386586086</v>
      </c>
      <c r="F244" s="208" t="str">
        <f t="shared" si="7"/>
        <v/>
      </c>
    </row>
    <row r="245" spans="1:6">
      <c r="A245">
        <v>242</v>
      </c>
      <c r="B245" s="46">
        <v>44012</v>
      </c>
      <c r="C245" s="282">
        <v>58.461398386580491</v>
      </c>
      <c r="D245" s="282">
        <v>64.512028542813908</v>
      </c>
      <c r="E245" s="181">
        <f t="shared" si="6"/>
        <v>58.461398386580491</v>
      </c>
      <c r="F245" s="208" t="str">
        <f t="shared" si="7"/>
        <v/>
      </c>
    </row>
    <row r="246" spans="1:6">
      <c r="A246">
        <v>243</v>
      </c>
      <c r="B246" s="46">
        <v>44013</v>
      </c>
      <c r="C246" s="282">
        <v>51.952441889485343</v>
      </c>
      <c r="D246" s="282">
        <v>28.410222830287367</v>
      </c>
      <c r="E246" s="181">
        <f t="shared" si="6"/>
        <v>28.410222830287367</v>
      </c>
      <c r="F246" s="208" t="str">
        <f t="shared" si="7"/>
        <v/>
      </c>
    </row>
    <row r="247" spans="1:6">
      <c r="A247">
        <v>244</v>
      </c>
      <c r="B247" s="46">
        <v>44014</v>
      </c>
      <c r="C247" s="282">
        <v>37.132841889485341</v>
      </c>
      <c r="D247" s="282">
        <v>28.410222830287367</v>
      </c>
      <c r="E247" s="181">
        <f t="shared" si="6"/>
        <v>28.410222830287367</v>
      </c>
      <c r="F247" s="208" t="str">
        <f t="shared" si="7"/>
        <v/>
      </c>
    </row>
    <row r="248" spans="1:6">
      <c r="A248">
        <v>245</v>
      </c>
      <c r="B248" s="46">
        <v>44015</v>
      </c>
      <c r="C248" s="282">
        <v>14.066841889485346</v>
      </c>
      <c r="D248" s="282">
        <v>28.410222830287367</v>
      </c>
      <c r="E248" s="181">
        <f t="shared" si="6"/>
        <v>14.066841889485346</v>
      </c>
      <c r="F248" s="208" t="str">
        <f t="shared" si="7"/>
        <v/>
      </c>
    </row>
    <row r="249" spans="1:6">
      <c r="A249">
        <v>246</v>
      </c>
      <c r="B249" s="46">
        <v>44016</v>
      </c>
      <c r="C249" s="282">
        <v>8.3983418894853461</v>
      </c>
      <c r="D249" s="282">
        <v>28.410222830287367</v>
      </c>
      <c r="E249" s="181">
        <f t="shared" si="6"/>
        <v>8.3983418894853461</v>
      </c>
      <c r="F249" s="208" t="str">
        <f t="shared" si="7"/>
        <v/>
      </c>
    </row>
    <row r="250" spans="1:6">
      <c r="A250">
        <v>247</v>
      </c>
      <c r="B250" s="46">
        <v>44017</v>
      </c>
      <c r="C250" s="282">
        <v>8.0012418894834845</v>
      </c>
      <c r="D250" s="282">
        <v>28.410222830287367</v>
      </c>
      <c r="E250" s="181">
        <f t="shared" si="6"/>
        <v>8.0012418894834845</v>
      </c>
      <c r="F250" s="208" t="str">
        <f t="shared" si="7"/>
        <v/>
      </c>
    </row>
    <row r="251" spans="1:6">
      <c r="A251">
        <v>248</v>
      </c>
      <c r="B251" s="46">
        <v>44018</v>
      </c>
      <c r="C251" s="282">
        <v>17.791341889485345</v>
      </c>
      <c r="D251" s="282">
        <v>28.410222830287367</v>
      </c>
      <c r="E251" s="181">
        <f t="shared" si="6"/>
        <v>17.791341889485345</v>
      </c>
      <c r="F251" s="208" t="str">
        <f t="shared" si="7"/>
        <v/>
      </c>
    </row>
    <row r="252" spans="1:6">
      <c r="A252">
        <v>249</v>
      </c>
      <c r="B252" s="46">
        <v>44019</v>
      </c>
      <c r="C252" s="282">
        <v>25.094941889481618</v>
      </c>
      <c r="D252" s="282">
        <v>28.410222830287367</v>
      </c>
      <c r="E252" s="181">
        <f t="shared" si="6"/>
        <v>25.094941889481618</v>
      </c>
      <c r="F252" s="208" t="str">
        <f t="shared" si="7"/>
        <v/>
      </c>
    </row>
    <row r="253" spans="1:6">
      <c r="A253">
        <v>250</v>
      </c>
      <c r="B253" s="46">
        <v>44020</v>
      </c>
      <c r="C253" s="282">
        <v>31.865014404026791</v>
      </c>
      <c r="D253" s="282">
        <v>28.410222830287367</v>
      </c>
      <c r="E253" s="181">
        <f t="shared" si="6"/>
        <v>28.410222830287367</v>
      </c>
      <c r="F253" s="208" t="str">
        <f t="shared" si="7"/>
        <v/>
      </c>
    </row>
    <row r="254" spans="1:6">
      <c r="A254">
        <v>251</v>
      </c>
      <c r="B254" s="46">
        <v>44021</v>
      </c>
      <c r="C254" s="282">
        <v>27.082214404023063</v>
      </c>
      <c r="D254" s="282">
        <v>28.410222830287367</v>
      </c>
      <c r="E254" s="181">
        <f t="shared" si="6"/>
        <v>27.082214404023063</v>
      </c>
      <c r="F254" s="208" t="str">
        <f t="shared" si="7"/>
        <v/>
      </c>
    </row>
    <row r="255" spans="1:6">
      <c r="A255">
        <v>252</v>
      </c>
      <c r="B255" s="46">
        <v>44022</v>
      </c>
      <c r="C255" s="282">
        <v>21.241714404026787</v>
      </c>
      <c r="D255" s="282">
        <v>28.410222830287367</v>
      </c>
      <c r="E255" s="181">
        <f t="shared" si="6"/>
        <v>21.241714404026787</v>
      </c>
      <c r="F255" s="208" t="str">
        <f t="shared" si="7"/>
        <v/>
      </c>
    </row>
    <row r="256" spans="1:6">
      <c r="A256">
        <v>253</v>
      </c>
      <c r="B256" s="46">
        <v>44023</v>
      </c>
      <c r="C256" s="282">
        <v>17.792714404021201</v>
      </c>
      <c r="D256" s="282">
        <v>28.410222830287367</v>
      </c>
      <c r="E256" s="181">
        <f t="shared" si="6"/>
        <v>17.792714404021201</v>
      </c>
      <c r="F256" s="208" t="str">
        <f t="shared" si="7"/>
        <v/>
      </c>
    </row>
    <row r="257" spans="1:7">
      <c r="A257">
        <v>254</v>
      </c>
      <c r="B257" s="46">
        <v>44024</v>
      </c>
      <c r="C257" s="282">
        <v>8.9562144040249265</v>
      </c>
      <c r="D257" s="282">
        <v>28.410222830287367</v>
      </c>
      <c r="E257" s="181">
        <f t="shared" si="6"/>
        <v>8.9562144040249265</v>
      </c>
      <c r="F257" s="208" t="str">
        <f t="shared" si="7"/>
        <v/>
      </c>
    </row>
    <row r="258" spans="1:7">
      <c r="A258">
        <v>255</v>
      </c>
      <c r="B258" s="46">
        <v>44025</v>
      </c>
      <c r="C258" s="282">
        <v>23.02581440402307</v>
      </c>
      <c r="D258" s="282">
        <v>28.410222830287367</v>
      </c>
      <c r="E258" s="181">
        <f t="shared" si="6"/>
        <v>23.02581440402307</v>
      </c>
      <c r="F258" s="208" t="str">
        <f t="shared" si="7"/>
        <v/>
      </c>
    </row>
    <row r="259" spans="1:7">
      <c r="A259">
        <v>256</v>
      </c>
      <c r="B259" s="46">
        <v>44026</v>
      </c>
      <c r="C259" s="282">
        <v>22.195214404024927</v>
      </c>
      <c r="D259" s="282">
        <v>28.410222830287367</v>
      </c>
      <c r="E259" s="181">
        <f t="shared" si="6"/>
        <v>22.195214404024927</v>
      </c>
      <c r="F259" s="208" t="str">
        <f t="shared" si="7"/>
        <v/>
      </c>
    </row>
    <row r="260" spans="1:7">
      <c r="A260">
        <v>257</v>
      </c>
      <c r="B260" s="46">
        <v>44027</v>
      </c>
      <c r="C260" s="282">
        <v>21.587164615732057</v>
      </c>
      <c r="D260" s="282">
        <v>28.410222830287367</v>
      </c>
      <c r="E260" s="181">
        <f t="shared" ref="E260:E323" si="8">IF(C260&lt;D260,C260,D260)</f>
        <v>21.587164615732057</v>
      </c>
      <c r="F260" s="208" t="str">
        <f t="shared" ref="F260:F323" si="9">IF(DAY(B260)=15,IF(MONTH(B260)=1,"E",IF(MONTH(B260)=2,"F",IF(MONTH(B260)=3,"M",IF(MONTH(B260)=4,"A",IF(MONTH(B260)=5,"M",IF(MONTH(B260)=6,"J",IF(MONTH(B260)=7,"J",IF(MONTH(B260)=8,"A",IF(MONTH(B260)=9,"S",IF(MONTH(B260)=10,"O",IF(MONTH(B260)=11,"N",IF(MONTH(B260)=12,"D","")))))))))))),"")</f>
        <v>J</v>
      </c>
      <c r="G260" s="209">
        <f>IF(DAY(B260)=15,D260,"")</f>
        <v>28.410222830287367</v>
      </c>
    </row>
    <row r="261" spans="1:7">
      <c r="A261">
        <v>258</v>
      </c>
      <c r="B261" s="46">
        <v>44028</v>
      </c>
      <c r="C261" s="282">
        <v>22.25656461573206</v>
      </c>
      <c r="D261" s="282">
        <v>28.410222830287367</v>
      </c>
      <c r="E261" s="181">
        <f t="shared" si="8"/>
        <v>22.25656461573206</v>
      </c>
      <c r="F261" s="208" t="str">
        <f>IF(DAY(B261)=15,IF(MONTH(B261)=1,"E",IF(MONTH(B261)=2,"F",IF(MONTH(B261)=3,"M",IF(MONTH(B261)=4,"A",IF(MONTH(B261)=5,"M",IF(MONTH(B261)=6,"J",IF(MONTH(B261)=7,"J",IF(MONTH(B261)=8,"A",IF(MONTH(B261)=9,"S",IF(MONTH(B261)=10,"O",IF(MONTH(B261)=11,"N",IF(MONTH(B261)=12,"D","")))))))))))),"")</f>
        <v/>
      </c>
    </row>
    <row r="262" spans="1:7">
      <c r="A262">
        <v>259</v>
      </c>
      <c r="B262" s="46">
        <v>44029</v>
      </c>
      <c r="C262" s="282">
        <v>24.386564615732059</v>
      </c>
      <c r="D262" s="282">
        <v>28.410222830287367</v>
      </c>
      <c r="E262" s="181">
        <f t="shared" si="8"/>
        <v>24.386564615732059</v>
      </c>
      <c r="F262" s="208" t="str">
        <f t="shared" si="9"/>
        <v/>
      </c>
    </row>
    <row r="263" spans="1:7">
      <c r="A263">
        <v>260</v>
      </c>
      <c r="B263" s="46">
        <v>44030</v>
      </c>
      <c r="C263" s="282">
        <v>19.524964615733921</v>
      </c>
      <c r="D263" s="282">
        <v>28.410222830287367</v>
      </c>
      <c r="E263" s="181">
        <f t="shared" si="8"/>
        <v>19.524964615733921</v>
      </c>
      <c r="F263" s="208" t="str">
        <f t="shared" si="9"/>
        <v/>
      </c>
    </row>
    <row r="264" spans="1:7">
      <c r="A264">
        <v>261</v>
      </c>
      <c r="B264" s="46">
        <v>44031</v>
      </c>
      <c r="C264" s="282">
        <v>12.476364615733925</v>
      </c>
      <c r="D264" s="282">
        <v>28.410222830287367</v>
      </c>
      <c r="E264" s="181">
        <f t="shared" si="8"/>
        <v>12.476364615733925</v>
      </c>
      <c r="F264" s="208" t="str">
        <f t="shared" si="9"/>
        <v/>
      </c>
    </row>
    <row r="265" spans="1:7">
      <c r="A265">
        <v>262</v>
      </c>
      <c r="B265" s="46">
        <v>44032</v>
      </c>
      <c r="C265" s="282">
        <v>27.044864615730198</v>
      </c>
      <c r="D265" s="282">
        <v>28.410222830287367</v>
      </c>
      <c r="E265" s="181">
        <f t="shared" si="8"/>
        <v>27.044864615730198</v>
      </c>
      <c r="F265" s="208" t="str">
        <f t="shared" si="9"/>
        <v/>
      </c>
    </row>
    <row r="266" spans="1:7">
      <c r="A266">
        <v>263</v>
      </c>
      <c r="B266" s="46">
        <v>44033</v>
      </c>
      <c r="C266" s="282">
        <v>19.316464615733924</v>
      </c>
      <c r="D266" s="282">
        <v>28.410222830287367</v>
      </c>
      <c r="E266" s="181">
        <f t="shared" si="8"/>
        <v>19.316464615733924</v>
      </c>
      <c r="F266" s="208" t="str">
        <f t="shared" si="9"/>
        <v/>
      </c>
    </row>
    <row r="267" spans="1:7">
      <c r="A267">
        <v>264</v>
      </c>
      <c r="B267" s="46">
        <v>44034</v>
      </c>
      <c r="C267" s="282">
        <v>13.504691299972313</v>
      </c>
      <c r="D267" s="282">
        <v>28.410222830287367</v>
      </c>
      <c r="E267" s="181">
        <f t="shared" si="8"/>
        <v>13.504691299972313</v>
      </c>
      <c r="F267" s="208" t="str">
        <f t="shared" si="9"/>
        <v/>
      </c>
    </row>
    <row r="268" spans="1:7">
      <c r="A268">
        <v>265</v>
      </c>
      <c r="B268" s="46">
        <v>44035</v>
      </c>
      <c r="C268" s="282">
        <v>17.08589129997231</v>
      </c>
      <c r="D268" s="282">
        <v>28.410222830287367</v>
      </c>
      <c r="E268" s="181">
        <f t="shared" si="8"/>
        <v>17.08589129997231</v>
      </c>
      <c r="F268" s="208" t="str">
        <f t="shared" si="9"/>
        <v/>
      </c>
    </row>
    <row r="269" spans="1:7">
      <c r="A269">
        <v>266</v>
      </c>
      <c r="B269" s="46">
        <v>44036</v>
      </c>
      <c r="C269" s="282">
        <v>13.806591299974171</v>
      </c>
      <c r="D269" s="282">
        <v>28.410222830287367</v>
      </c>
      <c r="E269" s="181">
        <f t="shared" si="8"/>
        <v>13.806591299974171</v>
      </c>
      <c r="F269" s="208" t="str">
        <f t="shared" si="9"/>
        <v/>
      </c>
    </row>
    <row r="270" spans="1:7">
      <c r="A270">
        <v>267</v>
      </c>
      <c r="B270" s="46">
        <v>44037</v>
      </c>
      <c r="C270" s="282">
        <v>5.5891912999723132</v>
      </c>
      <c r="D270" s="282">
        <v>28.410222830287367</v>
      </c>
      <c r="E270" s="181">
        <f t="shared" si="8"/>
        <v>5.5891912999723132</v>
      </c>
      <c r="F270" s="208" t="str">
        <f t="shared" si="9"/>
        <v/>
      </c>
    </row>
    <row r="271" spans="1:7">
      <c r="A271">
        <v>268</v>
      </c>
      <c r="B271" s="46">
        <v>44038</v>
      </c>
      <c r="C271" s="282">
        <v>4.0950912999760334</v>
      </c>
      <c r="D271" s="282">
        <v>28.410222830287367</v>
      </c>
      <c r="E271" s="181">
        <f t="shared" si="8"/>
        <v>4.0950912999760334</v>
      </c>
      <c r="F271" s="208" t="str">
        <f t="shared" si="9"/>
        <v/>
      </c>
    </row>
    <row r="272" spans="1:7">
      <c r="A272">
        <v>269</v>
      </c>
      <c r="B272" s="46">
        <v>44039</v>
      </c>
      <c r="C272" s="282">
        <v>27.26549129997418</v>
      </c>
      <c r="D272" s="282">
        <v>28.410222830287367</v>
      </c>
      <c r="E272" s="181">
        <f t="shared" si="8"/>
        <v>27.26549129997418</v>
      </c>
      <c r="F272" s="208" t="str">
        <f t="shared" si="9"/>
        <v/>
      </c>
    </row>
    <row r="273" spans="1:6">
      <c r="A273">
        <v>270</v>
      </c>
      <c r="B273" s="46">
        <v>44040</v>
      </c>
      <c r="C273" s="282">
        <v>30.291691299972314</v>
      </c>
      <c r="D273" s="282">
        <v>28.410222830287367</v>
      </c>
      <c r="E273" s="181">
        <f t="shared" si="8"/>
        <v>28.410222830287367</v>
      </c>
      <c r="F273" s="208" t="str">
        <f t="shared" si="9"/>
        <v/>
      </c>
    </row>
    <row r="274" spans="1:6">
      <c r="A274">
        <v>271</v>
      </c>
      <c r="B274" s="46">
        <v>44041</v>
      </c>
      <c r="C274" s="282">
        <v>14.449744701170552</v>
      </c>
      <c r="D274" s="282">
        <v>28.410222830287367</v>
      </c>
      <c r="E274" s="181">
        <f t="shared" si="8"/>
        <v>14.449744701170552</v>
      </c>
      <c r="F274" s="208" t="str">
        <f t="shared" si="9"/>
        <v/>
      </c>
    </row>
    <row r="275" spans="1:6">
      <c r="A275">
        <v>272</v>
      </c>
      <c r="B275" s="46">
        <v>44042</v>
      </c>
      <c r="C275" s="282">
        <v>11.960344701170543</v>
      </c>
      <c r="D275" s="282">
        <v>28.410222830287367</v>
      </c>
      <c r="E275" s="181">
        <f t="shared" si="8"/>
        <v>11.960344701170543</v>
      </c>
      <c r="F275" s="208" t="str">
        <f t="shared" si="9"/>
        <v/>
      </c>
    </row>
    <row r="276" spans="1:6">
      <c r="A276">
        <v>273</v>
      </c>
      <c r="B276" s="46">
        <v>44043</v>
      </c>
      <c r="C276" s="282">
        <v>31.587444701164962</v>
      </c>
      <c r="D276" s="282">
        <v>28.410222830287367</v>
      </c>
      <c r="E276" s="181">
        <f t="shared" si="8"/>
        <v>28.410222830287367</v>
      </c>
      <c r="F276" s="208" t="str">
        <f t="shared" si="9"/>
        <v/>
      </c>
    </row>
    <row r="277" spans="1:6">
      <c r="A277">
        <v>274</v>
      </c>
      <c r="B277" s="46">
        <v>44044</v>
      </c>
      <c r="C277" s="282">
        <v>1.1538447011686876</v>
      </c>
      <c r="D277" s="282">
        <v>17.313341416272394</v>
      </c>
      <c r="E277" s="181">
        <f t="shared" si="8"/>
        <v>1.1538447011686876</v>
      </c>
      <c r="F277" s="208" t="str">
        <f t="shared" si="9"/>
        <v/>
      </c>
    </row>
    <row r="278" spans="1:6">
      <c r="A278">
        <v>275</v>
      </c>
      <c r="B278" s="46">
        <v>44045</v>
      </c>
      <c r="C278" s="282">
        <v>2.1983447011705501</v>
      </c>
      <c r="D278" s="282">
        <v>17.313341416272394</v>
      </c>
      <c r="E278" s="181">
        <f t="shared" si="8"/>
        <v>2.1983447011705501</v>
      </c>
      <c r="F278" s="208" t="str">
        <f t="shared" si="9"/>
        <v/>
      </c>
    </row>
    <row r="279" spans="1:6">
      <c r="A279">
        <v>276</v>
      </c>
      <c r="B279" s="46">
        <v>44046</v>
      </c>
      <c r="C279" s="282">
        <v>1.2358447011686804</v>
      </c>
      <c r="D279" s="282">
        <v>17.313341416272394</v>
      </c>
      <c r="E279" s="181">
        <f t="shared" si="8"/>
        <v>1.2358447011686804</v>
      </c>
      <c r="F279" s="208" t="str">
        <f t="shared" si="9"/>
        <v/>
      </c>
    </row>
    <row r="280" spans="1:6">
      <c r="A280">
        <v>277</v>
      </c>
      <c r="B280" s="46">
        <v>44047</v>
      </c>
      <c r="C280" s="282">
        <v>0.99304470116868471</v>
      </c>
      <c r="D280" s="282">
        <v>17.313341416272394</v>
      </c>
      <c r="E280" s="181">
        <f t="shared" si="8"/>
        <v>0.99304470116868471</v>
      </c>
      <c r="F280" s="208" t="str">
        <f t="shared" si="9"/>
        <v/>
      </c>
    </row>
    <row r="281" spans="1:6">
      <c r="A281">
        <v>278</v>
      </c>
      <c r="B281" s="46">
        <v>44048</v>
      </c>
      <c r="C281" s="282">
        <v>1.2502095372110635</v>
      </c>
      <c r="D281" s="282">
        <v>17.313341416272394</v>
      </c>
      <c r="E281" s="181">
        <f t="shared" si="8"/>
        <v>1.2502095372110635</v>
      </c>
      <c r="F281" s="208" t="str">
        <f t="shared" si="9"/>
        <v/>
      </c>
    </row>
    <row r="282" spans="1:6">
      <c r="A282">
        <v>279</v>
      </c>
      <c r="B282" s="46">
        <v>44049</v>
      </c>
      <c r="C282" s="282">
        <v>5.0392095372054753</v>
      </c>
      <c r="D282" s="282">
        <v>17.313341416272394</v>
      </c>
      <c r="E282" s="181">
        <f t="shared" si="8"/>
        <v>5.0392095372054753</v>
      </c>
      <c r="F282" s="208" t="str">
        <f t="shared" si="9"/>
        <v/>
      </c>
    </row>
    <row r="283" spans="1:6">
      <c r="A283">
        <v>280</v>
      </c>
      <c r="B283" s="46">
        <v>44050</v>
      </c>
      <c r="C283" s="282">
        <v>6.6257095372054753</v>
      </c>
      <c r="D283" s="282">
        <v>17.313341416272394</v>
      </c>
      <c r="E283" s="181">
        <f t="shared" si="8"/>
        <v>6.6257095372054753</v>
      </c>
      <c r="F283" s="208" t="str">
        <f t="shared" si="9"/>
        <v/>
      </c>
    </row>
    <row r="284" spans="1:6">
      <c r="A284">
        <v>281</v>
      </c>
      <c r="B284" s="46">
        <v>44051</v>
      </c>
      <c r="C284" s="282">
        <v>4.2226095372110573</v>
      </c>
      <c r="D284" s="282">
        <v>17.313341416272394</v>
      </c>
      <c r="E284" s="181">
        <f t="shared" si="8"/>
        <v>4.2226095372110573</v>
      </c>
      <c r="F284" s="208" t="str">
        <f t="shared" si="9"/>
        <v/>
      </c>
    </row>
    <row r="285" spans="1:6">
      <c r="A285">
        <v>282</v>
      </c>
      <c r="B285" s="46">
        <v>44052</v>
      </c>
      <c r="C285" s="282">
        <v>1.3989095372073352</v>
      </c>
      <c r="D285" s="282">
        <v>17.313341416272394</v>
      </c>
      <c r="E285" s="181">
        <f t="shared" si="8"/>
        <v>1.3989095372073352</v>
      </c>
      <c r="F285" s="208" t="str">
        <f t="shared" si="9"/>
        <v/>
      </c>
    </row>
    <row r="286" spans="1:6">
      <c r="A286">
        <v>283</v>
      </c>
      <c r="B286" s="46">
        <v>44053</v>
      </c>
      <c r="C286" s="282">
        <v>1.9705095372091965</v>
      </c>
      <c r="D286" s="282">
        <v>17.313341416272394</v>
      </c>
      <c r="E286" s="181">
        <f t="shared" si="8"/>
        <v>1.9705095372091965</v>
      </c>
      <c r="F286" s="208" t="str">
        <f t="shared" si="9"/>
        <v/>
      </c>
    </row>
    <row r="287" spans="1:6">
      <c r="A287">
        <v>284</v>
      </c>
      <c r="B287" s="46">
        <v>44054</v>
      </c>
      <c r="C287" s="282">
        <v>9.8279095372073346</v>
      </c>
      <c r="D287" s="282">
        <v>17.313341416272394</v>
      </c>
      <c r="E287" s="181">
        <f t="shared" si="8"/>
        <v>9.8279095372073346</v>
      </c>
      <c r="F287" s="208" t="str">
        <f t="shared" si="9"/>
        <v/>
      </c>
    </row>
    <row r="288" spans="1:6">
      <c r="A288">
        <v>285</v>
      </c>
      <c r="B288" s="46">
        <v>44055</v>
      </c>
      <c r="C288" s="282">
        <v>16.179420477262887</v>
      </c>
      <c r="D288" s="282">
        <v>17.313341416272394</v>
      </c>
      <c r="E288" s="181">
        <f t="shared" si="8"/>
        <v>16.179420477262887</v>
      </c>
      <c r="F288" s="208" t="str">
        <f t="shared" si="9"/>
        <v/>
      </c>
    </row>
    <row r="289" spans="1:7">
      <c r="A289">
        <v>286</v>
      </c>
      <c r="B289" s="46">
        <v>44056</v>
      </c>
      <c r="C289" s="282">
        <v>46.312220477261029</v>
      </c>
      <c r="D289" s="282">
        <v>17.313341416272394</v>
      </c>
      <c r="E289" s="181">
        <f t="shared" si="8"/>
        <v>17.313341416272394</v>
      </c>
      <c r="F289" s="208" t="str">
        <f t="shared" si="9"/>
        <v/>
      </c>
    </row>
    <row r="290" spans="1:7">
      <c r="A290">
        <v>287</v>
      </c>
      <c r="B290" s="46">
        <v>44057</v>
      </c>
      <c r="C290" s="282">
        <v>19.582720477262889</v>
      </c>
      <c r="D290" s="282">
        <v>17.313341416272394</v>
      </c>
      <c r="E290" s="181">
        <f t="shared" si="8"/>
        <v>17.313341416272394</v>
      </c>
      <c r="F290" s="208" t="str">
        <f t="shared" si="9"/>
        <v/>
      </c>
    </row>
    <row r="291" spans="1:7">
      <c r="A291">
        <v>288</v>
      </c>
      <c r="B291" s="46">
        <v>44058</v>
      </c>
      <c r="C291" s="282">
        <v>7.3201204772628845</v>
      </c>
      <c r="D291" s="282">
        <v>17.313341416272394</v>
      </c>
      <c r="E291" s="181">
        <f t="shared" si="8"/>
        <v>7.3201204772628845</v>
      </c>
      <c r="F291" s="208" t="str">
        <f>IF(DAY(B291)=15,IF(MONTH(B291)=1,"E",IF(MONTH(B291)=2,"F",IF(MONTH(B291)=3,"M",IF(MONTH(B291)=4,"A",IF(MONTH(B291)=5,"M",IF(MONTH(B291)=6,"J",IF(MONTH(B291)=7,"J",IF(MONTH(B291)=8,"A",IF(MONTH(B291)=9,"S",IF(MONTH(B291)=10,"O",IF(MONTH(B291)=11,"N",IF(MONTH(B291)=12,"D","")))))))))))),"")</f>
        <v>A</v>
      </c>
      <c r="G291" s="209">
        <f>IF(DAY(B291)=15,D291,"")</f>
        <v>17.313341416272394</v>
      </c>
    </row>
    <row r="292" spans="1:7">
      <c r="A292">
        <v>289</v>
      </c>
      <c r="B292" s="46">
        <v>44059</v>
      </c>
      <c r="C292" s="282">
        <v>4.2417204772591575</v>
      </c>
      <c r="D292" s="282">
        <v>17.313341416272394</v>
      </c>
      <c r="E292" s="181">
        <f t="shared" si="8"/>
        <v>4.2417204772591575</v>
      </c>
      <c r="F292" s="208" t="str">
        <f t="shared" si="9"/>
        <v/>
      </c>
    </row>
    <row r="293" spans="1:7">
      <c r="A293">
        <v>290</v>
      </c>
      <c r="B293" s="46">
        <v>44060</v>
      </c>
      <c r="C293" s="282">
        <v>15.838020477262885</v>
      </c>
      <c r="D293" s="282">
        <v>17.313341416272394</v>
      </c>
      <c r="E293" s="181">
        <f t="shared" si="8"/>
        <v>15.838020477262885</v>
      </c>
      <c r="F293" s="208" t="str">
        <f t="shared" si="9"/>
        <v/>
      </c>
    </row>
    <row r="294" spans="1:7">
      <c r="A294">
        <v>291</v>
      </c>
      <c r="B294" s="46">
        <v>44061</v>
      </c>
      <c r="C294" s="282">
        <v>30.79082047726288</v>
      </c>
      <c r="D294" s="282">
        <v>17.313341416272394</v>
      </c>
      <c r="E294" s="181">
        <f t="shared" si="8"/>
        <v>17.313341416272394</v>
      </c>
      <c r="F294" s="208" t="str">
        <f t="shared" si="9"/>
        <v/>
      </c>
    </row>
    <row r="295" spans="1:7">
      <c r="A295">
        <v>292</v>
      </c>
      <c r="B295" s="46">
        <v>44062</v>
      </c>
      <c r="C295" s="282">
        <v>6.3324321625173106</v>
      </c>
      <c r="D295" s="282">
        <v>17.313341416272394</v>
      </c>
      <c r="E295" s="181">
        <f t="shared" si="8"/>
        <v>6.3324321625173106</v>
      </c>
      <c r="F295" s="208" t="str">
        <f t="shared" si="9"/>
        <v/>
      </c>
    </row>
    <row r="296" spans="1:7">
      <c r="A296">
        <v>293</v>
      </c>
      <c r="B296" s="46">
        <v>44063</v>
      </c>
      <c r="C296" s="282">
        <v>5.5617321625191689</v>
      </c>
      <c r="D296" s="282">
        <v>17.313341416272394</v>
      </c>
      <c r="E296" s="181">
        <f t="shared" si="8"/>
        <v>5.5617321625191689</v>
      </c>
      <c r="F296" s="208" t="str">
        <f t="shared" si="9"/>
        <v/>
      </c>
    </row>
    <row r="297" spans="1:7">
      <c r="A297">
        <v>294</v>
      </c>
      <c r="B297" s="46">
        <v>44064</v>
      </c>
      <c r="C297" s="282">
        <v>10.257532162519173</v>
      </c>
      <c r="D297" s="282">
        <v>17.313341416272394</v>
      </c>
      <c r="E297" s="181">
        <f t="shared" si="8"/>
        <v>10.257532162519173</v>
      </c>
      <c r="F297" s="208" t="str">
        <f t="shared" si="9"/>
        <v/>
      </c>
    </row>
    <row r="298" spans="1:7">
      <c r="A298">
        <v>295</v>
      </c>
      <c r="B298" s="46">
        <v>44065</v>
      </c>
      <c r="C298" s="282">
        <v>4.6552321625173061</v>
      </c>
      <c r="D298" s="282">
        <v>17.313341416272394</v>
      </c>
      <c r="E298" s="181">
        <f t="shared" si="8"/>
        <v>4.6552321625173061</v>
      </c>
      <c r="F298" s="208" t="str">
        <f t="shared" si="9"/>
        <v/>
      </c>
    </row>
    <row r="299" spans="1:7">
      <c r="A299">
        <v>296</v>
      </c>
      <c r="B299" s="46">
        <v>44066</v>
      </c>
      <c r="C299" s="282">
        <v>5.450232162517306</v>
      </c>
      <c r="D299" s="282">
        <v>17.313341416272394</v>
      </c>
      <c r="E299" s="181">
        <f t="shared" si="8"/>
        <v>5.450232162517306</v>
      </c>
      <c r="F299" s="208" t="str">
        <f t="shared" si="9"/>
        <v/>
      </c>
    </row>
    <row r="300" spans="1:7">
      <c r="A300">
        <v>297</v>
      </c>
      <c r="B300" s="46">
        <v>44067</v>
      </c>
      <c r="C300" s="282">
        <v>7.4565321625191716</v>
      </c>
      <c r="D300" s="282">
        <v>17.313341416272394</v>
      </c>
      <c r="E300" s="181">
        <f t="shared" si="8"/>
        <v>7.4565321625191716</v>
      </c>
      <c r="F300" s="208" t="str">
        <f t="shared" si="9"/>
        <v/>
      </c>
    </row>
    <row r="301" spans="1:7">
      <c r="A301">
        <v>298</v>
      </c>
      <c r="B301" s="46">
        <v>44068</v>
      </c>
      <c r="C301" s="282">
        <v>24.78173216251917</v>
      </c>
      <c r="D301" s="282">
        <v>17.313341416272394</v>
      </c>
      <c r="E301" s="181">
        <f t="shared" si="8"/>
        <v>17.313341416272394</v>
      </c>
      <c r="F301" s="208" t="str">
        <f t="shared" si="9"/>
        <v/>
      </c>
    </row>
    <row r="302" spans="1:7">
      <c r="A302">
        <v>299</v>
      </c>
      <c r="B302" s="46">
        <v>44069</v>
      </c>
      <c r="C302" s="282">
        <v>31.584529551378264</v>
      </c>
      <c r="D302" s="282">
        <v>17.313341416272394</v>
      </c>
      <c r="E302" s="181">
        <f t="shared" si="8"/>
        <v>17.313341416272394</v>
      </c>
      <c r="F302" s="208" t="str">
        <f t="shared" si="9"/>
        <v/>
      </c>
    </row>
    <row r="303" spans="1:7">
      <c r="A303">
        <v>300</v>
      </c>
      <c r="B303" s="46">
        <v>44070</v>
      </c>
      <c r="C303" s="282">
        <v>11.699929551380134</v>
      </c>
      <c r="D303" s="282">
        <v>17.313341416272394</v>
      </c>
      <c r="E303" s="181">
        <f t="shared" si="8"/>
        <v>11.699929551380134</v>
      </c>
      <c r="F303" s="208" t="str">
        <f t="shared" si="9"/>
        <v/>
      </c>
    </row>
    <row r="304" spans="1:7">
      <c r="A304">
        <v>301</v>
      </c>
      <c r="B304" s="46">
        <v>44071</v>
      </c>
      <c r="C304" s="282">
        <v>7.1733295513819906</v>
      </c>
      <c r="D304" s="282">
        <v>17.313341416272394</v>
      </c>
      <c r="E304" s="181">
        <f t="shared" si="8"/>
        <v>7.1733295513819906</v>
      </c>
      <c r="F304" s="208" t="str">
        <f t="shared" si="9"/>
        <v/>
      </c>
    </row>
    <row r="305" spans="1:6">
      <c r="A305">
        <v>302</v>
      </c>
      <c r="B305" s="46">
        <v>44072</v>
      </c>
      <c r="C305" s="282">
        <v>1.4501295513764052</v>
      </c>
      <c r="D305" s="282">
        <v>17.313341416272394</v>
      </c>
      <c r="E305" s="181">
        <f t="shared" si="8"/>
        <v>1.4501295513764052</v>
      </c>
      <c r="F305" s="208" t="str">
        <f t="shared" si="9"/>
        <v/>
      </c>
    </row>
    <row r="306" spans="1:6">
      <c r="A306">
        <v>303</v>
      </c>
      <c r="B306" s="46">
        <v>44073</v>
      </c>
      <c r="C306" s="282">
        <v>1.4524295513838514</v>
      </c>
      <c r="D306" s="282">
        <v>17.313341416272394</v>
      </c>
      <c r="E306" s="181">
        <f t="shared" si="8"/>
        <v>1.4524295513838514</v>
      </c>
      <c r="F306" s="208" t="str">
        <f t="shared" si="9"/>
        <v/>
      </c>
    </row>
    <row r="307" spans="1:6">
      <c r="A307">
        <v>304</v>
      </c>
      <c r="B307" s="46">
        <v>44074</v>
      </c>
      <c r="C307" s="282">
        <v>1.3377295513782665</v>
      </c>
      <c r="D307" s="282">
        <v>17.313341416272394</v>
      </c>
      <c r="E307" s="181">
        <f t="shared" si="8"/>
        <v>1.3377295513782665</v>
      </c>
      <c r="F307" s="208" t="str">
        <f t="shared" si="9"/>
        <v/>
      </c>
    </row>
    <row r="308" spans="1:6">
      <c r="A308">
        <v>305</v>
      </c>
      <c r="B308" s="46">
        <v>44075</v>
      </c>
      <c r="C308" s="282">
        <v>9.8079295513782636</v>
      </c>
      <c r="D308" s="282">
        <v>20.95959048014743</v>
      </c>
      <c r="E308" s="181">
        <f t="shared" si="8"/>
        <v>9.8079295513782636</v>
      </c>
      <c r="F308" s="208" t="str">
        <f t="shared" si="9"/>
        <v/>
      </c>
    </row>
    <row r="309" spans="1:6">
      <c r="A309">
        <v>306</v>
      </c>
      <c r="B309" s="46">
        <v>44076</v>
      </c>
      <c r="C309" s="282">
        <v>19.966084909409286</v>
      </c>
      <c r="D309" s="282">
        <v>20.95959048014743</v>
      </c>
      <c r="E309" s="181">
        <f t="shared" si="8"/>
        <v>19.966084909409286</v>
      </c>
      <c r="F309" s="208" t="str">
        <f t="shared" si="9"/>
        <v/>
      </c>
    </row>
    <row r="310" spans="1:6">
      <c r="A310">
        <v>307</v>
      </c>
      <c r="B310" s="46">
        <v>44077</v>
      </c>
      <c r="C310" s="282">
        <v>24.446284909405556</v>
      </c>
      <c r="D310" s="282">
        <v>20.95959048014743</v>
      </c>
      <c r="E310" s="181">
        <f t="shared" si="8"/>
        <v>20.95959048014743</v>
      </c>
      <c r="F310" s="208" t="str">
        <f t="shared" si="9"/>
        <v/>
      </c>
    </row>
    <row r="311" spans="1:6">
      <c r="A311">
        <v>308</v>
      </c>
      <c r="B311" s="46">
        <v>44078</v>
      </c>
      <c r="C311" s="282">
        <v>14.10968490940742</v>
      </c>
      <c r="D311" s="282">
        <v>20.95959048014743</v>
      </c>
      <c r="E311" s="181">
        <f t="shared" si="8"/>
        <v>14.10968490940742</v>
      </c>
      <c r="F311" s="208" t="str">
        <f t="shared" si="9"/>
        <v/>
      </c>
    </row>
    <row r="312" spans="1:6">
      <c r="A312">
        <v>309</v>
      </c>
      <c r="B312" s="46">
        <v>44079</v>
      </c>
      <c r="C312" s="282">
        <v>6.4796849094055577</v>
      </c>
      <c r="D312" s="282">
        <v>20.95959048014743</v>
      </c>
      <c r="E312" s="181">
        <f t="shared" si="8"/>
        <v>6.4796849094055577</v>
      </c>
      <c r="F312" s="208" t="str">
        <f t="shared" si="9"/>
        <v/>
      </c>
    </row>
    <row r="313" spans="1:6">
      <c r="A313">
        <v>310</v>
      </c>
      <c r="B313" s="46">
        <v>44080</v>
      </c>
      <c r="C313" s="282">
        <v>2.191584909407422</v>
      </c>
      <c r="D313" s="282">
        <v>20.95959048014743</v>
      </c>
      <c r="E313" s="181">
        <f t="shared" si="8"/>
        <v>2.191584909407422</v>
      </c>
      <c r="F313" s="208" t="str">
        <f t="shared" si="9"/>
        <v/>
      </c>
    </row>
    <row r="314" spans="1:6">
      <c r="A314">
        <v>311</v>
      </c>
      <c r="B314" s="46">
        <v>44081</v>
      </c>
      <c r="C314" s="282">
        <v>1.8539849094055607</v>
      </c>
      <c r="D314" s="282">
        <v>20.95959048014743</v>
      </c>
      <c r="E314" s="181">
        <f t="shared" si="8"/>
        <v>1.8539849094055607</v>
      </c>
      <c r="F314" s="208" t="str">
        <f t="shared" si="9"/>
        <v/>
      </c>
    </row>
    <row r="315" spans="1:6">
      <c r="A315">
        <v>312</v>
      </c>
      <c r="B315" s="46">
        <v>44082</v>
      </c>
      <c r="C315" s="282">
        <v>10.339484909407423</v>
      </c>
      <c r="D315" s="282">
        <v>20.95959048014743</v>
      </c>
      <c r="E315" s="181">
        <f t="shared" si="8"/>
        <v>10.339484909407423</v>
      </c>
      <c r="F315" s="208" t="str">
        <f t="shared" si="9"/>
        <v/>
      </c>
    </row>
    <row r="316" spans="1:6">
      <c r="A316">
        <v>313</v>
      </c>
      <c r="B316" s="46">
        <v>44083</v>
      </c>
      <c r="C316" s="282">
        <v>22.892920741324122</v>
      </c>
      <c r="D316" s="282">
        <v>20.95959048014743</v>
      </c>
      <c r="E316" s="181">
        <f t="shared" si="8"/>
        <v>20.95959048014743</v>
      </c>
      <c r="F316" s="208" t="str">
        <f t="shared" si="9"/>
        <v/>
      </c>
    </row>
    <row r="317" spans="1:6">
      <c r="A317">
        <v>314</v>
      </c>
      <c r="B317" s="46">
        <v>44084</v>
      </c>
      <c r="C317" s="282">
        <v>17.659020741325993</v>
      </c>
      <c r="D317" s="282">
        <v>20.95959048014743</v>
      </c>
      <c r="E317" s="181">
        <f t="shared" si="8"/>
        <v>17.659020741325993</v>
      </c>
      <c r="F317" s="208" t="str">
        <f t="shared" si="9"/>
        <v/>
      </c>
    </row>
    <row r="318" spans="1:6">
      <c r="A318">
        <v>315</v>
      </c>
      <c r="B318" s="46">
        <v>44085</v>
      </c>
      <c r="C318" s="282">
        <v>14.349120741322265</v>
      </c>
      <c r="D318" s="282">
        <v>20.95959048014743</v>
      </c>
      <c r="E318" s="181">
        <f t="shared" si="8"/>
        <v>14.349120741322265</v>
      </c>
      <c r="F318" s="208" t="str">
        <f t="shared" si="9"/>
        <v/>
      </c>
    </row>
    <row r="319" spans="1:6">
      <c r="A319">
        <v>316</v>
      </c>
      <c r="B319" s="46">
        <v>44086</v>
      </c>
      <c r="C319" s="282">
        <v>2.5634207413259866</v>
      </c>
      <c r="D319" s="282">
        <v>20.95959048014743</v>
      </c>
      <c r="E319" s="181">
        <f t="shared" si="8"/>
        <v>2.5634207413259866</v>
      </c>
      <c r="F319" s="208" t="str">
        <f t="shared" si="9"/>
        <v/>
      </c>
    </row>
    <row r="320" spans="1:6">
      <c r="A320">
        <v>317</v>
      </c>
      <c r="B320" s="46">
        <v>44087</v>
      </c>
      <c r="C320" s="282">
        <v>1.4610207413222669</v>
      </c>
      <c r="D320" s="282">
        <v>20.95959048014743</v>
      </c>
      <c r="E320" s="181">
        <f t="shared" si="8"/>
        <v>1.4610207413222669</v>
      </c>
      <c r="F320" s="208" t="str">
        <f t="shared" si="9"/>
        <v/>
      </c>
    </row>
    <row r="321" spans="1:7">
      <c r="A321">
        <v>318</v>
      </c>
      <c r="B321" s="46">
        <v>44088</v>
      </c>
      <c r="C321" s="282">
        <v>22.386220741325989</v>
      </c>
      <c r="D321" s="282">
        <v>20.95959048014743</v>
      </c>
      <c r="E321" s="181">
        <f t="shared" si="8"/>
        <v>20.95959048014743</v>
      </c>
      <c r="F321" s="208" t="str">
        <f t="shared" si="9"/>
        <v/>
      </c>
    </row>
    <row r="322" spans="1:7">
      <c r="A322">
        <v>319</v>
      </c>
      <c r="B322" s="46">
        <v>44089</v>
      </c>
      <c r="C322" s="282">
        <v>36.317120741324118</v>
      </c>
      <c r="D322" s="282">
        <v>20.95959048014743</v>
      </c>
      <c r="E322" s="181">
        <f t="shared" si="8"/>
        <v>20.95959048014743</v>
      </c>
      <c r="F322" s="208" t="str">
        <f t="shared" si="9"/>
        <v>S</v>
      </c>
      <c r="G322" s="209">
        <f>IF(DAY(B322)=15,D322,"")</f>
        <v>20.95959048014743</v>
      </c>
    </row>
    <row r="323" spans="1:7">
      <c r="A323">
        <v>320</v>
      </c>
      <c r="B323" s="46">
        <v>44090</v>
      </c>
      <c r="C323" s="282">
        <v>48.998136673035098</v>
      </c>
      <c r="D323" s="282">
        <v>20.95959048014743</v>
      </c>
      <c r="E323" s="181">
        <f t="shared" si="8"/>
        <v>20.95959048014743</v>
      </c>
      <c r="F323" s="208" t="str">
        <f t="shared" si="9"/>
        <v/>
      </c>
    </row>
    <row r="324" spans="1:7">
      <c r="A324">
        <v>321</v>
      </c>
      <c r="B324" s="46">
        <v>44091</v>
      </c>
      <c r="C324" s="282">
        <v>23.226636673033237</v>
      </c>
      <c r="D324" s="282">
        <v>20.95959048014743</v>
      </c>
      <c r="E324" s="181">
        <f t="shared" ref="E324:E387" si="10">IF(C324&lt;D324,C324,D324)</f>
        <v>20.95959048014743</v>
      </c>
      <c r="F324" s="208" t="str">
        <f t="shared" ref="F324:F387" si="11">IF(DAY(B324)=15,IF(MONTH(B324)=1,"E",IF(MONTH(B324)=2,"F",IF(MONTH(B324)=3,"M",IF(MONTH(B324)=4,"A",IF(MONTH(B324)=5,"M",IF(MONTH(B324)=6,"J",IF(MONTH(B324)=7,"J",IF(MONTH(B324)=8,"A",IF(MONTH(B324)=9,"S",IF(MONTH(B324)=10,"O",IF(MONTH(B324)=11,"N",IF(MONTH(B324)=12,"D","")))))))))))),"")</f>
        <v/>
      </c>
    </row>
    <row r="325" spans="1:7">
      <c r="A325">
        <v>322</v>
      </c>
      <c r="B325" s="46">
        <v>44092</v>
      </c>
      <c r="C325" s="282">
        <v>17.120136673036964</v>
      </c>
      <c r="D325" s="282">
        <v>20.95959048014743</v>
      </c>
      <c r="E325" s="181">
        <f t="shared" si="10"/>
        <v>17.120136673036964</v>
      </c>
      <c r="F325" s="208" t="str">
        <f t="shared" si="11"/>
        <v/>
      </c>
    </row>
    <row r="326" spans="1:7">
      <c r="A326">
        <v>323</v>
      </c>
      <c r="B326" s="46">
        <v>44093</v>
      </c>
      <c r="C326" s="282">
        <v>7.4920366730351011</v>
      </c>
      <c r="D326" s="282">
        <v>20.95959048014743</v>
      </c>
      <c r="E326" s="181">
        <f t="shared" si="10"/>
        <v>7.4920366730351011</v>
      </c>
      <c r="F326" s="208" t="str">
        <f t="shared" si="11"/>
        <v/>
      </c>
    </row>
    <row r="327" spans="1:7">
      <c r="A327">
        <v>324</v>
      </c>
      <c r="B327" s="46">
        <v>44094</v>
      </c>
      <c r="C327" s="282">
        <v>6.3300366730351012</v>
      </c>
      <c r="D327" s="282">
        <v>20.95959048014743</v>
      </c>
      <c r="E327" s="181">
        <f t="shared" si="10"/>
        <v>6.3300366730351012</v>
      </c>
      <c r="F327" s="208" t="str">
        <f t="shared" si="11"/>
        <v/>
      </c>
    </row>
    <row r="328" spans="1:7">
      <c r="A328">
        <v>325</v>
      </c>
      <c r="B328" s="46">
        <v>44095</v>
      </c>
      <c r="C328" s="282">
        <v>29.449836673035097</v>
      </c>
      <c r="D328" s="282">
        <v>20.95959048014743</v>
      </c>
      <c r="E328" s="181">
        <f t="shared" si="10"/>
        <v>20.95959048014743</v>
      </c>
      <c r="F328" s="208" t="str">
        <f t="shared" si="11"/>
        <v/>
      </c>
    </row>
    <row r="329" spans="1:7">
      <c r="A329">
        <v>326</v>
      </c>
      <c r="B329" s="46">
        <v>44096</v>
      </c>
      <c r="C329" s="282">
        <v>41.022236673035103</v>
      </c>
      <c r="D329" s="282">
        <v>20.95959048014743</v>
      </c>
      <c r="E329" s="181">
        <f t="shared" si="10"/>
        <v>20.95959048014743</v>
      </c>
      <c r="F329" s="208" t="str">
        <f t="shared" si="11"/>
        <v/>
      </c>
    </row>
    <row r="330" spans="1:7">
      <c r="A330">
        <v>327</v>
      </c>
      <c r="B330" s="46">
        <v>44097</v>
      </c>
      <c r="C330" s="282">
        <v>47.506582213733346</v>
      </c>
      <c r="D330" s="282">
        <v>20.95959048014743</v>
      </c>
      <c r="E330" s="181">
        <f t="shared" si="10"/>
        <v>20.95959048014743</v>
      </c>
      <c r="F330" s="208" t="str">
        <f t="shared" si="11"/>
        <v/>
      </c>
    </row>
    <row r="331" spans="1:7">
      <c r="A331">
        <v>328</v>
      </c>
      <c r="B331" s="46">
        <v>44098</v>
      </c>
      <c r="C331" s="282">
        <v>28.103082213733344</v>
      </c>
      <c r="D331" s="282">
        <v>20.95959048014743</v>
      </c>
      <c r="E331" s="181">
        <f t="shared" si="10"/>
        <v>20.95959048014743</v>
      </c>
      <c r="F331" s="208" t="str">
        <f t="shared" si="11"/>
        <v/>
      </c>
    </row>
    <row r="332" spans="1:7">
      <c r="A332">
        <v>329</v>
      </c>
      <c r="B332" s="46">
        <v>44099</v>
      </c>
      <c r="C332" s="282">
        <v>14.233182213735207</v>
      </c>
      <c r="D332" s="282">
        <v>20.95959048014743</v>
      </c>
      <c r="E332" s="181">
        <f t="shared" si="10"/>
        <v>14.233182213735207</v>
      </c>
      <c r="F332" s="208" t="str">
        <f t="shared" si="11"/>
        <v/>
      </c>
    </row>
    <row r="333" spans="1:7">
      <c r="A333">
        <v>330</v>
      </c>
      <c r="B333" s="46">
        <v>44100</v>
      </c>
      <c r="C333" s="282">
        <v>9.809582213731483</v>
      </c>
      <c r="D333" s="282">
        <v>20.95959048014743</v>
      </c>
      <c r="E333" s="181">
        <f t="shared" si="10"/>
        <v>9.809582213731483</v>
      </c>
      <c r="F333" s="208" t="str">
        <f t="shared" si="11"/>
        <v/>
      </c>
    </row>
    <row r="334" spans="1:7">
      <c r="A334">
        <v>331</v>
      </c>
      <c r="B334" s="46">
        <v>44101</v>
      </c>
      <c r="C334" s="282">
        <v>13.20448221373521</v>
      </c>
      <c r="D334" s="282">
        <v>20.95959048014743</v>
      </c>
      <c r="E334" s="181">
        <f t="shared" si="10"/>
        <v>13.20448221373521</v>
      </c>
      <c r="F334" s="208" t="str">
        <f t="shared" si="11"/>
        <v/>
      </c>
    </row>
    <row r="335" spans="1:7">
      <c r="A335">
        <v>332</v>
      </c>
      <c r="B335" s="46">
        <v>44102</v>
      </c>
      <c r="C335" s="282">
        <v>20.889882213735209</v>
      </c>
      <c r="D335" s="282">
        <v>20.95959048014743</v>
      </c>
      <c r="E335" s="181">
        <f t="shared" si="10"/>
        <v>20.889882213735209</v>
      </c>
      <c r="F335" s="208" t="str">
        <f t="shared" si="11"/>
        <v/>
      </c>
    </row>
    <row r="336" spans="1:7">
      <c r="A336">
        <v>333</v>
      </c>
      <c r="B336" s="46">
        <v>44103</v>
      </c>
      <c r="C336" s="282">
        <v>31.569082213735207</v>
      </c>
      <c r="D336" s="282">
        <v>20.95959048014743</v>
      </c>
      <c r="E336" s="181">
        <f t="shared" si="10"/>
        <v>20.95959048014743</v>
      </c>
      <c r="F336" s="208" t="str">
        <f t="shared" si="11"/>
        <v/>
      </c>
    </row>
    <row r="337" spans="1:7">
      <c r="A337">
        <v>334</v>
      </c>
      <c r="B337" s="46">
        <v>44104</v>
      </c>
      <c r="C337" s="282">
        <v>49.51678041639812</v>
      </c>
      <c r="D337" s="282">
        <v>20.95959048014743</v>
      </c>
      <c r="E337" s="181">
        <f t="shared" si="10"/>
        <v>20.95959048014743</v>
      </c>
      <c r="F337" s="208" t="str">
        <f t="shared" si="11"/>
        <v/>
      </c>
    </row>
    <row r="338" spans="1:7">
      <c r="A338">
        <v>335</v>
      </c>
      <c r="B338" s="46">
        <v>44105</v>
      </c>
      <c r="C338" s="282">
        <v>34.484280416399983</v>
      </c>
      <c r="D338" s="282">
        <v>41.360965957335978</v>
      </c>
      <c r="E338" s="181">
        <f t="shared" si="10"/>
        <v>34.484280416399983</v>
      </c>
      <c r="F338" s="208" t="str">
        <f t="shared" si="11"/>
        <v/>
      </c>
    </row>
    <row r="339" spans="1:7">
      <c r="A339">
        <v>336</v>
      </c>
      <c r="B339" s="46">
        <v>44106</v>
      </c>
      <c r="C339" s="282">
        <v>33.251180416401844</v>
      </c>
      <c r="D339" s="282">
        <v>41.360965957335978</v>
      </c>
      <c r="E339" s="181">
        <f t="shared" si="10"/>
        <v>33.251180416401844</v>
      </c>
      <c r="F339" s="208" t="str">
        <f t="shared" si="11"/>
        <v/>
      </c>
    </row>
    <row r="340" spans="1:7">
      <c r="A340">
        <v>337</v>
      </c>
      <c r="B340" s="46">
        <v>44107</v>
      </c>
      <c r="C340" s="282">
        <v>31.903780416398121</v>
      </c>
      <c r="D340" s="282">
        <v>41.360965957335978</v>
      </c>
      <c r="E340" s="181">
        <f t="shared" si="10"/>
        <v>31.903780416398121</v>
      </c>
      <c r="F340" s="208" t="str">
        <f t="shared" si="11"/>
        <v/>
      </c>
    </row>
    <row r="341" spans="1:7">
      <c r="A341">
        <v>338</v>
      </c>
      <c r="B341" s="46">
        <v>44108</v>
      </c>
      <c r="C341" s="282">
        <v>32.307580416400917</v>
      </c>
      <c r="D341" s="282">
        <v>41.360965957335978</v>
      </c>
      <c r="E341" s="181">
        <f t="shared" si="10"/>
        <v>32.307580416400917</v>
      </c>
      <c r="F341" s="208" t="str">
        <f t="shared" si="11"/>
        <v/>
      </c>
    </row>
    <row r="342" spans="1:7">
      <c r="A342">
        <v>339</v>
      </c>
      <c r="B342" s="46">
        <v>44109</v>
      </c>
      <c r="C342" s="282">
        <v>36.510980416400919</v>
      </c>
      <c r="D342" s="282">
        <v>41.360965957335978</v>
      </c>
      <c r="E342" s="181">
        <f t="shared" si="10"/>
        <v>36.510980416400919</v>
      </c>
      <c r="F342" s="208" t="str">
        <f t="shared" si="11"/>
        <v/>
      </c>
    </row>
    <row r="343" spans="1:7">
      <c r="A343">
        <v>340</v>
      </c>
      <c r="B343" s="46">
        <v>44110</v>
      </c>
      <c r="C343" s="282">
        <v>44.142080416401846</v>
      </c>
      <c r="D343" s="282">
        <v>41.360965957335978</v>
      </c>
      <c r="E343" s="181">
        <f t="shared" si="10"/>
        <v>41.360965957335978</v>
      </c>
      <c r="F343" s="208" t="str">
        <f t="shared" si="11"/>
        <v/>
      </c>
    </row>
    <row r="344" spans="1:7">
      <c r="A344">
        <v>341</v>
      </c>
      <c r="B344" s="46">
        <v>44111</v>
      </c>
      <c r="C344" s="282">
        <v>51.267975035480411</v>
      </c>
      <c r="D344" s="282">
        <v>41.360965957335978</v>
      </c>
      <c r="E344" s="181">
        <f t="shared" si="10"/>
        <v>41.360965957335978</v>
      </c>
      <c r="F344" s="208" t="str">
        <f t="shared" si="11"/>
        <v/>
      </c>
    </row>
    <row r="345" spans="1:7">
      <c r="A345">
        <v>342</v>
      </c>
      <c r="B345" s="46">
        <v>44112</v>
      </c>
      <c r="C345" s="282">
        <v>57.779175035484137</v>
      </c>
      <c r="D345" s="282">
        <v>41.360965957335978</v>
      </c>
      <c r="E345" s="181">
        <f t="shared" si="10"/>
        <v>41.360965957335978</v>
      </c>
      <c r="F345" s="208" t="str">
        <f t="shared" si="11"/>
        <v/>
      </c>
    </row>
    <row r="346" spans="1:7">
      <c r="A346">
        <v>343</v>
      </c>
      <c r="B346" s="46">
        <v>44113</v>
      </c>
      <c r="C346" s="282">
        <v>58.880275035482278</v>
      </c>
      <c r="D346" s="282">
        <v>41.360965957335978</v>
      </c>
      <c r="E346" s="181">
        <f t="shared" si="10"/>
        <v>41.360965957335978</v>
      </c>
      <c r="F346" s="208" t="str">
        <f t="shared" si="11"/>
        <v/>
      </c>
    </row>
    <row r="347" spans="1:7">
      <c r="A347">
        <v>344</v>
      </c>
      <c r="B347" s="46">
        <v>44114</v>
      </c>
      <c r="C347" s="282">
        <v>31.932175035482274</v>
      </c>
      <c r="D347" s="282">
        <v>41.360965957335978</v>
      </c>
      <c r="E347" s="181">
        <f t="shared" si="10"/>
        <v>31.932175035482274</v>
      </c>
      <c r="F347" s="208" t="str">
        <f t="shared" si="11"/>
        <v/>
      </c>
    </row>
    <row r="348" spans="1:7">
      <c r="A348">
        <v>345</v>
      </c>
      <c r="B348" s="46">
        <v>44115</v>
      </c>
      <c r="C348" s="282">
        <v>27.284175035484136</v>
      </c>
      <c r="D348" s="282">
        <v>41.360965957335978</v>
      </c>
      <c r="E348" s="181">
        <f t="shared" si="10"/>
        <v>27.284175035484136</v>
      </c>
      <c r="F348" s="208" t="str">
        <f t="shared" si="11"/>
        <v/>
      </c>
    </row>
    <row r="349" spans="1:7">
      <c r="A349">
        <v>346</v>
      </c>
      <c r="B349" s="46">
        <v>44116</v>
      </c>
      <c r="C349" s="282">
        <v>33.381475035482275</v>
      </c>
      <c r="D349" s="282">
        <v>41.360965957335978</v>
      </c>
      <c r="E349" s="181">
        <f t="shared" si="10"/>
        <v>33.381475035482275</v>
      </c>
      <c r="F349" s="208" t="str">
        <f t="shared" si="11"/>
        <v/>
      </c>
    </row>
    <row r="350" spans="1:7">
      <c r="A350">
        <v>347</v>
      </c>
      <c r="B350" s="46">
        <v>44117</v>
      </c>
      <c r="C350" s="282">
        <v>56.992775035482268</v>
      </c>
      <c r="D350" s="282">
        <v>41.360965957335978</v>
      </c>
      <c r="E350" s="181">
        <f t="shared" si="10"/>
        <v>41.360965957335978</v>
      </c>
      <c r="F350" s="208" t="str">
        <f t="shared" si="11"/>
        <v/>
      </c>
    </row>
    <row r="351" spans="1:7">
      <c r="A351">
        <v>348</v>
      </c>
      <c r="B351" s="46">
        <v>44118</v>
      </c>
      <c r="C351" s="282">
        <v>40.406737656433137</v>
      </c>
      <c r="D351" s="282">
        <v>41.360965957335978</v>
      </c>
      <c r="E351" s="181">
        <f t="shared" si="10"/>
        <v>40.406737656433137</v>
      </c>
      <c r="F351" s="208" t="str">
        <f t="shared" si="11"/>
        <v/>
      </c>
    </row>
    <row r="352" spans="1:7">
      <c r="A352">
        <v>349</v>
      </c>
      <c r="B352" s="46">
        <v>44119</v>
      </c>
      <c r="C352" s="282">
        <v>49.309937656431266</v>
      </c>
      <c r="D352" s="282">
        <v>41.360965957335978</v>
      </c>
      <c r="E352" s="181">
        <f t="shared" si="10"/>
        <v>41.360965957335978</v>
      </c>
      <c r="F352" s="208" t="str">
        <f>IF(DAY(B352)=15,IF(MONTH(B352)=1,"E",IF(MONTH(B352)=2,"F",IF(MONTH(B352)=3,"M",IF(MONTH(B352)=4,"A",IF(MONTH(B352)=5,"M",IF(MONTH(B352)=6,"J",IF(MONTH(B352)=7,"J",IF(MONTH(B352)=8,"A",IF(MONTH(B352)=9,"S",IF(MONTH(B352)=10,"O",IF(MONTH(B352)=11,"N",IF(MONTH(B352)=12,"D","")))))))))))),"")</f>
        <v>O</v>
      </c>
      <c r="G352" s="209">
        <f>IF(DAY(B352)=15,D352,"")</f>
        <v>41.360965957335978</v>
      </c>
    </row>
    <row r="353" spans="1:6">
      <c r="A353">
        <v>350</v>
      </c>
      <c r="B353" s="46">
        <v>44120</v>
      </c>
      <c r="C353" s="282">
        <v>55.494537656433138</v>
      </c>
      <c r="D353" s="282">
        <v>41.360965957335978</v>
      </c>
      <c r="E353" s="181">
        <f t="shared" si="10"/>
        <v>41.360965957335978</v>
      </c>
      <c r="F353" s="208" t="str">
        <f t="shared" si="11"/>
        <v/>
      </c>
    </row>
    <row r="354" spans="1:6">
      <c r="A354">
        <v>351</v>
      </c>
      <c r="B354" s="46">
        <v>44121</v>
      </c>
      <c r="C354" s="282">
        <v>60.255937656433133</v>
      </c>
      <c r="D354" s="282">
        <v>41.360965957335978</v>
      </c>
      <c r="E354" s="181">
        <f t="shared" si="10"/>
        <v>41.360965957335978</v>
      </c>
      <c r="F354" s="208" t="str">
        <f t="shared" si="11"/>
        <v/>
      </c>
    </row>
    <row r="355" spans="1:6">
      <c r="A355">
        <v>352</v>
      </c>
      <c r="B355" s="46">
        <v>44122</v>
      </c>
      <c r="C355" s="282">
        <v>50.562737656433136</v>
      </c>
      <c r="D355" s="282">
        <v>41.360965957335978</v>
      </c>
      <c r="E355" s="181">
        <f t="shared" si="10"/>
        <v>41.360965957335978</v>
      </c>
      <c r="F355" s="208" t="str">
        <f t="shared" si="11"/>
        <v/>
      </c>
    </row>
    <row r="356" spans="1:6">
      <c r="A356">
        <v>353</v>
      </c>
      <c r="B356" s="46">
        <v>44123</v>
      </c>
      <c r="C356" s="282">
        <v>17.771037656431275</v>
      </c>
      <c r="D356" s="282">
        <v>41.360965957335978</v>
      </c>
      <c r="E356" s="181">
        <f t="shared" si="10"/>
        <v>17.771037656431275</v>
      </c>
      <c r="F356" s="208" t="str">
        <f t="shared" si="11"/>
        <v/>
      </c>
    </row>
    <row r="357" spans="1:6">
      <c r="A357">
        <v>354</v>
      </c>
      <c r="B357" s="46">
        <v>44124</v>
      </c>
      <c r="C357" s="282">
        <v>33.208137656433138</v>
      </c>
      <c r="D357" s="282">
        <v>41.360965957335978</v>
      </c>
      <c r="E357" s="181">
        <f t="shared" si="10"/>
        <v>33.208137656433138</v>
      </c>
      <c r="F357" s="208" t="str">
        <f t="shared" si="11"/>
        <v/>
      </c>
    </row>
    <row r="358" spans="1:6">
      <c r="A358">
        <v>355</v>
      </c>
      <c r="B358" s="46">
        <v>44125</v>
      </c>
      <c r="C358" s="282">
        <v>97.291032216170805</v>
      </c>
      <c r="D358" s="282">
        <v>41.360965957335978</v>
      </c>
      <c r="E358" s="181">
        <f t="shared" si="10"/>
        <v>41.360965957335978</v>
      </c>
      <c r="F358" s="208" t="str">
        <f t="shared" si="11"/>
        <v/>
      </c>
    </row>
    <row r="359" spans="1:6">
      <c r="A359">
        <v>356</v>
      </c>
      <c r="B359" s="46">
        <v>44126</v>
      </c>
      <c r="C359" s="282">
        <v>126.0293322161708</v>
      </c>
      <c r="D359" s="282">
        <v>41.360965957335978</v>
      </c>
      <c r="E359" s="181">
        <f t="shared" si="10"/>
        <v>41.360965957335978</v>
      </c>
      <c r="F359" s="208" t="str">
        <f t="shared" si="11"/>
        <v/>
      </c>
    </row>
    <row r="360" spans="1:6">
      <c r="A360">
        <v>357</v>
      </c>
      <c r="B360" s="46">
        <v>44127</v>
      </c>
      <c r="C360" s="282">
        <v>115.91943221617173</v>
      </c>
      <c r="D360" s="282">
        <v>41.360965957335978</v>
      </c>
      <c r="E360" s="181">
        <f t="shared" si="10"/>
        <v>41.360965957335978</v>
      </c>
      <c r="F360" s="208" t="str">
        <f t="shared" si="11"/>
        <v/>
      </c>
    </row>
    <row r="361" spans="1:6">
      <c r="A361">
        <v>358</v>
      </c>
      <c r="B361" s="46">
        <v>44128</v>
      </c>
      <c r="C361" s="282">
        <v>92.78983221616987</v>
      </c>
      <c r="D361" s="282">
        <v>41.360965957335978</v>
      </c>
      <c r="E361" s="181">
        <f t="shared" si="10"/>
        <v>41.360965957335978</v>
      </c>
      <c r="F361" s="208" t="str">
        <f t="shared" si="11"/>
        <v/>
      </c>
    </row>
    <row r="362" spans="1:6">
      <c r="A362">
        <v>359</v>
      </c>
      <c r="B362" s="46">
        <v>44129</v>
      </c>
      <c r="C362" s="282">
        <v>89.756632216171738</v>
      </c>
      <c r="D362" s="282">
        <v>41.360965957335978</v>
      </c>
      <c r="E362" s="181">
        <f t="shared" si="10"/>
        <v>41.360965957335978</v>
      </c>
      <c r="F362" s="208" t="str">
        <f t="shared" si="11"/>
        <v/>
      </c>
    </row>
    <row r="363" spans="1:6">
      <c r="A363">
        <v>360</v>
      </c>
      <c r="B363" s="46">
        <v>44130</v>
      </c>
      <c r="C363" s="282">
        <v>109.11183221617081</v>
      </c>
      <c r="D363" s="282">
        <v>41.360965957335978</v>
      </c>
      <c r="E363" s="181">
        <f t="shared" si="10"/>
        <v>41.360965957335978</v>
      </c>
      <c r="F363" s="208" t="str">
        <f t="shared" si="11"/>
        <v/>
      </c>
    </row>
    <row r="364" spans="1:6">
      <c r="A364">
        <v>361</v>
      </c>
      <c r="B364" s="46">
        <v>44131</v>
      </c>
      <c r="C364" s="282">
        <v>109.85633221616987</v>
      </c>
      <c r="D364" s="282">
        <v>41.360965957335978</v>
      </c>
      <c r="E364" s="181">
        <f t="shared" si="10"/>
        <v>41.360965957335978</v>
      </c>
      <c r="F364" s="208" t="str">
        <f t="shared" si="11"/>
        <v/>
      </c>
    </row>
    <row r="365" spans="1:6">
      <c r="A365">
        <v>362</v>
      </c>
      <c r="B365" s="46">
        <v>44132</v>
      </c>
      <c r="C365" s="282">
        <v>97.513333258563279</v>
      </c>
      <c r="D365" s="282">
        <v>41.360965957335978</v>
      </c>
      <c r="E365" s="181">
        <f t="shared" si="10"/>
        <v>41.360965957335978</v>
      </c>
      <c r="F365" s="208" t="str">
        <f t="shared" si="11"/>
        <v/>
      </c>
    </row>
    <row r="366" spans="1:6">
      <c r="A366">
        <v>363</v>
      </c>
      <c r="B366" s="46">
        <v>44133</v>
      </c>
      <c r="C366" s="282">
        <v>100.72623325856142</v>
      </c>
      <c r="D366" s="282">
        <v>41.360965957335978</v>
      </c>
      <c r="E366" s="181">
        <f t="shared" si="10"/>
        <v>41.360965957335978</v>
      </c>
      <c r="F366" s="208" t="str">
        <f t="shared" si="11"/>
        <v/>
      </c>
    </row>
    <row r="367" spans="1:6">
      <c r="A367">
        <v>364</v>
      </c>
      <c r="B367" s="46">
        <v>44134</v>
      </c>
      <c r="C367" s="282">
        <v>94.830733258563285</v>
      </c>
      <c r="D367" s="282">
        <v>41.360965957335978</v>
      </c>
      <c r="E367" s="181">
        <f t="shared" si="10"/>
        <v>41.360965957335978</v>
      </c>
      <c r="F367" s="208" t="str">
        <f t="shared" si="11"/>
        <v/>
      </c>
    </row>
    <row r="368" spans="1:6">
      <c r="A368">
        <v>365</v>
      </c>
      <c r="B368" s="46">
        <v>44135</v>
      </c>
      <c r="C368" s="282">
        <v>73.145933258563275</v>
      </c>
      <c r="D368" s="282">
        <v>41.360965957335978</v>
      </c>
      <c r="E368" s="181">
        <f t="shared" si="10"/>
        <v>41.360965957335978</v>
      </c>
      <c r="F368" s="208" t="str">
        <f t="shared" si="11"/>
        <v/>
      </c>
    </row>
    <row r="369" spans="1:7">
      <c r="A369">
        <v>366</v>
      </c>
      <c r="B369" s="46">
        <v>44136</v>
      </c>
      <c r="C369" s="282">
        <v>64.711733258562887</v>
      </c>
      <c r="D369" s="282">
        <v>85.678144231829236</v>
      </c>
      <c r="E369" s="181">
        <f t="shared" si="10"/>
        <v>64.711733258562887</v>
      </c>
      <c r="F369" s="208" t="str">
        <f t="shared" si="11"/>
        <v/>
      </c>
    </row>
    <row r="370" spans="1:7">
      <c r="A370">
        <v>367</v>
      </c>
      <c r="B370" s="46">
        <v>44137</v>
      </c>
      <c r="C370" s="282">
        <v>93.417533258562898</v>
      </c>
      <c r="D370" s="282">
        <v>85.678144231829236</v>
      </c>
      <c r="E370" s="181">
        <f t="shared" si="10"/>
        <v>85.678144231829236</v>
      </c>
      <c r="F370" s="208" t="str">
        <f t="shared" si="11"/>
        <v/>
      </c>
    </row>
    <row r="371" spans="1:7">
      <c r="A371">
        <v>368</v>
      </c>
      <c r="B371" s="46">
        <v>44138</v>
      </c>
      <c r="C371" s="282">
        <v>85.329933258562889</v>
      </c>
      <c r="D371" s="282">
        <v>85.678144231829236</v>
      </c>
      <c r="E371" s="181">
        <f t="shared" si="10"/>
        <v>85.329933258562889</v>
      </c>
      <c r="F371" s="208" t="str">
        <f t="shared" si="11"/>
        <v/>
      </c>
    </row>
    <row r="372" spans="1:7">
      <c r="A372">
        <v>369</v>
      </c>
      <c r="B372" s="46">
        <v>44139</v>
      </c>
      <c r="C372" s="282">
        <v>92.059814019519166</v>
      </c>
      <c r="D372" s="282">
        <v>85.678144231829236</v>
      </c>
      <c r="E372" s="181">
        <f t="shared" si="10"/>
        <v>85.678144231829236</v>
      </c>
      <c r="F372" s="208" t="str">
        <f t="shared" si="11"/>
        <v/>
      </c>
    </row>
    <row r="373" spans="1:7">
      <c r="A373">
        <v>370</v>
      </c>
      <c r="B373" s="46">
        <v>44140</v>
      </c>
      <c r="C373" s="282">
        <v>84.913114019519156</v>
      </c>
      <c r="D373" s="282">
        <v>85.678144231829236</v>
      </c>
      <c r="E373" s="181">
        <f t="shared" si="10"/>
        <v>84.913114019519156</v>
      </c>
      <c r="F373" s="208" t="str">
        <f t="shared" si="11"/>
        <v/>
      </c>
    </row>
    <row r="374" spans="1:7">
      <c r="A374">
        <v>371</v>
      </c>
      <c r="B374" s="46">
        <v>44141</v>
      </c>
      <c r="C374" s="282">
        <v>83.47701401951916</v>
      </c>
      <c r="D374" s="282">
        <v>85.678144231829236</v>
      </c>
      <c r="E374" s="181">
        <f t="shared" si="10"/>
        <v>83.47701401951916</v>
      </c>
      <c r="F374" s="208" t="str">
        <f t="shared" si="11"/>
        <v/>
      </c>
    </row>
    <row r="375" spans="1:7">
      <c r="A375">
        <v>372</v>
      </c>
      <c r="B375" s="46">
        <v>44142</v>
      </c>
      <c r="C375" s="282">
        <v>86.268814019519169</v>
      </c>
      <c r="D375" s="282">
        <v>85.678144231829236</v>
      </c>
      <c r="E375" s="181">
        <f t="shared" si="10"/>
        <v>85.678144231829236</v>
      </c>
      <c r="F375" s="208" t="str">
        <f t="shared" si="11"/>
        <v/>
      </c>
    </row>
    <row r="376" spans="1:7">
      <c r="A376">
        <v>373</v>
      </c>
      <c r="B376" s="46">
        <v>44143</v>
      </c>
      <c r="C376" s="282">
        <v>87.437714019519163</v>
      </c>
      <c r="D376" s="282">
        <v>85.678144231829236</v>
      </c>
      <c r="E376" s="181">
        <f t="shared" si="10"/>
        <v>85.678144231829236</v>
      </c>
      <c r="F376" s="208" t="str">
        <f t="shared" si="11"/>
        <v/>
      </c>
    </row>
    <row r="377" spans="1:7">
      <c r="A377">
        <v>374</v>
      </c>
      <c r="B377" s="46">
        <v>44144</v>
      </c>
      <c r="C377" s="282">
        <v>120.78061401951915</v>
      </c>
      <c r="D377" s="282">
        <v>85.678144231829236</v>
      </c>
      <c r="E377" s="181">
        <f t="shared" si="10"/>
        <v>85.678144231829236</v>
      </c>
      <c r="F377" s="208" t="str">
        <f t="shared" si="11"/>
        <v/>
      </c>
    </row>
    <row r="378" spans="1:7">
      <c r="A378">
        <v>375</v>
      </c>
      <c r="B378" s="46">
        <v>44145</v>
      </c>
      <c r="C378" s="282">
        <v>137.60111401951914</v>
      </c>
      <c r="D378" s="282">
        <v>85.678144231829236</v>
      </c>
      <c r="E378" s="181">
        <f t="shared" si="10"/>
        <v>85.678144231829236</v>
      </c>
      <c r="F378" s="208" t="str">
        <f t="shared" si="11"/>
        <v/>
      </c>
    </row>
    <row r="379" spans="1:7">
      <c r="A379">
        <v>376</v>
      </c>
      <c r="B379" s="46">
        <v>44146</v>
      </c>
      <c r="C379" s="282">
        <v>95.96769465272213</v>
      </c>
      <c r="D379" s="282">
        <v>85.678144231829236</v>
      </c>
      <c r="E379" s="181">
        <f t="shared" si="10"/>
        <v>85.678144231829236</v>
      </c>
      <c r="F379" s="208" t="str">
        <f t="shared" si="11"/>
        <v/>
      </c>
    </row>
    <row r="380" spans="1:7">
      <c r="A380">
        <v>377</v>
      </c>
      <c r="B380" s="46">
        <v>44147</v>
      </c>
      <c r="C380" s="282">
        <v>98.078294652722136</v>
      </c>
      <c r="D380" s="282">
        <v>85.678144231829236</v>
      </c>
      <c r="E380" s="181">
        <f t="shared" si="10"/>
        <v>85.678144231829236</v>
      </c>
      <c r="F380" s="208" t="str">
        <f t="shared" si="11"/>
        <v/>
      </c>
    </row>
    <row r="381" spans="1:7">
      <c r="A381">
        <v>378</v>
      </c>
      <c r="B381" s="46">
        <v>44148</v>
      </c>
      <c r="C381" s="282">
        <v>96.484394652722131</v>
      </c>
      <c r="D381" s="282">
        <v>85.678144231829236</v>
      </c>
      <c r="E381" s="181">
        <f t="shared" si="10"/>
        <v>85.678144231829236</v>
      </c>
      <c r="F381" s="208" t="str">
        <f t="shared" si="11"/>
        <v/>
      </c>
    </row>
    <row r="382" spans="1:7">
      <c r="A382">
        <v>379</v>
      </c>
      <c r="B382" s="46">
        <v>44149</v>
      </c>
      <c r="C382" s="282">
        <v>68.95269465272213</v>
      </c>
      <c r="D382" s="282">
        <v>85.678144231829236</v>
      </c>
      <c r="E382" s="181">
        <f t="shared" si="10"/>
        <v>68.95269465272213</v>
      </c>
      <c r="F382" s="208" t="str">
        <f t="shared" si="11"/>
        <v/>
      </c>
    </row>
    <row r="383" spans="1:7">
      <c r="A383">
        <v>380</v>
      </c>
      <c r="B383" s="46">
        <v>44150</v>
      </c>
      <c r="C383" s="282">
        <v>52.064494652722139</v>
      </c>
      <c r="D383" s="282">
        <v>85.678144231829236</v>
      </c>
      <c r="E383" s="181">
        <f t="shared" si="10"/>
        <v>52.064494652722139</v>
      </c>
      <c r="F383" s="208" t="str">
        <f t="shared" si="11"/>
        <v>N</v>
      </c>
      <c r="G383" s="209">
        <f>IF(DAY(B383)=15,D383,"")</f>
        <v>85.678144231829236</v>
      </c>
    </row>
    <row r="384" spans="1:7">
      <c r="A384">
        <v>381</v>
      </c>
      <c r="B384" s="46">
        <v>44151</v>
      </c>
      <c r="C384" s="282">
        <v>91.767994652722138</v>
      </c>
      <c r="D384" s="282">
        <v>85.678144231829236</v>
      </c>
      <c r="E384" s="181">
        <f t="shared" si="10"/>
        <v>85.678144231829236</v>
      </c>
      <c r="F384" s="208" t="str">
        <f t="shared" si="11"/>
        <v/>
      </c>
    </row>
    <row r="385" spans="1:6">
      <c r="A385">
        <v>382</v>
      </c>
      <c r="B385" s="46">
        <v>44152</v>
      </c>
      <c r="C385" s="282">
        <v>93.165794652722141</v>
      </c>
      <c r="D385" s="282">
        <v>85.678144231829236</v>
      </c>
      <c r="E385" s="181">
        <f t="shared" si="10"/>
        <v>85.678144231829236</v>
      </c>
      <c r="F385" s="208" t="str">
        <f t="shared" si="11"/>
        <v/>
      </c>
    </row>
    <row r="386" spans="1:6">
      <c r="A386">
        <v>383</v>
      </c>
      <c r="B386" s="46">
        <v>44153</v>
      </c>
      <c r="C386" s="282">
        <v>72.630552717442654</v>
      </c>
      <c r="D386" s="282">
        <v>85.678144231829236</v>
      </c>
      <c r="E386" s="181">
        <f t="shared" si="10"/>
        <v>72.630552717442654</v>
      </c>
      <c r="F386" s="208" t="str">
        <f t="shared" si="11"/>
        <v/>
      </c>
    </row>
    <row r="387" spans="1:6">
      <c r="A387">
        <v>384</v>
      </c>
      <c r="B387" s="46">
        <v>44154</v>
      </c>
      <c r="C387" s="282">
        <v>63.004652717442646</v>
      </c>
      <c r="D387" s="282">
        <v>85.678144231829236</v>
      </c>
      <c r="E387" s="181">
        <f t="shared" si="10"/>
        <v>63.004652717442646</v>
      </c>
      <c r="F387" s="208" t="str">
        <f t="shared" si="11"/>
        <v/>
      </c>
    </row>
    <row r="388" spans="1:6">
      <c r="A388">
        <v>385</v>
      </c>
      <c r="B388" s="46">
        <v>44155</v>
      </c>
      <c r="C388" s="282">
        <v>56.796152717442659</v>
      </c>
      <c r="D388" s="282">
        <v>85.678144231829236</v>
      </c>
      <c r="E388" s="181">
        <f t="shared" ref="E388:E396" si="12">IF(C388&lt;D388,C388,D388)</f>
        <v>56.796152717442659</v>
      </c>
      <c r="F388" s="208" t="str">
        <f t="shared" ref="F388:F398" si="13">IF(DAY(B388)=15,IF(MONTH(B388)=1,"E",IF(MONTH(B388)=2,"F",IF(MONTH(B388)=3,"M",IF(MONTH(B388)=4,"A",IF(MONTH(B388)=5,"M",IF(MONTH(B388)=6,"J",IF(MONTH(B388)=7,"J",IF(MONTH(B388)=8,"A",IF(MONTH(B388)=9,"S",IF(MONTH(B388)=10,"O",IF(MONTH(B388)=11,"N",IF(MONTH(B388)=12,"D","")))))))))))),"")</f>
        <v/>
      </c>
    </row>
    <row r="389" spans="1:6">
      <c r="A389">
        <v>386</v>
      </c>
      <c r="B389" s="46">
        <v>44156</v>
      </c>
      <c r="C389" s="282">
        <v>53.172052717442654</v>
      </c>
      <c r="D389" s="282">
        <v>85.678144231829236</v>
      </c>
      <c r="E389" s="181">
        <f t="shared" si="12"/>
        <v>53.172052717442654</v>
      </c>
      <c r="F389" s="208" t="str">
        <f t="shared" si="13"/>
        <v/>
      </c>
    </row>
    <row r="390" spans="1:6">
      <c r="A390">
        <v>387</v>
      </c>
      <c r="B390" s="46">
        <v>44157</v>
      </c>
      <c r="C390" s="282">
        <v>48.916152717442657</v>
      </c>
      <c r="D390" s="282">
        <v>85.678144231829236</v>
      </c>
      <c r="E390" s="181">
        <f t="shared" si="12"/>
        <v>48.916152717442657</v>
      </c>
      <c r="F390" s="208" t="str">
        <f t="shared" si="13"/>
        <v/>
      </c>
    </row>
    <row r="391" spans="1:6">
      <c r="A391">
        <v>388</v>
      </c>
      <c r="B391" s="46">
        <v>44158</v>
      </c>
      <c r="C391" s="282">
        <v>87.868552717442654</v>
      </c>
      <c r="D391" s="282">
        <v>85.678144231829236</v>
      </c>
      <c r="E391" s="181">
        <f t="shared" si="12"/>
        <v>85.678144231829236</v>
      </c>
      <c r="F391" s="208" t="str">
        <f t="shared" si="13"/>
        <v/>
      </c>
    </row>
    <row r="392" spans="1:6">
      <c r="A392">
        <v>389</v>
      </c>
      <c r="B392" s="46">
        <v>44159</v>
      </c>
      <c r="C392" s="282">
        <v>85.365152717442641</v>
      </c>
      <c r="D392" s="282">
        <v>85.678144231829236</v>
      </c>
      <c r="E392" s="181">
        <f t="shared" si="12"/>
        <v>85.365152717442641</v>
      </c>
      <c r="F392" s="208" t="str">
        <f t="shared" si="13"/>
        <v/>
      </c>
    </row>
    <row r="393" spans="1:6">
      <c r="A393">
        <v>390</v>
      </c>
      <c r="B393" s="46">
        <v>44160</v>
      </c>
      <c r="C393" s="282">
        <v>69.01658826066425</v>
      </c>
      <c r="D393" s="282">
        <v>85.678144231829236</v>
      </c>
      <c r="E393" s="181">
        <f t="shared" si="12"/>
        <v>69.01658826066425</v>
      </c>
      <c r="F393" s="208" t="str">
        <f t="shared" si="13"/>
        <v/>
      </c>
    </row>
    <row r="394" spans="1:6">
      <c r="A394">
        <v>391</v>
      </c>
      <c r="B394" s="46">
        <v>44161</v>
      </c>
      <c r="C394" s="282">
        <v>71.082788260664259</v>
      </c>
      <c r="D394" s="282">
        <v>85.678144231829236</v>
      </c>
      <c r="E394" s="181">
        <f t="shared" si="12"/>
        <v>71.082788260664259</v>
      </c>
      <c r="F394" s="208" t="str">
        <f t="shared" si="13"/>
        <v/>
      </c>
    </row>
    <row r="395" spans="1:6">
      <c r="A395">
        <v>392</v>
      </c>
      <c r="B395" s="46">
        <v>44162</v>
      </c>
      <c r="C395" s="282">
        <v>81.511788260664247</v>
      </c>
      <c r="D395" s="282">
        <v>85.678144231829236</v>
      </c>
      <c r="E395" s="181">
        <f t="shared" si="12"/>
        <v>81.511788260664247</v>
      </c>
      <c r="F395" s="208" t="str">
        <f t="shared" si="13"/>
        <v/>
      </c>
    </row>
    <row r="396" spans="1:6">
      <c r="A396">
        <v>393</v>
      </c>
      <c r="B396" s="46">
        <v>44163</v>
      </c>
      <c r="C396" s="282">
        <v>61.805388260664259</v>
      </c>
      <c r="D396" s="282">
        <v>85.678144231829236</v>
      </c>
      <c r="E396" s="181">
        <f t="shared" si="12"/>
        <v>61.805388260664259</v>
      </c>
      <c r="F396" s="208" t="str">
        <f t="shared" si="13"/>
        <v/>
      </c>
    </row>
    <row r="397" spans="1:6">
      <c r="A397">
        <v>394</v>
      </c>
      <c r="B397" s="46">
        <v>44164</v>
      </c>
      <c r="C397" s="282">
        <v>58.887488260664263</v>
      </c>
      <c r="D397" s="282">
        <v>85.678144231829236</v>
      </c>
      <c r="E397" s="181">
        <f t="shared" ref="E397:E398" si="14">IF(C397&lt;D397,C397,D397)</f>
        <v>58.887488260664263</v>
      </c>
      <c r="F397" s="208" t="str">
        <f t="shared" si="13"/>
        <v/>
      </c>
    </row>
    <row r="398" spans="1:6">
      <c r="A398">
        <v>395</v>
      </c>
      <c r="B398" s="46">
        <v>44165</v>
      </c>
      <c r="C398" s="282">
        <v>78.146388260664253</v>
      </c>
      <c r="D398" s="282">
        <v>85.678144231829236</v>
      </c>
      <c r="E398" s="181">
        <f t="shared" si="14"/>
        <v>78.146388260664253</v>
      </c>
      <c r="F398" s="208" t="str">
        <f t="shared" si="13"/>
        <v/>
      </c>
    </row>
    <row r="399" spans="1:6">
      <c r="B399" s="46"/>
      <c r="C399" s="282"/>
      <c r="D399" s="282"/>
      <c r="E399" s="181"/>
      <c r="F399" s="208" t="str">
        <f t="shared" ref="F399:F400" si="15">IF(DAY(B399)=15,IF(MONTH(B399)=1,"E",IF(MONTH(B399)=2,"F",IF(MONTH(B399)=3,"M",IF(MONTH(B399)=4,"A",IF(MONTH(B399)=5,"M",IF(MONTH(B399)=6,"J",IF(MONTH(B399)=7,"J",IF(MONTH(B399)=8,"A",IF(MONTH(B399)=9,"S",IF(MONTH(B399)=10,"O",IF(MONTH(B399)=11,"N",IF(MONTH(B399)=12,"D","")))))))))))),"")</f>
        <v/>
      </c>
    </row>
    <row r="400" spans="1:6">
      <c r="B400" s="46"/>
      <c r="C400" s="282"/>
      <c r="D400" s="282"/>
      <c r="E400" s="181"/>
      <c r="F400" s="208" t="str">
        <f t="shared" si="15"/>
        <v/>
      </c>
    </row>
    <row r="401" spans="3:7">
      <c r="C401" s="181" t="s">
        <v>565</v>
      </c>
      <c r="D401" s="181" t="s">
        <v>565</v>
      </c>
      <c r="E401" s="181" t="str">
        <f t="shared" ref="E401:E451" si="16">IF(C401&lt;D401,C401,D401)</f>
        <v/>
      </c>
      <c r="F401" s="208" t="str">
        <f t="shared" ref="F401:F412" si="17">IF(DAY(B401)=15,IF(MONTH(B401)=1,"E",IF(MONTH(B401)=2,"F",IF(MONTH(B401)=3,"M",IF(MONTH(B401)=4,"A",IF(MONTH(B401)=5,"M",IF(MONTH(B401)=6,"J",IF(MONTH(B401)=7,"J",IF(MONTH(B401)=8,"A",IF(MONTH(B401)=9,"S",IF(MONTH(B401)=10,"O",IF(MONTH(B401)=11,"N",IF(MONTH(B401)=12,"D","")))))))))))),"")</f>
        <v/>
      </c>
    </row>
    <row r="402" spans="3:7">
      <c r="C402" s="181" t="s">
        <v>565</v>
      </c>
      <c r="D402" s="181" t="s">
        <v>565</v>
      </c>
      <c r="E402" s="181" t="str">
        <f t="shared" si="16"/>
        <v/>
      </c>
      <c r="F402" s="208" t="str">
        <f t="shared" si="17"/>
        <v/>
      </c>
    </row>
    <row r="403" spans="3:7">
      <c r="C403" s="181" t="s">
        <v>565</v>
      </c>
      <c r="D403" s="181" t="s">
        <v>565</v>
      </c>
      <c r="E403" s="181" t="str">
        <f t="shared" si="16"/>
        <v/>
      </c>
      <c r="F403" s="208" t="str">
        <f t="shared" si="17"/>
        <v/>
      </c>
    </row>
    <row r="404" spans="3:7">
      <c r="C404" s="181" t="s">
        <v>565</v>
      </c>
      <c r="D404" s="181" t="s">
        <v>565</v>
      </c>
      <c r="E404" s="181" t="str">
        <f t="shared" si="16"/>
        <v/>
      </c>
      <c r="F404" s="208" t="str">
        <f t="shared" si="17"/>
        <v/>
      </c>
    </row>
    <row r="405" spans="3:7">
      <c r="C405" s="181" t="s">
        <v>565</v>
      </c>
      <c r="D405" s="181" t="s">
        <v>565</v>
      </c>
      <c r="E405" s="181" t="str">
        <f t="shared" si="16"/>
        <v/>
      </c>
      <c r="F405" s="208" t="str">
        <f t="shared" si="17"/>
        <v/>
      </c>
    </row>
    <row r="406" spans="3:7">
      <c r="C406" s="181" t="s">
        <v>565</v>
      </c>
      <c r="D406" s="181" t="s">
        <v>565</v>
      </c>
      <c r="E406" s="181" t="str">
        <f t="shared" si="16"/>
        <v/>
      </c>
      <c r="F406" s="208" t="str">
        <f t="shared" si="17"/>
        <v/>
      </c>
    </row>
    <row r="407" spans="3:7">
      <c r="C407" s="181" t="s">
        <v>565</v>
      </c>
      <c r="D407" s="181" t="s">
        <v>565</v>
      </c>
      <c r="E407" s="181" t="str">
        <f t="shared" si="16"/>
        <v/>
      </c>
      <c r="F407" s="208" t="str">
        <f t="shared" si="17"/>
        <v/>
      </c>
    </row>
    <row r="408" spans="3:7">
      <c r="C408" s="181" t="s">
        <v>565</v>
      </c>
      <c r="D408" s="181" t="s">
        <v>565</v>
      </c>
      <c r="E408" s="181" t="str">
        <f t="shared" si="16"/>
        <v/>
      </c>
      <c r="F408" s="208" t="str">
        <f t="shared" si="17"/>
        <v/>
      </c>
    </row>
    <row r="409" spans="3:7">
      <c r="C409" s="181" t="s">
        <v>565</v>
      </c>
      <c r="D409" s="181" t="s">
        <v>565</v>
      </c>
      <c r="E409" s="181" t="str">
        <f t="shared" si="16"/>
        <v/>
      </c>
      <c r="F409" s="208" t="str">
        <f t="shared" si="17"/>
        <v/>
      </c>
    </row>
    <row r="410" spans="3:7">
      <c r="C410" s="181" t="s">
        <v>565</v>
      </c>
      <c r="D410" s="181" t="s">
        <v>565</v>
      </c>
      <c r="E410" s="181" t="str">
        <f t="shared" si="16"/>
        <v/>
      </c>
      <c r="F410" s="208" t="str">
        <f t="shared" si="17"/>
        <v/>
      </c>
    </row>
    <row r="411" spans="3:7">
      <c r="C411" s="181" t="s">
        <v>565</v>
      </c>
      <c r="D411" s="181" t="s">
        <v>565</v>
      </c>
      <c r="E411" s="181" t="str">
        <f t="shared" si="16"/>
        <v/>
      </c>
      <c r="F411" s="208" t="str">
        <f t="shared" si="17"/>
        <v/>
      </c>
      <c r="G411" s="209" t="str">
        <f t="shared" ref="G411:G412" si="18">IF(DAY(B411)=15,D411,"")</f>
        <v/>
      </c>
    </row>
    <row r="412" spans="3:7">
      <c r="C412" s="181" t="s">
        <v>565</v>
      </c>
      <c r="D412" s="181" t="s">
        <v>565</v>
      </c>
      <c r="E412" s="181" t="str">
        <f t="shared" si="16"/>
        <v/>
      </c>
      <c r="F412" s="208" t="str">
        <f t="shared" si="17"/>
        <v/>
      </c>
      <c r="G412" s="209" t="str">
        <f t="shared" si="18"/>
        <v/>
      </c>
    </row>
    <row r="413" spans="3:7">
      <c r="C413" s="181" t="s">
        <v>565</v>
      </c>
      <c r="D413" s="181" t="s">
        <v>565</v>
      </c>
      <c r="E413" s="181" t="str">
        <f t="shared" si="16"/>
        <v/>
      </c>
    </row>
    <row r="414" spans="3:7">
      <c r="C414" s="181" t="s">
        <v>565</v>
      </c>
      <c r="D414" s="181" t="s">
        <v>565</v>
      </c>
      <c r="E414" s="181" t="str">
        <f t="shared" si="16"/>
        <v/>
      </c>
    </row>
    <row r="415" spans="3:7">
      <c r="C415" s="181" t="s">
        <v>565</v>
      </c>
      <c r="D415" s="181" t="s">
        <v>565</v>
      </c>
      <c r="E415" s="181" t="str">
        <f t="shared" si="16"/>
        <v/>
      </c>
    </row>
    <row r="416" spans="3:7">
      <c r="C416" s="181" t="s">
        <v>565</v>
      </c>
      <c r="D416" s="181" t="s">
        <v>565</v>
      </c>
      <c r="E416" s="181" t="str">
        <f t="shared" si="16"/>
        <v/>
      </c>
    </row>
    <row r="417" spans="3:5">
      <c r="C417" s="181" t="s">
        <v>565</v>
      </c>
      <c r="D417" s="181" t="s">
        <v>565</v>
      </c>
      <c r="E417" s="181" t="str">
        <f t="shared" si="16"/>
        <v/>
      </c>
    </row>
    <row r="418" spans="3:5">
      <c r="C418" s="181" t="s">
        <v>565</v>
      </c>
      <c r="D418" s="181" t="s">
        <v>565</v>
      </c>
      <c r="E418" s="181" t="str">
        <f t="shared" si="16"/>
        <v/>
      </c>
    </row>
    <row r="419" spans="3:5">
      <c r="C419" s="181" t="s">
        <v>565</v>
      </c>
      <c r="D419" s="181" t="s">
        <v>565</v>
      </c>
      <c r="E419" s="181" t="str">
        <f t="shared" si="16"/>
        <v/>
      </c>
    </row>
    <row r="420" spans="3:5">
      <c r="C420" s="181" t="s">
        <v>565</v>
      </c>
      <c r="D420" s="181" t="s">
        <v>565</v>
      </c>
      <c r="E420" s="181" t="str">
        <f t="shared" si="16"/>
        <v/>
      </c>
    </row>
    <row r="421" spans="3:5">
      <c r="C421" s="181" t="s">
        <v>565</v>
      </c>
      <c r="D421" s="181" t="s">
        <v>565</v>
      </c>
      <c r="E421" s="181" t="str">
        <f t="shared" si="16"/>
        <v/>
      </c>
    </row>
    <row r="422" spans="3:5">
      <c r="C422" s="181" t="s">
        <v>565</v>
      </c>
      <c r="D422" s="181" t="s">
        <v>565</v>
      </c>
      <c r="E422" s="181" t="str">
        <f t="shared" si="16"/>
        <v/>
      </c>
    </row>
    <row r="423" spans="3:5">
      <c r="C423" s="181" t="s">
        <v>565</v>
      </c>
      <c r="D423" s="181" t="s">
        <v>565</v>
      </c>
      <c r="E423" s="181" t="str">
        <f t="shared" si="16"/>
        <v/>
      </c>
    </row>
    <row r="424" spans="3:5">
      <c r="C424" s="181" t="s">
        <v>565</v>
      </c>
      <c r="D424" s="181" t="s">
        <v>565</v>
      </c>
      <c r="E424" s="181" t="str">
        <f t="shared" si="16"/>
        <v/>
      </c>
    </row>
    <row r="425" spans="3:5">
      <c r="C425" s="181" t="s">
        <v>565</v>
      </c>
      <c r="D425" s="181" t="s">
        <v>565</v>
      </c>
      <c r="E425" s="181" t="str">
        <f t="shared" si="16"/>
        <v/>
      </c>
    </row>
    <row r="426" spans="3:5">
      <c r="C426" s="181" t="s">
        <v>565</v>
      </c>
      <c r="D426" s="181" t="s">
        <v>565</v>
      </c>
      <c r="E426" s="181" t="str">
        <f t="shared" si="16"/>
        <v/>
      </c>
    </row>
    <row r="427" spans="3:5">
      <c r="C427" s="181" t="s">
        <v>565</v>
      </c>
      <c r="D427" s="181" t="s">
        <v>565</v>
      </c>
      <c r="E427" s="181" t="str">
        <f t="shared" si="16"/>
        <v/>
      </c>
    </row>
    <row r="428" spans="3:5">
      <c r="C428" s="181" t="s">
        <v>565</v>
      </c>
      <c r="D428" s="181" t="s">
        <v>565</v>
      </c>
      <c r="E428" s="181" t="str">
        <f t="shared" si="16"/>
        <v/>
      </c>
    </row>
    <row r="429" spans="3:5">
      <c r="C429" s="181" t="s">
        <v>565</v>
      </c>
      <c r="D429" s="181" t="s">
        <v>565</v>
      </c>
      <c r="E429" s="181" t="str">
        <f t="shared" si="16"/>
        <v/>
      </c>
    </row>
    <row r="430" spans="3:5">
      <c r="C430" s="181" t="s">
        <v>565</v>
      </c>
      <c r="D430" s="181" t="s">
        <v>565</v>
      </c>
      <c r="E430" s="181" t="str">
        <f t="shared" si="16"/>
        <v/>
      </c>
    </row>
    <row r="431" spans="3:5">
      <c r="C431" s="181" t="s">
        <v>565</v>
      </c>
      <c r="D431" s="181" t="s">
        <v>565</v>
      </c>
      <c r="E431" s="181" t="str">
        <f t="shared" si="16"/>
        <v/>
      </c>
    </row>
    <row r="432" spans="3:5">
      <c r="C432" s="181" t="s">
        <v>565</v>
      </c>
      <c r="D432" s="181" t="s">
        <v>565</v>
      </c>
      <c r="E432" s="181" t="str">
        <f t="shared" si="16"/>
        <v/>
      </c>
    </row>
    <row r="433" spans="3:5">
      <c r="C433" s="181" t="s">
        <v>565</v>
      </c>
      <c r="D433" s="181" t="s">
        <v>565</v>
      </c>
      <c r="E433" s="181" t="str">
        <f t="shared" si="16"/>
        <v/>
      </c>
    </row>
    <row r="434" spans="3:5">
      <c r="C434" s="181" t="s">
        <v>565</v>
      </c>
      <c r="D434" s="181" t="s">
        <v>565</v>
      </c>
      <c r="E434" s="181" t="str">
        <f t="shared" si="16"/>
        <v/>
      </c>
    </row>
    <row r="435" spans="3:5">
      <c r="C435" s="181" t="s">
        <v>565</v>
      </c>
      <c r="D435" s="181" t="s">
        <v>565</v>
      </c>
      <c r="E435" s="181" t="str">
        <f t="shared" si="16"/>
        <v/>
      </c>
    </row>
    <row r="436" spans="3:5">
      <c r="C436" s="181" t="s">
        <v>565</v>
      </c>
      <c r="D436" s="181" t="s">
        <v>565</v>
      </c>
      <c r="E436" s="181" t="str">
        <f t="shared" si="16"/>
        <v/>
      </c>
    </row>
    <row r="437" spans="3:5">
      <c r="C437" s="181" t="s">
        <v>565</v>
      </c>
      <c r="D437" s="181" t="s">
        <v>565</v>
      </c>
      <c r="E437" s="181" t="str">
        <f t="shared" si="16"/>
        <v/>
      </c>
    </row>
    <row r="438" spans="3:5">
      <c r="C438" s="181" t="s">
        <v>565</v>
      </c>
      <c r="D438" s="181" t="s">
        <v>565</v>
      </c>
      <c r="E438" s="181" t="str">
        <f t="shared" si="16"/>
        <v/>
      </c>
    </row>
    <row r="439" spans="3:5">
      <c r="C439" s="181" t="s">
        <v>565</v>
      </c>
      <c r="D439" s="181" t="s">
        <v>565</v>
      </c>
      <c r="E439" s="181" t="str">
        <f t="shared" si="16"/>
        <v/>
      </c>
    </row>
    <row r="440" spans="3:5">
      <c r="C440" s="181" t="s">
        <v>565</v>
      </c>
      <c r="D440" s="181" t="s">
        <v>565</v>
      </c>
      <c r="E440" s="181" t="str">
        <f t="shared" si="16"/>
        <v/>
      </c>
    </row>
    <row r="441" spans="3:5">
      <c r="C441" s="181" t="s">
        <v>565</v>
      </c>
      <c r="D441" s="181" t="s">
        <v>565</v>
      </c>
      <c r="E441" s="181" t="str">
        <f t="shared" si="16"/>
        <v/>
      </c>
    </row>
    <row r="442" spans="3:5">
      <c r="C442" s="181" t="s">
        <v>565</v>
      </c>
      <c r="D442" s="181" t="s">
        <v>565</v>
      </c>
      <c r="E442" s="181" t="str">
        <f t="shared" si="16"/>
        <v/>
      </c>
    </row>
    <row r="443" spans="3:5">
      <c r="C443" s="181" t="s">
        <v>565</v>
      </c>
      <c r="D443" s="181" t="s">
        <v>565</v>
      </c>
      <c r="E443" s="181" t="str">
        <f t="shared" si="16"/>
        <v/>
      </c>
    </row>
    <row r="444" spans="3:5">
      <c r="C444" s="181" t="s">
        <v>565</v>
      </c>
      <c r="D444" s="181" t="s">
        <v>565</v>
      </c>
      <c r="E444" s="181" t="str">
        <f t="shared" si="16"/>
        <v/>
      </c>
    </row>
    <row r="445" spans="3:5">
      <c r="C445" s="181" t="s">
        <v>565</v>
      </c>
      <c r="D445" s="181" t="s">
        <v>565</v>
      </c>
      <c r="E445" s="181" t="str">
        <f t="shared" si="16"/>
        <v/>
      </c>
    </row>
    <row r="446" spans="3:5">
      <c r="C446" s="181" t="s">
        <v>565</v>
      </c>
      <c r="D446" s="181" t="s">
        <v>565</v>
      </c>
      <c r="E446" s="181" t="str">
        <f t="shared" si="16"/>
        <v/>
      </c>
    </row>
    <row r="447" spans="3:5">
      <c r="C447" s="181" t="s">
        <v>565</v>
      </c>
      <c r="D447" s="181" t="s">
        <v>565</v>
      </c>
      <c r="E447" s="181" t="str">
        <f t="shared" si="16"/>
        <v/>
      </c>
    </row>
    <row r="448" spans="3:5">
      <c r="C448" s="181" t="s">
        <v>565</v>
      </c>
      <c r="D448" s="181" t="s">
        <v>565</v>
      </c>
      <c r="E448" s="181" t="str">
        <f t="shared" si="16"/>
        <v/>
      </c>
    </row>
    <row r="449" spans="3:5">
      <c r="C449" s="181" t="s">
        <v>565</v>
      </c>
      <c r="D449" s="181" t="s">
        <v>565</v>
      </c>
      <c r="E449" s="181" t="str">
        <f t="shared" si="16"/>
        <v/>
      </c>
    </row>
    <row r="450" spans="3:5">
      <c r="C450" s="181" t="s">
        <v>565</v>
      </c>
      <c r="D450" s="181" t="s">
        <v>565</v>
      </c>
      <c r="E450" s="181" t="str">
        <f t="shared" si="16"/>
        <v/>
      </c>
    </row>
    <row r="451" spans="3:5">
      <c r="C451" s="181" t="s">
        <v>565</v>
      </c>
      <c r="D451" s="181" t="s">
        <v>565</v>
      </c>
      <c r="E451" s="181" t="str">
        <f t="shared" si="16"/>
        <v/>
      </c>
    </row>
    <row r="452" spans="3:5">
      <c r="C452" s="181" t="s">
        <v>565</v>
      </c>
      <c r="D452" s="181" t="s">
        <v>565</v>
      </c>
      <c r="E452" s="181" t="str">
        <f t="shared" ref="E452:E515" si="19">IF(C452&lt;D452,C452,D452)</f>
        <v/>
      </c>
    </row>
    <row r="453" spans="3:5">
      <c r="C453" s="181" t="s">
        <v>565</v>
      </c>
      <c r="D453" s="181" t="s">
        <v>565</v>
      </c>
      <c r="E453" s="181" t="str">
        <f t="shared" si="19"/>
        <v/>
      </c>
    </row>
    <row r="454" spans="3:5">
      <c r="C454" s="181" t="s">
        <v>565</v>
      </c>
      <c r="D454" s="181" t="s">
        <v>565</v>
      </c>
      <c r="E454" s="181" t="str">
        <f t="shared" si="19"/>
        <v/>
      </c>
    </row>
    <row r="455" spans="3:5">
      <c r="C455" s="181" t="s">
        <v>565</v>
      </c>
      <c r="D455" s="181" t="s">
        <v>565</v>
      </c>
      <c r="E455" s="181" t="str">
        <f t="shared" si="19"/>
        <v/>
      </c>
    </row>
    <row r="456" spans="3:5">
      <c r="C456" s="181" t="s">
        <v>565</v>
      </c>
      <c r="D456" s="181" t="s">
        <v>565</v>
      </c>
      <c r="E456" s="181" t="str">
        <f t="shared" si="19"/>
        <v/>
      </c>
    </row>
    <row r="457" spans="3:5">
      <c r="C457" s="181" t="s">
        <v>565</v>
      </c>
      <c r="D457" s="181" t="s">
        <v>565</v>
      </c>
      <c r="E457" s="181" t="str">
        <f t="shared" si="19"/>
        <v/>
      </c>
    </row>
    <row r="458" spans="3:5">
      <c r="C458" s="181" t="s">
        <v>565</v>
      </c>
      <c r="D458" s="181" t="s">
        <v>565</v>
      </c>
      <c r="E458" s="181" t="str">
        <f t="shared" si="19"/>
        <v/>
      </c>
    </row>
    <row r="459" spans="3:5">
      <c r="C459" s="181" t="s">
        <v>565</v>
      </c>
      <c r="D459" s="181" t="s">
        <v>565</v>
      </c>
      <c r="E459" s="181" t="str">
        <f t="shared" si="19"/>
        <v/>
      </c>
    </row>
    <row r="460" spans="3:5">
      <c r="C460" s="181" t="s">
        <v>565</v>
      </c>
      <c r="D460" s="181" t="s">
        <v>565</v>
      </c>
      <c r="E460" s="181" t="str">
        <f t="shared" si="19"/>
        <v/>
      </c>
    </row>
    <row r="461" spans="3:5">
      <c r="C461" s="181" t="s">
        <v>565</v>
      </c>
      <c r="D461" s="181" t="s">
        <v>565</v>
      </c>
      <c r="E461" s="181" t="str">
        <f t="shared" si="19"/>
        <v/>
      </c>
    </row>
    <row r="462" spans="3:5">
      <c r="C462" s="181" t="s">
        <v>565</v>
      </c>
      <c r="D462" s="181" t="s">
        <v>565</v>
      </c>
      <c r="E462" s="181" t="str">
        <f t="shared" si="19"/>
        <v/>
      </c>
    </row>
    <row r="463" spans="3:5">
      <c r="C463" s="181" t="s">
        <v>565</v>
      </c>
      <c r="D463" s="181" t="s">
        <v>565</v>
      </c>
      <c r="E463" s="181" t="str">
        <f t="shared" si="19"/>
        <v/>
      </c>
    </row>
    <row r="464" spans="3:5">
      <c r="C464" s="181" t="s">
        <v>565</v>
      </c>
      <c r="D464" s="181" t="s">
        <v>565</v>
      </c>
      <c r="E464" s="181" t="str">
        <f t="shared" si="19"/>
        <v/>
      </c>
    </row>
    <row r="465" spans="3:5">
      <c r="C465" s="181" t="s">
        <v>565</v>
      </c>
      <c r="D465" s="181" t="s">
        <v>565</v>
      </c>
      <c r="E465" s="181" t="str">
        <f t="shared" si="19"/>
        <v/>
      </c>
    </row>
    <row r="466" spans="3:5">
      <c r="C466" s="181" t="s">
        <v>565</v>
      </c>
      <c r="D466" s="181" t="s">
        <v>565</v>
      </c>
      <c r="E466" s="181" t="str">
        <f t="shared" si="19"/>
        <v/>
      </c>
    </row>
    <row r="467" spans="3:5">
      <c r="C467" s="181" t="s">
        <v>565</v>
      </c>
      <c r="D467" s="181" t="s">
        <v>565</v>
      </c>
      <c r="E467" s="181" t="str">
        <f t="shared" si="19"/>
        <v/>
      </c>
    </row>
    <row r="468" spans="3:5">
      <c r="C468" s="181" t="s">
        <v>565</v>
      </c>
      <c r="D468" s="181" t="s">
        <v>565</v>
      </c>
      <c r="E468" s="181" t="str">
        <f t="shared" si="19"/>
        <v/>
      </c>
    </row>
    <row r="469" spans="3:5">
      <c r="C469" s="181" t="s">
        <v>565</v>
      </c>
      <c r="D469" s="181" t="s">
        <v>565</v>
      </c>
      <c r="E469" s="181" t="str">
        <f t="shared" si="19"/>
        <v/>
      </c>
    </row>
    <row r="470" spans="3:5">
      <c r="C470" s="181" t="s">
        <v>565</v>
      </c>
      <c r="D470" s="181" t="s">
        <v>565</v>
      </c>
      <c r="E470" s="181" t="str">
        <f t="shared" si="19"/>
        <v/>
      </c>
    </row>
    <row r="471" spans="3:5">
      <c r="C471" s="181" t="s">
        <v>565</v>
      </c>
      <c r="D471" s="181" t="s">
        <v>565</v>
      </c>
      <c r="E471" s="181" t="str">
        <f t="shared" si="19"/>
        <v/>
      </c>
    </row>
    <row r="472" spans="3:5">
      <c r="C472" s="181" t="s">
        <v>565</v>
      </c>
      <c r="D472" s="181" t="s">
        <v>565</v>
      </c>
      <c r="E472" s="181" t="str">
        <f t="shared" si="19"/>
        <v/>
      </c>
    </row>
    <row r="473" spans="3:5">
      <c r="C473" s="181" t="s">
        <v>565</v>
      </c>
      <c r="D473" s="181" t="s">
        <v>565</v>
      </c>
      <c r="E473" s="181" t="str">
        <f t="shared" si="19"/>
        <v/>
      </c>
    </row>
    <row r="474" spans="3:5">
      <c r="C474" s="181" t="s">
        <v>565</v>
      </c>
      <c r="D474" s="181" t="s">
        <v>565</v>
      </c>
      <c r="E474" s="181" t="str">
        <f t="shared" si="19"/>
        <v/>
      </c>
    </row>
    <row r="475" spans="3:5">
      <c r="C475" s="181" t="s">
        <v>565</v>
      </c>
      <c r="D475" s="181" t="s">
        <v>565</v>
      </c>
      <c r="E475" s="181" t="str">
        <f t="shared" si="19"/>
        <v/>
      </c>
    </row>
    <row r="476" spans="3:5">
      <c r="C476" s="181" t="s">
        <v>565</v>
      </c>
      <c r="D476" s="181" t="s">
        <v>565</v>
      </c>
      <c r="E476" s="181" t="str">
        <f t="shared" si="19"/>
        <v/>
      </c>
    </row>
    <row r="477" spans="3:5">
      <c r="C477" s="181" t="s">
        <v>565</v>
      </c>
      <c r="D477" s="181" t="s">
        <v>565</v>
      </c>
      <c r="E477" s="181" t="str">
        <f t="shared" si="19"/>
        <v/>
      </c>
    </row>
    <row r="478" spans="3:5">
      <c r="C478" s="181" t="s">
        <v>565</v>
      </c>
      <c r="D478" s="181" t="s">
        <v>565</v>
      </c>
      <c r="E478" s="181" t="str">
        <f t="shared" si="19"/>
        <v/>
      </c>
    </row>
    <row r="479" spans="3:5">
      <c r="C479" s="181" t="s">
        <v>565</v>
      </c>
      <c r="D479" s="181" t="s">
        <v>565</v>
      </c>
      <c r="E479" s="181" t="str">
        <f t="shared" si="19"/>
        <v/>
      </c>
    </row>
    <row r="480" spans="3:5">
      <c r="C480" s="181" t="s">
        <v>565</v>
      </c>
      <c r="D480" s="181" t="s">
        <v>565</v>
      </c>
      <c r="E480" s="181" t="str">
        <f t="shared" si="19"/>
        <v/>
      </c>
    </row>
    <row r="481" spans="3:5">
      <c r="C481" s="181" t="s">
        <v>565</v>
      </c>
      <c r="D481" s="181" t="s">
        <v>565</v>
      </c>
      <c r="E481" s="181" t="str">
        <f t="shared" si="19"/>
        <v/>
      </c>
    </row>
    <row r="482" spans="3:5">
      <c r="C482" s="181" t="s">
        <v>565</v>
      </c>
      <c r="D482" s="181" t="s">
        <v>565</v>
      </c>
      <c r="E482" s="181" t="str">
        <f t="shared" si="19"/>
        <v/>
      </c>
    </row>
    <row r="483" spans="3:5">
      <c r="C483" s="181" t="s">
        <v>565</v>
      </c>
      <c r="D483" s="181" t="s">
        <v>565</v>
      </c>
      <c r="E483" s="181" t="str">
        <f t="shared" si="19"/>
        <v/>
      </c>
    </row>
    <row r="484" spans="3:5">
      <c r="C484" s="181" t="s">
        <v>565</v>
      </c>
      <c r="D484" s="181" t="s">
        <v>565</v>
      </c>
      <c r="E484" s="181" t="str">
        <f t="shared" si="19"/>
        <v/>
      </c>
    </row>
    <row r="485" spans="3:5">
      <c r="C485" s="181" t="s">
        <v>565</v>
      </c>
      <c r="D485" s="181" t="s">
        <v>565</v>
      </c>
      <c r="E485" s="181" t="str">
        <f t="shared" si="19"/>
        <v/>
      </c>
    </row>
    <row r="486" spans="3:5">
      <c r="C486" s="181" t="s">
        <v>565</v>
      </c>
      <c r="D486" s="181" t="s">
        <v>565</v>
      </c>
      <c r="E486" s="181" t="str">
        <f t="shared" si="19"/>
        <v/>
      </c>
    </row>
    <row r="487" spans="3:5">
      <c r="C487" s="181" t="s">
        <v>565</v>
      </c>
      <c r="D487" s="181" t="s">
        <v>565</v>
      </c>
      <c r="E487" s="181" t="str">
        <f t="shared" si="19"/>
        <v/>
      </c>
    </row>
    <row r="488" spans="3:5">
      <c r="C488" s="181" t="s">
        <v>565</v>
      </c>
      <c r="D488" s="181" t="s">
        <v>565</v>
      </c>
      <c r="E488" s="181" t="str">
        <f t="shared" si="19"/>
        <v/>
      </c>
    </row>
    <row r="489" spans="3:5">
      <c r="C489" s="181" t="s">
        <v>565</v>
      </c>
      <c r="D489" s="181" t="s">
        <v>565</v>
      </c>
      <c r="E489" s="181" t="str">
        <f t="shared" si="19"/>
        <v/>
      </c>
    </row>
    <row r="490" spans="3:5">
      <c r="C490" s="181" t="s">
        <v>565</v>
      </c>
      <c r="D490" s="181" t="s">
        <v>565</v>
      </c>
      <c r="E490" s="181" t="str">
        <f t="shared" si="19"/>
        <v/>
      </c>
    </row>
    <row r="491" spans="3:5">
      <c r="C491" s="181" t="s">
        <v>565</v>
      </c>
      <c r="D491" s="181" t="s">
        <v>565</v>
      </c>
      <c r="E491" s="181" t="str">
        <f t="shared" si="19"/>
        <v/>
      </c>
    </row>
    <row r="492" spans="3:5">
      <c r="C492" s="181" t="s">
        <v>565</v>
      </c>
      <c r="D492" s="181" t="s">
        <v>565</v>
      </c>
      <c r="E492" s="181" t="str">
        <f t="shared" si="19"/>
        <v/>
      </c>
    </row>
    <row r="493" spans="3:5">
      <c r="C493" s="181" t="s">
        <v>565</v>
      </c>
      <c r="D493" s="181" t="s">
        <v>565</v>
      </c>
      <c r="E493" s="181" t="str">
        <f t="shared" si="19"/>
        <v/>
      </c>
    </row>
    <row r="494" spans="3:5">
      <c r="C494" s="181" t="s">
        <v>565</v>
      </c>
      <c r="D494" s="181" t="s">
        <v>565</v>
      </c>
      <c r="E494" s="181" t="str">
        <f t="shared" si="19"/>
        <v/>
      </c>
    </row>
    <row r="495" spans="3:5">
      <c r="C495" s="181" t="s">
        <v>565</v>
      </c>
      <c r="D495" s="181" t="s">
        <v>565</v>
      </c>
      <c r="E495" s="181" t="str">
        <f t="shared" si="19"/>
        <v/>
      </c>
    </row>
    <row r="496" spans="3:5">
      <c r="C496" s="181" t="s">
        <v>565</v>
      </c>
      <c r="D496" s="181" t="s">
        <v>565</v>
      </c>
      <c r="E496" s="181" t="str">
        <f t="shared" si="19"/>
        <v/>
      </c>
    </row>
    <row r="497" spans="3:5">
      <c r="C497" s="181" t="s">
        <v>565</v>
      </c>
      <c r="D497" s="181" t="s">
        <v>565</v>
      </c>
      <c r="E497" s="181" t="str">
        <f t="shared" si="19"/>
        <v/>
      </c>
    </row>
    <row r="498" spans="3:5">
      <c r="C498" s="181" t="s">
        <v>565</v>
      </c>
      <c r="D498" s="181" t="s">
        <v>565</v>
      </c>
      <c r="E498" s="181" t="str">
        <f t="shared" si="19"/>
        <v/>
      </c>
    </row>
    <row r="499" spans="3:5">
      <c r="C499" s="181" t="s">
        <v>565</v>
      </c>
      <c r="D499" s="181" t="s">
        <v>565</v>
      </c>
      <c r="E499" s="181" t="str">
        <f t="shared" si="19"/>
        <v/>
      </c>
    </row>
    <row r="500" spans="3:5">
      <c r="C500" s="181" t="s">
        <v>565</v>
      </c>
      <c r="D500" s="181" t="s">
        <v>565</v>
      </c>
      <c r="E500" s="181" t="str">
        <f t="shared" si="19"/>
        <v/>
      </c>
    </row>
    <row r="501" spans="3:5">
      <c r="C501" s="181" t="s">
        <v>565</v>
      </c>
      <c r="D501" s="181" t="s">
        <v>565</v>
      </c>
      <c r="E501" s="181" t="str">
        <f t="shared" si="19"/>
        <v/>
      </c>
    </row>
    <row r="502" spans="3:5">
      <c r="C502" s="181" t="s">
        <v>565</v>
      </c>
      <c r="D502" s="181" t="s">
        <v>565</v>
      </c>
      <c r="E502" s="181" t="str">
        <f t="shared" si="19"/>
        <v/>
      </c>
    </row>
    <row r="503" spans="3:5">
      <c r="C503" s="181" t="s">
        <v>565</v>
      </c>
      <c r="D503" s="181" t="s">
        <v>565</v>
      </c>
      <c r="E503" s="181" t="str">
        <f t="shared" si="19"/>
        <v/>
      </c>
    </row>
    <row r="504" spans="3:5">
      <c r="C504" s="181" t="s">
        <v>565</v>
      </c>
      <c r="D504" s="181" t="s">
        <v>565</v>
      </c>
      <c r="E504" s="181" t="str">
        <f t="shared" si="19"/>
        <v/>
      </c>
    </row>
    <row r="505" spans="3:5">
      <c r="C505" s="181" t="s">
        <v>565</v>
      </c>
      <c r="D505" s="181" t="s">
        <v>565</v>
      </c>
      <c r="E505" s="181" t="str">
        <f t="shared" si="19"/>
        <v/>
      </c>
    </row>
    <row r="506" spans="3:5">
      <c r="C506" s="181" t="s">
        <v>565</v>
      </c>
      <c r="D506" s="181" t="s">
        <v>565</v>
      </c>
      <c r="E506" s="181" t="str">
        <f t="shared" si="19"/>
        <v/>
      </c>
    </row>
    <row r="507" spans="3:5">
      <c r="C507" s="181" t="s">
        <v>565</v>
      </c>
      <c r="D507" s="181" t="s">
        <v>565</v>
      </c>
      <c r="E507" s="181" t="str">
        <f t="shared" si="19"/>
        <v/>
      </c>
    </row>
    <row r="508" spans="3:5">
      <c r="C508" s="181" t="s">
        <v>565</v>
      </c>
      <c r="D508" s="181" t="s">
        <v>565</v>
      </c>
      <c r="E508" s="181" t="str">
        <f t="shared" si="19"/>
        <v/>
      </c>
    </row>
    <row r="509" spans="3:5">
      <c r="C509" s="181" t="s">
        <v>565</v>
      </c>
      <c r="D509" s="181" t="s">
        <v>565</v>
      </c>
      <c r="E509" s="181" t="str">
        <f t="shared" si="19"/>
        <v/>
      </c>
    </row>
    <row r="510" spans="3:5">
      <c r="C510" s="181" t="s">
        <v>565</v>
      </c>
      <c r="D510" s="181" t="s">
        <v>565</v>
      </c>
      <c r="E510" s="181" t="str">
        <f t="shared" si="19"/>
        <v/>
      </c>
    </row>
    <row r="511" spans="3:5">
      <c r="C511" s="181" t="s">
        <v>565</v>
      </c>
      <c r="D511" s="181" t="s">
        <v>565</v>
      </c>
      <c r="E511" s="181" t="str">
        <f t="shared" si="19"/>
        <v/>
      </c>
    </row>
    <row r="512" spans="3:5">
      <c r="C512" s="181" t="s">
        <v>565</v>
      </c>
      <c r="D512" s="181" t="s">
        <v>565</v>
      </c>
      <c r="E512" s="181" t="str">
        <f t="shared" si="19"/>
        <v/>
      </c>
    </row>
    <row r="513" spans="3:5">
      <c r="C513" s="181" t="s">
        <v>565</v>
      </c>
      <c r="D513" s="181" t="s">
        <v>565</v>
      </c>
      <c r="E513" s="181" t="str">
        <f t="shared" si="19"/>
        <v/>
      </c>
    </row>
    <row r="514" spans="3:5">
      <c r="C514" s="181" t="s">
        <v>565</v>
      </c>
      <c r="D514" s="181" t="s">
        <v>565</v>
      </c>
      <c r="E514" s="181" t="str">
        <f t="shared" si="19"/>
        <v/>
      </c>
    </row>
    <row r="515" spans="3:5">
      <c r="C515" s="181" t="s">
        <v>565</v>
      </c>
      <c r="D515" s="181" t="s">
        <v>565</v>
      </c>
      <c r="E515" s="181" t="str">
        <f t="shared" si="19"/>
        <v/>
      </c>
    </row>
    <row r="516" spans="3:5">
      <c r="C516" s="181" t="s">
        <v>565</v>
      </c>
      <c r="D516" s="181" t="s">
        <v>565</v>
      </c>
      <c r="E516" s="181" t="str">
        <f t="shared" ref="E516:E579" si="20">IF(C516&lt;D516,C516,D516)</f>
        <v/>
      </c>
    </row>
    <row r="517" spans="3:5">
      <c r="C517" s="181" t="s">
        <v>565</v>
      </c>
      <c r="D517" s="181" t="s">
        <v>565</v>
      </c>
      <c r="E517" s="181" t="str">
        <f t="shared" si="20"/>
        <v/>
      </c>
    </row>
    <row r="518" spans="3:5">
      <c r="C518" s="181" t="s">
        <v>565</v>
      </c>
      <c r="D518" s="181" t="s">
        <v>565</v>
      </c>
      <c r="E518" s="181" t="str">
        <f t="shared" si="20"/>
        <v/>
      </c>
    </row>
    <row r="519" spans="3:5">
      <c r="C519" s="181" t="s">
        <v>565</v>
      </c>
      <c r="D519" s="181" t="s">
        <v>565</v>
      </c>
      <c r="E519" s="181" t="str">
        <f t="shared" si="20"/>
        <v/>
      </c>
    </row>
    <row r="520" spans="3:5">
      <c r="C520" s="181" t="s">
        <v>565</v>
      </c>
      <c r="D520" s="181" t="s">
        <v>565</v>
      </c>
      <c r="E520" s="181" t="str">
        <f t="shared" si="20"/>
        <v/>
      </c>
    </row>
    <row r="521" spans="3:5">
      <c r="C521" s="181" t="s">
        <v>565</v>
      </c>
      <c r="D521" s="181" t="s">
        <v>565</v>
      </c>
      <c r="E521" s="181" t="str">
        <f t="shared" si="20"/>
        <v/>
      </c>
    </row>
    <row r="522" spans="3:5">
      <c r="C522" s="181" t="s">
        <v>565</v>
      </c>
      <c r="D522" s="181" t="s">
        <v>565</v>
      </c>
      <c r="E522" s="181" t="str">
        <f t="shared" si="20"/>
        <v/>
      </c>
    </row>
    <row r="523" spans="3:5">
      <c r="C523" s="181" t="s">
        <v>565</v>
      </c>
      <c r="D523" s="181" t="s">
        <v>565</v>
      </c>
      <c r="E523" s="181" t="str">
        <f t="shared" si="20"/>
        <v/>
      </c>
    </row>
    <row r="524" spans="3:5">
      <c r="C524" s="181" t="s">
        <v>565</v>
      </c>
      <c r="D524" s="181" t="s">
        <v>565</v>
      </c>
      <c r="E524" s="181" t="str">
        <f t="shared" si="20"/>
        <v/>
      </c>
    </row>
    <row r="525" spans="3:5">
      <c r="C525" s="181" t="s">
        <v>565</v>
      </c>
      <c r="D525" s="181" t="s">
        <v>565</v>
      </c>
      <c r="E525" s="181" t="str">
        <f t="shared" si="20"/>
        <v/>
      </c>
    </row>
    <row r="526" spans="3:5">
      <c r="C526" s="181" t="s">
        <v>565</v>
      </c>
      <c r="D526" s="181" t="s">
        <v>565</v>
      </c>
      <c r="E526" s="181" t="str">
        <f t="shared" si="20"/>
        <v/>
      </c>
    </row>
    <row r="527" spans="3:5">
      <c r="C527" s="181" t="s">
        <v>565</v>
      </c>
      <c r="D527" s="181" t="s">
        <v>565</v>
      </c>
      <c r="E527" s="181" t="str">
        <f t="shared" si="20"/>
        <v/>
      </c>
    </row>
    <row r="528" spans="3:5">
      <c r="C528" s="181" t="s">
        <v>565</v>
      </c>
      <c r="D528" s="181" t="s">
        <v>565</v>
      </c>
      <c r="E528" s="181" t="str">
        <f t="shared" si="20"/>
        <v/>
      </c>
    </row>
    <row r="529" spans="3:5">
      <c r="C529" s="181" t="s">
        <v>565</v>
      </c>
      <c r="D529" s="181" t="s">
        <v>565</v>
      </c>
      <c r="E529" s="181" t="str">
        <f t="shared" si="20"/>
        <v/>
      </c>
    </row>
    <row r="530" spans="3:5">
      <c r="C530" s="181" t="s">
        <v>565</v>
      </c>
      <c r="D530" s="181" t="s">
        <v>565</v>
      </c>
      <c r="E530" s="181" t="str">
        <f t="shared" si="20"/>
        <v/>
      </c>
    </row>
    <row r="531" spans="3:5">
      <c r="C531" s="181" t="s">
        <v>565</v>
      </c>
      <c r="D531" s="181" t="s">
        <v>565</v>
      </c>
      <c r="E531" s="181" t="str">
        <f t="shared" si="20"/>
        <v/>
      </c>
    </row>
    <row r="532" spans="3:5">
      <c r="C532" s="181" t="s">
        <v>565</v>
      </c>
      <c r="D532" s="181" t="s">
        <v>565</v>
      </c>
      <c r="E532" s="181" t="str">
        <f t="shared" si="20"/>
        <v/>
      </c>
    </row>
    <row r="533" spans="3:5">
      <c r="C533" s="181" t="s">
        <v>565</v>
      </c>
      <c r="D533" s="181" t="s">
        <v>565</v>
      </c>
      <c r="E533" s="181" t="str">
        <f t="shared" si="20"/>
        <v/>
      </c>
    </row>
    <row r="534" spans="3:5">
      <c r="C534" s="181" t="s">
        <v>565</v>
      </c>
      <c r="D534" s="181" t="s">
        <v>565</v>
      </c>
      <c r="E534" s="181" t="str">
        <f t="shared" si="20"/>
        <v/>
      </c>
    </row>
    <row r="535" spans="3:5">
      <c r="C535" s="181" t="s">
        <v>565</v>
      </c>
      <c r="D535" s="181" t="s">
        <v>565</v>
      </c>
      <c r="E535" s="181" t="str">
        <f t="shared" si="20"/>
        <v/>
      </c>
    </row>
    <row r="536" spans="3:5">
      <c r="C536" s="181" t="s">
        <v>565</v>
      </c>
      <c r="D536" s="181" t="s">
        <v>565</v>
      </c>
      <c r="E536" s="181" t="str">
        <f t="shared" si="20"/>
        <v/>
      </c>
    </row>
    <row r="537" spans="3:5">
      <c r="C537" s="181" t="s">
        <v>565</v>
      </c>
      <c r="D537" s="181" t="s">
        <v>565</v>
      </c>
      <c r="E537" s="181" t="str">
        <f t="shared" si="20"/>
        <v/>
      </c>
    </row>
    <row r="538" spans="3:5">
      <c r="C538" s="181" t="s">
        <v>565</v>
      </c>
      <c r="D538" s="181" t="s">
        <v>565</v>
      </c>
      <c r="E538" s="181" t="str">
        <f t="shared" si="20"/>
        <v/>
      </c>
    </row>
    <row r="539" spans="3:5">
      <c r="C539" s="181" t="s">
        <v>565</v>
      </c>
      <c r="D539" s="181" t="s">
        <v>565</v>
      </c>
      <c r="E539" s="181" t="str">
        <f t="shared" si="20"/>
        <v/>
      </c>
    </row>
    <row r="540" spans="3:5">
      <c r="C540" s="181" t="s">
        <v>565</v>
      </c>
      <c r="D540" s="181" t="s">
        <v>565</v>
      </c>
      <c r="E540" s="181" t="str">
        <f t="shared" si="20"/>
        <v/>
      </c>
    </row>
    <row r="541" spans="3:5">
      <c r="C541" s="181" t="s">
        <v>565</v>
      </c>
      <c r="D541" s="181" t="s">
        <v>565</v>
      </c>
      <c r="E541" s="181" t="str">
        <f t="shared" si="20"/>
        <v/>
      </c>
    </row>
    <row r="542" spans="3:5">
      <c r="C542" s="181" t="s">
        <v>565</v>
      </c>
      <c r="D542" s="181" t="s">
        <v>565</v>
      </c>
      <c r="E542" s="181" t="str">
        <f t="shared" si="20"/>
        <v/>
      </c>
    </row>
    <row r="543" spans="3:5">
      <c r="C543" s="181" t="s">
        <v>565</v>
      </c>
      <c r="D543" s="181" t="s">
        <v>565</v>
      </c>
      <c r="E543" s="181" t="str">
        <f t="shared" si="20"/>
        <v/>
      </c>
    </row>
    <row r="544" spans="3:5">
      <c r="C544" s="181" t="s">
        <v>565</v>
      </c>
      <c r="D544" s="181" t="s">
        <v>565</v>
      </c>
      <c r="E544" s="181" t="str">
        <f t="shared" si="20"/>
        <v/>
      </c>
    </row>
    <row r="545" spans="3:5">
      <c r="C545" s="181" t="s">
        <v>565</v>
      </c>
      <c r="D545" s="181" t="s">
        <v>565</v>
      </c>
      <c r="E545" s="181" t="str">
        <f t="shared" si="20"/>
        <v/>
      </c>
    </row>
    <row r="546" spans="3:5">
      <c r="C546" s="181" t="s">
        <v>565</v>
      </c>
      <c r="D546" s="181" t="s">
        <v>565</v>
      </c>
      <c r="E546" s="181" t="str">
        <f t="shared" si="20"/>
        <v/>
      </c>
    </row>
    <row r="547" spans="3:5">
      <c r="C547" s="181" t="s">
        <v>565</v>
      </c>
      <c r="D547" s="181" t="s">
        <v>565</v>
      </c>
      <c r="E547" s="181" t="str">
        <f t="shared" si="20"/>
        <v/>
      </c>
    </row>
    <row r="548" spans="3:5">
      <c r="C548" s="181" t="s">
        <v>565</v>
      </c>
      <c r="D548" s="181" t="s">
        <v>565</v>
      </c>
      <c r="E548" s="181" t="str">
        <f t="shared" si="20"/>
        <v/>
      </c>
    </row>
    <row r="549" spans="3:5">
      <c r="C549" s="181" t="s">
        <v>565</v>
      </c>
      <c r="D549" s="181" t="s">
        <v>565</v>
      </c>
      <c r="E549" s="181" t="str">
        <f t="shared" si="20"/>
        <v/>
      </c>
    </row>
    <row r="550" spans="3:5">
      <c r="C550" s="181" t="s">
        <v>565</v>
      </c>
      <c r="D550" s="181" t="s">
        <v>565</v>
      </c>
      <c r="E550" s="181" t="str">
        <f t="shared" si="20"/>
        <v/>
      </c>
    </row>
    <row r="551" spans="3:5">
      <c r="C551" s="181" t="s">
        <v>565</v>
      </c>
      <c r="D551" s="181" t="s">
        <v>565</v>
      </c>
      <c r="E551" s="181" t="str">
        <f t="shared" si="20"/>
        <v/>
      </c>
    </row>
    <row r="552" spans="3:5">
      <c r="C552" s="181" t="s">
        <v>565</v>
      </c>
      <c r="D552" s="181" t="s">
        <v>565</v>
      </c>
      <c r="E552" s="181" t="str">
        <f t="shared" si="20"/>
        <v/>
      </c>
    </row>
    <row r="553" spans="3:5">
      <c r="C553" s="181" t="s">
        <v>565</v>
      </c>
      <c r="D553" s="181" t="s">
        <v>565</v>
      </c>
      <c r="E553" s="181" t="str">
        <f t="shared" si="20"/>
        <v/>
      </c>
    </row>
    <row r="554" spans="3:5">
      <c r="C554" s="181" t="s">
        <v>565</v>
      </c>
      <c r="D554" s="181" t="s">
        <v>565</v>
      </c>
      <c r="E554" s="181" t="str">
        <f t="shared" si="20"/>
        <v/>
      </c>
    </row>
    <row r="555" spans="3:5">
      <c r="C555" s="181" t="s">
        <v>565</v>
      </c>
      <c r="D555" s="181" t="s">
        <v>565</v>
      </c>
      <c r="E555" s="181" t="str">
        <f t="shared" si="20"/>
        <v/>
      </c>
    </row>
    <row r="556" spans="3:5">
      <c r="C556" s="181" t="s">
        <v>565</v>
      </c>
      <c r="D556" s="181" t="s">
        <v>565</v>
      </c>
      <c r="E556" s="181" t="str">
        <f t="shared" si="20"/>
        <v/>
      </c>
    </row>
    <row r="557" spans="3:5">
      <c r="C557" s="181" t="s">
        <v>565</v>
      </c>
      <c r="D557" s="181" t="s">
        <v>565</v>
      </c>
      <c r="E557" s="181" t="str">
        <f t="shared" si="20"/>
        <v/>
      </c>
    </row>
    <row r="558" spans="3:5">
      <c r="C558" s="181" t="s">
        <v>565</v>
      </c>
      <c r="D558" s="181" t="s">
        <v>565</v>
      </c>
      <c r="E558" s="181" t="str">
        <f t="shared" si="20"/>
        <v/>
      </c>
    </row>
    <row r="559" spans="3:5">
      <c r="C559" s="181" t="s">
        <v>565</v>
      </c>
      <c r="D559" s="181" t="s">
        <v>565</v>
      </c>
      <c r="E559" s="181" t="str">
        <f t="shared" si="20"/>
        <v/>
      </c>
    </row>
    <row r="560" spans="3:5">
      <c r="C560" s="181" t="s">
        <v>565</v>
      </c>
      <c r="D560" s="181" t="s">
        <v>565</v>
      </c>
      <c r="E560" s="181" t="str">
        <f t="shared" si="20"/>
        <v/>
      </c>
    </row>
    <row r="561" spans="3:5">
      <c r="C561" s="181" t="s">
        <v>565</v>
      </c>
      <c r="D561" s="181" t="s">
        <v>565</v>
      </c>
      <c r="E561" s="181" t="str">
        <f t="shared" si="20"/>
        <v/>
      </c>
    </row>
    <row r="562" spans="3:5">
      <c r="C562" s="181" t="s">
        <v>565</v>
      </c>
      <c r="D562" s="181" t="s">
        <v>565</v>
      </c>
      <c r="E562" s="181" t="str">
        <f t="shared" si="20"/>
        <v/>
      </c>
    </row>
    <row r="563" spans="3:5">
      <c r="C563" s="181" t="s">
        <v>565</v>
      </c>
      <c r="D563" s="181" t="s">
        <v>565</v>
      </c>
      <c r="E563" s="181" t="str">
        <f t="shared" si="20"/>
        <v/>
      </c>
    </row>
    <row r="564" spans="3:5">
      <c r="C564" s="181" t="s">
        <v>565</v>
      </c>
      <c r="D564" s="181" t="s">
        <v>565</v>
      </c>
      <c r="E564" s="181" t="str">
        <f t="shared" si="20"/>
        <v/>
      </c>
    </row>
    <row r="565" spans="3:5">
      <c r="C565" s="181" t="s">
        <v>565</v>
      </c>
      <c r="D565" s="181" t="s">
        <v>565</v>
      </c>
      <c r="E565" s="181" t="str">
        <f t="shared" si="20"/>
        <v/>
      </c>
    </row>
    <row r="566" spans="3:5">
      <c r="C566" s="181" t="s">
        <v>565</v>
      </c>
      <c r="D566" s="181" t="s">
        <v>565</v>
      </c>
      <c r="E566" s="181" t="str">
        <f t="shared" si="20"/>
        <v/>
      </c>
    </row>
    <row r="567" spans="3:5">
      <c r="C567" s="181" t="s">
        <v>565</v>
      </c>
      <c r="D567" s="181" t="s">
        <v>565</v>
      </c>
      <c r="E567" s="181" t="str">
        <f t="shared" si="20"/>
        <v/>
      </c>
    </row>
    <row r="568" spans="3:5">
      <c r="C568" s="181" t="s">
        <v>565</v>
      </c>
      <c r="D568" s="181" t="s">
        <v>565</v>
      </c>
      <c r="E568" s="181" t="str">
        <f t="shared" si="20"/>
        <v/>
      </c>
    </row>
    <row r="569" spans="3:5">
      <c r="C569" s="181" t="s">
        <v>565</v>
      </c>
      <c r="D569" s="181" t="s">
        <v>565</v>
      </c>
      <c r="E569" s="181" t="str">
        <f t="shared" si="20"/>
        <v/>
      </c>
    </row>
    <row r="570" spans="3:5">
      <c r="C570" s="181" t="s">
        <v>565</v>
      </c>
      <c r="D570" s="181" t="s">
        <v>565</v>
      </c>
      <c r="E570" s="181" t="str">
        <f t="shared" si="20"/>
        <v/>
      </c>
    </row>
    <row r="571" spans="3:5">
      <c r="C571" s="181" t="s">
        <v>565</v>
      </c>
      <c r="D571" s="181" t="s">
        <v>565</v>
      </c>
      <c r="E571" s="181" t="str">
        <f t="shared" si="20"/>
        <v/>
      </c>
    </row>
    <row r="572" spans="3:5">
      <c r="C572" s="181" t="s">
        <v>565</v>
      </c>
      <c r="D572" s="181" t="s">
        <v>565</v>
      </c>
      <c r="E572" s="181" t="str">
        <f t="shared" si="20"/>
        <v/>
      </c>
    </row>
    <row r="573" spans="3:5">
      <c r="C573" s="181" t="s">
        <v>565</v>
      </c>
      <c r="D573" s="181" t="s">
        <v>565</v>
      </c>
      <c r="E573" s="181" t="str">
        <f t="shared" si="20"/>
        <v/>
      </c>
    </row>
    <row r="574" spans="3:5">
      <c r="C574" s="181" t="s">
        <v>565</v>
      </c>
      <c r="D574" s="181" t="s">
        <v>565</v>
      </c>
      <c r="E574" s="181" t="str">
        <f t="shared" si="20"/>
        <v/>
      </c>
    </row>
    <row r="575" spans="3:5">
      <c r="C575" s="181" t="s">
        <v>565</v>
      </c>
      <c r="D575" s="181" t="s">
        <v>565</v>
      </c>
      <c r="E575" s="181" t="str">
        <f t="shared" si="20"/>
        <v/>
      </c>
    </row>
    <row r="576" spans="3:5">
      <c r="C576" s="181" t="s">
        <v>565</v>
      </c>
      <c r="D576" s="181" t="s">
        <v>565</v>
      </c>
      <c r="E576" s="181" t="str">
        <f t="shared" si="20"/>
        <v/>
      </c>
    </row>
    <row r="577" spans="3:5">
      <c r="C577" s="181" t="s">
        <v>565</v>
      </c>
      <c r="D577" s="181" t="s">
        <v>565</v>
      </c>
      <c r="E577" s="181" t="str">
        <f t="shared" si="20"/>
        <v/>
      </c>
    </row>
    <row r="578" spans="3:5">
      <c r="C578" s="181" t="s">
        <v>565</v>
      </c>
      <c r="D578" s="181" t="s">
        <v>565</v>
      </c>
      <c r="E578" s="181" t="str">
        <f t="shared" si="20"/>
        <v/>
      </c>
    </row>
    <row r="579" spans="3:5">
      <c r="C579" s="181" t="s">
        <v>565</v>
      </c>
      <c r="D579" s="181" t="s">
        <v>565</v>
      </c>
      <c r="E579" s="181" t="str">
        <f t="shared" si="20"/>
        <v/>
      </c>
    </row>
    <row r="580" spans="3:5">
      <c r="C580" s="181" t="s">
        <v>565</v>
      </c>
      <c r="D580" s="181" t="s">
        <v>565</v>
      </c>
      <c r="E580" s="181" t="str">
        <f t="shared" ref="E580:E643" si="21">IF(C580&lt;D580,C580,D580)</f>
        <v/>
      </c>
    </row>
    <row r="581" spans="3:5">
      <c r="C581" s="181" t="s">
        <v>565</v>
      </c>
      <c r="D581" s="181" t="s">
        <v>565</v>
      </c>
      <c r="E581" s="181" t="str">
        <f t="shared" si="21"/>
        <v/>
      </c>
    </row>
    <row r="582" spans="3:5">
      <c r="C582" s="181" t="s">
        <v>565</v>
      </c>
      <c r="D582" s="181" t="s">
        <v>565</v>
      </c>
      <c r="E582" s="181" t="str">
        <f t="shared" si="21"/>
        <v/>
      </c>
    </row>
    <row r="583" spans="3:5">
      <c r="C583" s="181" t="s">
        <v>565</v>
      </c>
      <c r="D583" s="181" t="s">
        <v>565</v>
      </c>
      <c r="E583" s="181" t="str">
        <f t="shared" si="21"/>
        <v/>
      </c>
    </row>
    <row r="584" spans="3:5">
      <c r="C584" s="181" t="s">
        <v>565</v>
      </c>
      <c r="D584" s="181" t="s">
        <v>565</v>
      </c>
      <c r="E584" s="181" t="str">
        <f t="shared" si="21"/>
        <v/>
      </c>
    </row>
    <row r="585" spans="3:5">
      <c r="C585" s="181" t="s">
        <v>565</v>
      </c>
      <c r="D585" s="181" t="s">
        <v>565</v>
      </c>
      <c r="E585" s="181" t="str">
        <f t="shared" si="21"/>
        <v/>
      </c>
    </row>
    <row r="586" spans="3:5">
      <c r="C586" s="181" t="s">
        <v>565</v>
      </c>
      <c r="D586" s="181" t="s">
        <v>565</v>
      </c>
      <c r="E586" s="181" t="str">
        <f t="shared" si="21"/>
        <v/>
      </c>
    </row>
    <row r="587" spans="3:5">
      <c r="C587" s="181" t="s">
        <v>565</v>
      </c>
      <c r="D587" s="181" t="s">
        <v>565</v>
      </c>
      <c r="E587" s="181" t="str">
        <f t="shared" si="21"/>
        <v/>
      </c>
    </row>
    <row r="588" spans="3:5">
      <c r="C588" s="181" t="s">
        <v>565</v>
      </c>
      <c r="D588" s="181" t="s">
        <v>565</v>
      </c>
      <c r="E588" s="181" t="str">
        <f t="shared" si="21"/>
        <v/>
      </c>
    </row>
    <row r="589" spans="3:5">
      <c r="C589" s="181" t="s">
        <v>565</v>
      </c>
      <c r="D589" s="181" t="s">
        <v>565</v>
      </c>
      <c r="E589" s="181" t="str">
        <f t="shared" si="21"/>
        <v/>
      </c>
    </row>
    <row r="590" spans="3:5">
      <c r="C590" s="181" t="s">
        <v>565</v>
      </c>
      <c r="D590" s="181" t="s">
        <v>565</v>
      </c>
      <c r="E590" s="181" t="str">
        <f t="shared" si="21"/>
        <v/>
      </c>
    </row>
    <row r="591" spans="3:5">
      <c r="C591" s="181" t="s">
        <v>565</v>
      </c>
      <c r="D591" s="181" t="s">
        <v>565</v>
      </c>
      <c r="E591" s="181" t="str">
        <f t="shared" si="21"/>
        <v/>
      </c>
    </row>
    <row r="592" spans="3:5">
      <c r="C592" s="181" t="s">
        <v>565</v>
      </c>
      <c r="D592" s="181" t="s">
        <v>565</v>
      </c>
      <c r="E592" s="181" t="str">
        <f t="shared" si="21"/>
        <v/>
      </c>
    </row>
    <row r="593" spans="3:5">
      <c r="C593" s="181" t="s">
        <v>565</v>
      </c>
      <c r="D593" s="181" t="s">
        <v>565</v>
      </c>
      <c r="E593" s="181" t="str">
        <f t="shared" si="21"/>
        <v/>
      </c>
    </row>
    <row r="594" spans="3:5">
      <c r="C594" s="181" t="s">
        <v>565</v>
      </c>
      <c r="D594" s="181" t="s">
        <v>565</v>
      </c>
      <c r="E594" s="181" t="str">
        <f t="shared" si="21"/>
        <v/>
      </c>
    </row>
    <row r="595" spans="3:5">
      <c r="C595" s="181" t="s">
        <v>565</v>
      </c>
      <c r="D595" s="181" t="s">
        <v>565</v>
      </c>
      <c r="E595" s="181" t="str">
        <f t="shared" si="21"/>
        <v/>
      </c>
    </row>
    <row r="596" spans="3:5">
      <c r="C596" s="181" t="s">
        <v>565</v>
      </c>
      <c r="D596" s="181" t="s">
        <v>565</v>
      </c>
      <c r="E596" s="181" t="str">
        <f t="shared" si="21"/>
        <v/>
      </c>
    </row>
    <row r="597" spans="3:5">
      <c r="C597" s="181" t="s">
        <v>565</v>
      </c>
      <c r="D597" s="181" t="s">
        <v>565</v>
      </c>
      <c r="E597" s="181" t="str">
        <f t="shared" si="21"/>
        <v/>
      </c>
    </row>
    <row r="598" spans="3:5">
      <c r="C598" s="181" t="s">
        <v>565</v>
      </c>
      <c r="D598" s="181" t="s">
        <v>565</v>
      </c>
      <c r="E598" s="181" t="str">
        <f t="shared" si="21"/>
        <v/>
      </c>
    </row>
    <row r="599" spans="3:5">
      <c r="C599" s="181" t="s">
        <v>565</v>
      </c>
      <c r="D599" s="181" t="s">
        <v>565</v>
      </c>
      <c r="E599" s="181" t="str">
        <f t="shared" si="21"/>
        <v/>
      </c>
    </row>
    <row r="600" spans="3:5">
      <c r="C600" s="181" t="s">
        <v>565</v>
      </c>
      <c r="D600" s="181" t="s">
        <v>565</v>
      </c>
      <c r="E600" s="181" t="str">
        <f t="shared" si="21"/>
        <v/>
      </c>
    </row>
    <row r="601" spans="3:5">
      <c r="C601" s="181" t="s">
        <v>565</v>
      </c>
      <c r="D601" s="181" t="s">
        <v>565</v>
      </c>
      <c r="E601" s="181" t="str">
        <f t="shared" si="21"/>
        <v/>
      </c>
    </row>
    <row r="602" spans="3:5">
      <c r="C602" s="181" t="s">
        <v>565</v>
      </c>
      <c r="D602" s="181" t="s">
        <v>565</v>
      </c>
      <c r="E602" s="181" t="str">
        <f t="shared" si="21"/>
        <v/>
      </c>
    </row>
    <row r="603" spans="3:5">
      <c r="C603" s="181" t="s">
        <v>565</v>
      </c>
      <c r="D603" s="181" t="s">
        <v>565</v>
      </c>
      <c r="E603" s="181" t="str">
        <f t="shared" si="21"/>
        <v/>
      </c>
    </row>
    <row r="604" spans="3:5">
      <c r="C604" s="181" t="s">
        <v>565</v>
      </c>
      <c r="D604" s="181" t="s">
        <v>565</v>
      </c>
      <c r="E604" s="181" t="str">
        <f t="shared" si="21"/>
        <v/>
      </c>
    </row>
    <row r="605" spans="3:5">
      <c r="C605" s="181" t="s">
        <v>565</v>
      </c>
      <c r="D605" s="181" t="s">
        <v>565</v>
      </c>
      <c r="E605" s="181" t="str">
        <f t="shared" si="21"/>
        <v/>
      </c>
    </row>
    <row r="606" spans="3:5">
      <c r="C606" s="181" t="s">
        <v>565</v>
      </c>
      <c r="D606" s="181" t="s">
        <v>565</v>
      </c>
      <c r="E606" s="181" t="str">
        <f t="shared" si="21"/>
        <v/>
      </c>
    </row>
    <row r="607" spans="3:5">
      <c r="C607" s="181" t="s">
        <v>565</v>
      </c>
      <c r="D607" s="181" t="s">
        <v>565</v>
      </c>
      <c r="E607" s="181" t="str">
        <f t="shared" si="21"/>
        <v/>
      </c>
    </row>
    <row r="608" spans="3:5">
      <c r="C608" s="181" t="s">
        <v>565</v>
      </c>
      <c r="D608" s="181" t="s">
        <v>565</v>
      </c>
      <c r="E608" s="181" t="str">
        <f t="shared" si="21"/>
        <v/>
      </c>
    </row>
    <row r="609" spans="3:5">
      <c r="C609" s="181" t="s">
        <v>565</v>
      </c>
      <c r="D609" s="181" t="s">
        <v>565</v>
      </c>
      <c r="E609" s="181" t="str">
        <f t="shared" si="21"/>
        <v/>
      </c>
    </row>
    <row r="610" spans="3:5">
      <c r="C610" s="181" t="s">
        <v>565</v>
      </c>
      <c r="D610" s="181" t="s">
        <v>565</v>
      </c>
      <c r="E610" s="181" t="str">
        <f t="shared" si="21"/>
        <v/>
      </c>
    </row>
    <row r="611" spans="3:5">
      <c r="C611" s="181" t="s">
        <v>565</v>
      </c>
      <c r="D611" s="181" t="s">
        <v>565</v>
      </c>
      <c r="E611" s="181" t="str">
        <f t="shared" si="21"/>
        <v/>
      </c>
    </row>
    <row r="612" spans="3:5">
      <c r="C612" s="181" t="s">
        <v>565</v>
      </c>
      <c r="D612" s="181" t="s">
        <v>565</v>
      </c>
      <c r="E612" s="181" t="str">
        <f t="shared" si="21"/>
        <v/>
      </c>
    </row>
    <row r="613" spans="3:5">
      <c r="C613" s="181" t="s">
        <v>565</v>
      </c>
      <c r="D613" s="181" t="s">
        <v>565</v>
      </c>
      <c r="E613" s="181" t="str">
        <f t="shared" si="21"/>
        <v/>
      </c>
    </row>
    <row r="614" spans="3:5">
      <c r="C614" s="181" t="s">
        <v>565</v>
      </c>
      <c r="D614" s="181" t="s">
        <v>565</v>
      </c>
      <c r="E614" s="181" t="str">
        <f t="shared" si="21"/>
        <v/>
      </c>
    </row>
    <row r="615" spans="3:5">
      <c r="C615" s="181" t="s">
        <v>565</v>
      </c>
      <c r="D615" s="181" t="s">
        <v>565</v>
      </c>
      <c r="E615" s="181" t="str">
        <f t="shared" si="21"/>
        <v/>
      </c>
    </row>
    <row r="616" spans="3:5">
      <c r="C616" s="181" t="s">
        <v>565</v>
      </c>
      <c r="D616" s="181" t="s">
        <v>565</v>
      </c>
      <c r="E616" s="181" t="str">
        <f t="shared" si="21"/>
        <v/>
      </c>
    </row>
    <row r="617" spans="3:5">
      <c r="C617" s="181" t="s">
        <v>565</v>
      </c>
      <c r="D617" s="181" t="s">
        <v>565</v>
      </c>
      <c r="E617" s="181" t="str">
        <f t="shared" si="21"/>
        <v/>
      </c>
    </row>
    <row r="618" spans="3:5">
      <c r="C618" s="181" t="s">
        <v>565</v>
      </c>
      <c r="D618" s="181" t="s">
        <v>565</v>
      </c>
      <c r="E618" s="181" t="str">
        <f t="shared" si="21"/>
        <v/>
      </c>
    </row>
    <row r="619" spans="3:5">
      <c r="C619" s="181" t="s">
        <v>565</v>
      </c>
      <c r="D619" s="181" t="s">
        <v>565</v>
      </c>
      <c r="E619" s="181" t="str">
        <f t="shared" si="21"/>
        <v/>
      </c>
    </row>
    <row r="620" spans="3:5">
      <c r="C620" s="181" t="s">
        <v>565</v>
      </c>
      <c r="D620" s="181" t="s">
        <v>565</v>
      </c>
      <c r="E620" s="181" t="str">
        <f t="shared" si="21"/>
        <v/>
      </c>
    </row>
    <row r="621" spans="3:5">
      <c r="C621" s="181" t="s">
        <v>565</v>
      </c>
      <c r="D621" s="181" t="s">
        <v>565</v>
      </c>
      <c r="E621" s="181" t="str">
        <f t="shared" si="21"/>
        <v/>
      </c>
    </row>
    <row r="622" spans="3:5">
      <c r="C622" s="181" t="s">
        <v>565</v>
      </c>
      <c r="D622" s="181" t="s">
        <v>565</v>
      </c>
      <c r="E622" s="181" t="str">
        <f t="shared" si="21"/>
        <v/>
      </c>
    </row>
    <row r="623" spans="3:5">
      <c r="C623" s="181" t="s">
        <v>565</v>
      </c>
      <c r="D623" s="181" t="s">
        <v>565</v>
      </c>
      <c r="E623" s="181" t="str">
        <f t="shared" si="21"/>
        <v/>
      </c>
    </row>
    <row r="624" spans="3:5">
      <c r="C624" s="181" t="s">
        <v>565</v>
      </c>
      <c r="D624" s="181" t="s">
        <v>565</v>
      </c>
      <c r="E624" s="181" t="str">
        <f t="shared" si="21"/>
        <v/>
      </c>
    </row>
    <row r="625" spans="3:5">
      <c r="C625" s="181" t="s">
        <v>565</v>
      </c>
      <c r="D625" s="181" t="s">
        <v>565</v>
      </c>
      <c r="E625" s="181" t="str">
        <f t="shared" si="21"/>
        <v/>
      </c>
    </row>
    <row r="626" spans="3:5">
      <c r="C626" s="181" t="s">
        <v>565</v>
      </c>
      <c r="D626" s="181" t="s">
        <v>565</v>
      </c>
      <c r="E626" s="181" t="str">
        <f t="shared" si="21"/>
        <v/>
      </c>
    </row>
    <row r="627" spans="3:5">
      <c r="C627" s="181" t="s">
        <v>565</v>
      </c>
      <c r="D627" s="181" t="s">
        <v>565</v>
      </c>
      <c r="E627" s="181" t="str">
        <f t="shared" si="21"/>
        <v/>
      </c>
    </row>
    <row r="628" spans="3:5">
      <c r="C628" s="181" t="s">
        <v>565</v>
      </c>
      <c r="D628" s="181" t="s">
        <v>565</v>
      </c>
      <c r="E628" s="181" t="str">
        <f t="shared" si="21"/>
        <v/>
      </c>
    </row>
    <row r="629" spans="3:5">
      <c r="C629" s="181" t="s">
        <v>565</v>
      </c>
      <c r="D629" s="181" t="s">
        <v>565</v>
      </c>
      <c r="E629" s="181" t="str">
        <f t="shared" si="21"/>
        <v/>
      </c>
    </row>
    <row r="630" spans="3:5">
      <c r="C630" s="181" t="s">
        <v>565</v>
      </c>
      <c r="D630" s="181" t="s">
        <v>565</v>
      </c>
      <c r="E630" s="181" t="str">
        <f t="shared" si="21"/>
        <v/>
      </c>
    </row>
    <row r="631" spans="3:5">
      <c r="C631" s="181" t="s">
        <v>565</v>
      </c>
      <c r="D631" s="181" t="s">
        <v>565</v>
      </c>
      <c r="E631" s="181" t="str">
        <f t="shared" si="21"/>
        <v/>
      </c>
    </row>
    <row r="632" spans="3:5">
      <c r="C632" s="181" t="s">
        <v>565</v>
      </c>
      <c r="D632" s="181" t="s">
        <v>565</v>
      </c>
      <c r="E632" s="181" t="str">
        <f t="shared" si="21"/>
        <v/>
      </c>
    </row>
    <row r="633" spans="3:5">
      <c r="C633" s="181" t="s">
        <v>565</v>
      </c>
      <c r="D633" s="181" t="s">
        <v>565</v>
      </c>
      <c r="E633" s="181" t="str">
        <f t="shared" si="21"/>
        <v/>
      </c>
    </row>
    <row r="634" spans="3:5">
      <c r="C634" s="181" t="s">
        <v>565</v>
      </c>
      <c r="D634" s="181" t="s">
        <v>565</v>
      </c>
      <c r="E634" s="181" t="str">
        <f t="shared" si="21"/>
        <v/>
      </c>
    </row>
    <row r="635" spans="3:5">
      <c r="C635" s="181" t="s">
        <v>565</v>
      </c>
      <c r="D635" s="181" t="s">
        <v>565</v>
      </c>
      <c r="E635" s="181" t="str">
        <f t="shared" si="21"/>
        <v/>
      </c>
    </row>
    <row r="636" spans="3:5">
      <c r="C636" s="181" t="s">
        <v>565</v>
      </c>
      <c r="D636" s="181" t="s">
        <v>565</v>
      </c>
      <c r="E636" s="181" t="str">
        <f t="shared" si="21"/>
        <v/>
      </c>
    </row>
    <row r="637" spans="3:5">
      <c r="C637" s="181" t="s">
        <v>565</v>
      </c>
      <c r="D637" s="181" t="s">
        <v>565</v>
      </c>
      <c r="E637" s="181" t="str">
        <f t="shared" si="21"/>
        <v/>
      </c>
    </row>
    <row r="638" spans="3:5">
      <c r="C638" s="181" t="s">
        <v>565</v>
      </c>
      <c r="D638" s="181" t="s">
        <v>565</v>
      </c>
      <c r="E638" s="181" t="str">
        <f t="shared" si="21"/>
        <v/>
      </c>
    </row>
    <row r="639" spans="3:5">
      <c r="C639" s="181" t="s">
        <v>565</v>
      </c>
      <c r="D639" s="181" t="s">
        <v>565</v>
      </c>
      <c r="E639" s="181" t="str">
        <f t="shared" si="21"/>
        <v/>
      </c>
    </row>
    <row r="640" spans="3:5">
      <c r="C640" s="181" t="s">
        <v>565</v>
      </c>
      <c r="D640" s="181" t="s">
        <v>565</v>
      </c>
      <c r="E640" s="181" t="str">
        <f t="shared" si="21"/>
        <v/>
      </c>
    </row>
    <row r="641" spans="3:5">
      <c r="C641" s="181" t="s">
        <v>565</v>
      </c>
      <c r="D641" s="181" t="s">
        <v>565</v>
      </c>
      <c r="E641" s="181" t="str">
        <f t="shared" si="21"/>
        <v/>
      </c>
    </row>
    <row r="642" spans="3:5">
      <c r="C642" s="181" t="s">
        <v>565</v>
      </c>
      <c r="D642" s="181" t="s">
        <v>565</v>
      </c>
      <c r="E642" s="181" t="str">
        <f t="shared" si="21"/>
        <v/>
      </c>
    </row>
    <row r="643" spans="3:5">
      <c r="C643" s="181" t="s">
        <v>565</v>
      </c>
      <c r="D643" s="181" t="s">
        <v>565</v>
      </c>
      <c r="E643" s="181" t="str">
        <f t="shared" si="21"/>
        <v/>
      </c>
    </row>
    <row r="644" spans="3:5">
      <c r="C644" s="181" t="s">
        <v>565</v>
      </c>
      <c r="D644" s="181" t="s">
        <v>565</v>
      </c>
      <c r="E644" s="181" t="str">
        <f t="shared" ref="E644:E707" si="22">IF(C644&lt;D644,C644,D644)</f>
        <v/>
      </c>
    </row>
    <row r="645" spans="3:5">
      <c r="C645" s="181" t="s">
        <v>565</v>
      </c>
      <c r="D645" s="181" t="s">
        <v>565</v>
      </c>
      <c r="E645" s="181" t="str">
        <f t="shared" si="22"/>
        <v/>
      </c>
    </row>
    <row r="646" spans="3:5">
      <c r="C646" s="181" t="s">
        <v>565</v>
      </c>
      <c r="D646" s="181" t="s">
        <v>565</v>
      </c>
      <c r="E646" s="181" t="str">
        <f t="shared" si="22"/>
        <v/>
      </c>
    </row>
    <row r="647" spans="3:5">
      <c r="C647" s="181" t="s">
        <v>565</v>
      </c>
      <c r="D647" s="181" t="s">
        <v>565</v>
      </c>
      <c r="E647" s="181" t="str">
        <f t="shared" si="22"/>
        <v/>
      </c>
    </row>
    <row r="648" spans="3:5">
      <c r="C648" s="181" t="s">
        <v>565</v>
      </c>
      <c r="D648" s="181" t="s">
        <v>565</v>
      </c>
      <c r="E648" s="181" t="str">
        <f t="shared" si="22"/>
        <v/>
      </c>
    </row>
    <row r="649" spans="3:5">
      <c r="C649" s="181" t="s">
        <v>565</v>
      </c>
      <c r="D649" s="181" t="s">
        <v>565</v>
      </c>
      <c r="E649" s="181" t="str">
        <f t="shared" si="22"/>
        <v/>
      </c>
    </row>
    <row r="650" spans="3:5">
      <c r="C650" s="181" t="s">
        <v>565</v>
      </c>
      <c r="D650" s="181" t="s">
        <v>565</v>
      </c>
      <c r="E650" s="181" t="str">
        <f t="shared" si="22"/>
        <v/>
      </c>
    </row>
    <row r="651" spans="3:5">
      <c r="C651" s="181" t="s">
        <v>565</v>
      </c>
      <c r="D651" s="181" t="s">
        <v>565</v>
      </c>
      <c r="E651" s="181" t="str">
        <f t="shared" si="22"/>
        <v/>
      </c>
    </row>
    <row r="652" spans="3:5">
      <c r="C652" s="181" t="s">
        <v>565</v>
      </c>
      <c r="D652" s="181" t="s">
        <v>565</v>
      </c>
      <c r="E652" s="181" t="str">
        <f t="shared" si="22"/>
        <v/>
      </c>
    </row>
    <row r="653" spans="3:5">
      <c r="C653" s="181" t="s">
        <v>565</v>
      </c>
      <c r="D653" s="181" t="s">
        <v>565</v>
      </c>
      <c r="E653" s="181" t="str">
        <f t="shared" si="22"/>
        <v/>
      </c>
    </row>
    <row r="654" spans="3:5">
      <c r="C654" s="181" t="s">
        <v>565</v>
      </c>
      <c r="D654" s="181" t="s">
        <v>565</v>
      </c>
      <c r="E654" s="181" t="str">
        <f t="shared" si="22"/>
        <v/>
      </c>
    </row>
    <row r="655" spans="3:5">
      <c r="C655" s="181" t="s">
        <v>565</v>
      </c>
      <c r="D655" s="181" t="s">
        <v>565</v>
      </c>
      <c r="E655" s="181" t="str">
        <f t="shared" si="22"/>
        <v/>
      </c>
    </row>
    <row r="656" spans="3:5">
      <c r="C656" s="181" t="s">
        <v>565</v>
      </c>
      <c r="D656" s="181" t="s">
        <v>565</v>
      </c>
      <c r="E656" s="181" t="str">
        <f t="shared" si="22"/>
        <v/>
      </c>
    </row>
    <row r="657" spans="3:5">
      <c r="C657" s="181" t="s">
        <v>565</v>
      </c>
      <c r="D657" s="181" t="s">
        <v>565</v>
      </c>
      <c r="E657" s="181" t="str">
        <f t="shared" si="22"/>
        <v/>
      </c>
    </row>
    <row r="658" spans="3:5">
      <c r="C658" s="181" t="s">
        <v>565</v>
      </c>
      <c r="D658" s="181" t="s">
        <v>565</v>
      </c>
      <c r="E658" s="181" t="str">
        <f t="shared" si="22"/>
        <v/>
      </c>
    </row>
    <row r="659" spans="3:5">
      <c r="C659" s="181" t="s">
        <v>565</v>
      </c>
      <c r="D659" s="181" t="s">
        <v>565</v>
      </c>
      <c r="E659" s="181" t="str">
        <f t="shared" si="22"/>
        <v/>
      </c>
    </row>
    <row r="660" spans="3:5">
      <c r="C660" s="181" t="s">
        <v>565</v>
      </c>
      <c r="D660" s="181" t="s">
        <v>565</v>
      </c>
      <c r="E660" s="181" t="str">
        <f t="shared" si="22"/>
        <v/>
      </c>
    </row>
    <row r="661" spans="3:5">
      <c r="C661" s="181" t="s">
        <v>565</v>
      </c>
      <c r="D661" s="181" t="s">
        <v>565</v>
      </c>
      <c r="E661" s="181" t="str">
        <f t="shared" si="22"/>
        <v/>
      </c>
    </row>
    <row r="662" spans="3:5">
      <c r="C662" s="181" t="s">
        <v>565</v>
      </c>
      <c r="D662" s="181" t="s">
        <v>565</v>
      </c>
      <c r="E662" s="181" t="str">
        <f t="shared" si="22"/>
        <v/>
      </c>
    </row>
    <row r="663" spans="3:5">
      <c r="C663" s="181" t="s">
        <v>565</v>
      </c>
      <c r="D663" s="181" t="s">
        <v>565</v>
      </c>
      <c r="E663" s="181" t="str">
        <f t="shared" si="22"/>
        <v/>
      </c>
    </row>
    <row r="664" spans="3:5">
      <c r="C664" s="181" t="s">
        <v>565</v>
      </c>
      <c r="D664" s="181" t="s">
        <v>565</v>
      </c>
      <c r="E664" s="181" t="str">
        <f t="shared" si="22"/>
        <v/>
      </c>
    </row>
    <row r="665" spans="3:5">
      <c r="C665" s="181" t="s">
        <v>565</v>
      </c>
      <c r="D665" s="181" t="s">
        <v>565</v>
      </c>
      <c r="E665" s="181" t="str">
        <f t="shared" si="22"/>
        <v/>
      </c>
    </row>
    <row r="666" spans="3:5">
      <c r="C666" s="181" t="s">
        <v>565</v>
      </c>
      <c r="D666" s="181" t="s">
        <v>565</v>
      </c>
      <c r="E666" s="181" t="str">
        <f t="shared" si="22"/>
        <v/>
      </c>
    </row>
    <row r="667" spans="3:5">
      <c r="C667" s="181" t="s">
        <v>565</v>
      </c>
      <c r="D667" s="181" t="s">
        <v>565</v>
      </c>
      <c r="E667" s="181" t="str">
        <f t="shared" si="22"/>
        <v/>
      </c>
    </row>
    <row r="668" spans="3:5">
      <c r="C668" s="181" t="s">
        <v>565</v>
      </c>
      <c r="D668" s="181" t="s">
        <v>565</v>
      </c>
      <c r="E668" s="181" t="str">
        <f t="shared" si="22"/>
        <v/>
      </c>
    </row>
    <row r="669" spans="3:5">
      <c r="C669" s="181" t="s">
        <v>565</v>
      </c>
      <c r="D669" s="181" t="s">
        <v>565</v>
      </c>
      <c r="E669" s="181" t="str">
        <f t="shared" si="22"/>
        <v/>
      </c>
    </row>
    <row r="670" spans="3:5">
      <c r="C670" s="181" t="s">
        <v>565</v>
      </c>
      <c r="D670" s="181" t="s">
        <v>565</v>
      </c>
      <c r="E670" s="181" t="str">
        <f t="shared" si="22"/>
        <v/>
      </c>
    </row>
    <row r="671" spans="3:5">
      <c r="C671" s="181" t="s">
        <v>565</v>
      </c>
      <c r="D671" s="181" t="s">
        <v>565</v>
      </c>
      <c r="E671" s="181" t="str">
        <f t="shared" si="22"/>
        <v/>
      </c>
    </row>
    <row r="672" spans="3:5">
      <c r="C672" s="181" t="s">
        <v>565</v>
      </c>
      <c r="D672" s="181" t="s">
        <v>565</v>
      </c>
      <c r="E672" s="181" t="str">
        <f t="shared" si="22"/>
        <v/>
      </c>
    </row>
    <row r="673" spans="3:5">
      <c r="C673" s="181" t="s">
        <v>565</v>
      </c>
      <c r="D673" s="181" t="s">
        <v>565</v>
      </c>
      <c r="E673" s="181" t="str">
        <f t="shared" si="22"/>
        <v/>
      </c>
    </row>
    <row r="674" spans="3:5">
      <c r="C674" s="181" t="s">
        <v>565</v>
      </c>
      <c r="D674" s="181" t="s">
        <v>565</v>
      </c>
      <c r="E674" s="181" t="str">
        <f t="shared" si="22"/>
        <v/>
      </c>
    </row>
    <row r="675" spans="3:5">
      <c r="C675" s="181" t="s">
        <v>565</v>
      </c>
      <c r="D675" s="181" t="s">
        <v>565</v>
      </c>
      <c r="E675" s="181" t="str">
        <f t="shared" si="22"/>
        <v/>
      </c>
    </row>
    <row r="676" spans="3:5">
      <c r="C676" s="181" t="s">
        <v>565</v>
      </c>
      <c r="D676" s="181" t="s">
        <v>565</v>
      </c>
      <c r="E676" s="181" t="str">
        <f t="shared" si="22"/>
        <v/>
      </c>
    </row>
    <row r="677" spans="3:5">
      <c r="C677" s="181" t="s">
        <v>565</v>
      </c>
      <c r="D677" s="181" t="s">
        <v>565</v>
      </c>
      <c r="E677" s="181" t="str">
        <f t="shared" si="22"/>
        <v/>
      </c>
    </row>
    <row r="678" spans="3:5">
      <c r="C678" s="181" t="s">
        <v>565</v>
      </c>
      <c r="D678" s="181" t="s">
        <v>565</v>
      </c>
      <c r="E678" s="181" t="str">
        <f t="shared" si="22"/>
        <v/>
      </c>
    </row>
    <row r="679" spans="3:5">
      <c r="C679" s="181" t="s">
        <v>565</v>
      </c>
      <c r="D679" s="181" t="s">
        <v>565</v>
      </c>
      <c r="E679" s="181" t="str">
        <f t="shared" si="22"/>
        <v/>
      </c>
    </row>
    <row r="680" spans="3:5">
      <c r="C680" s="181" t="s">
        <v>565</v>
      </c>
      <c r="D680" s="181" t="s">
        <v>565</v>
      </c>
      <c r="E680" s="181" t="str">
        <f t="shared" si="22"/>
        <v/>
      </c>
    </row>
    <row r="681" spans="3:5">
      <c r="C681" s="181" t="s">
        <v>565</v>
      </c>
      <c r="D681" s="181" t="s">
        <v>565</v>
      </c>
      <c r="E681" s="181" t="str">
        <f t="shared" si="22"/>
        <v/>
      </c>
    </row>
    <row r="682" spans="3:5">
      <c r="C682" s="181" t="s">
        <v>565</v>
      </c>
      <c r="D682" s="181" t="s">
        <v>565</v>
      </c>
      <c r="E682" s="181" t="str">
        <f t="shared" si="22"/>
        <v/>
      </c>
    </row>
    <row r="683" spans="3:5">
      <c r="C683" s="181" t="s">
        <v>565</v>
      </c>
      <c r="D683" s="181" t="s">
        <v>565</v>
      </c>
      <c r="E683" s="181" t="str">
        <f t="shared" si="22"/>
        <v/>
      </c>
    </row>
    <row r="684" spans="3:5">
      <c r="C684" s="181" t="s">
        <v>565</v>
      </c>
      <c r="D684" s="181" t="s">
        <v>565</v>
      </c>
      <c r="E684" s="181" t="str">
        <f t="shared" si="22"/>
        <v/>
      </c>
    </row>
    <row r="685" spans="3:5">
      <c r="C685" s="181" t="s">
        <v>565</v>
      </c>
      <c r="D685" s="181" t="s">
        <v>565</v>
      </c>
      <c r="E685" s="181" t="str">
        <f t="shared" si="22"/>
        <v/>
      </c>
    </row>
    <row r="686" spans="3:5">
      <c r="C686" s="181" t="s">
        <v>565</v>
      </c>
      <c r="D686" s="181" t="s">
        <v>565</v>
      </c>
      <c r="E686" s="181" t="str">
        <f t="shared" si="22"/>
        <v/>
      </c>
    </row>
    <row r="687" spans="3:5">
      <c r="C687" s="181" t="s">
        <v>565</v>
      </c>
      <c r="D687" s="181" t="s">
        <v>565</v>
      </c>
      <c r="E687" s="181" t="str">
        <f t="shared" si="22"/>
        <v/>
      </c>
    </row>
    <row r="688" spans="3:5">
      <c r="C688" s="181" t="s">
        <v>565</v>
      </c>
      <c r="D688" s="181" t="s">
        <v>565</v>
      </c>
      <c r="E688" s="181" t="str">
        <f t="shared" si="22"/>
        <v/>
      </c>
    </row>
    <row r="689" spans="3:5">
      <c r="C689" s="181" t="s">
        <v>565</v>
      </c>
      <c r="D689" s="181" t="s">
        <v>565</v>
      </c>
      <c r="E689" s="181" t="str">
        <f t="shared" si="22"/>
        <v/>
      </c>
    </row>
    <row r="690" spans="3:5">
      <c r="C690" s="181" t="s">
        <v>565</v>
      </c>
      <c r="D690" s="181" t="s">
        <v>565</v>
      </c>
      <c r="E690" s="181" t="str">
        <f t="shared" si="22"/>
        <v/>
      </c>
    </row>
    <row r="691" spans="3:5">
      <c r="C691" s="181" t="s">
        <v>565</v>
      </c>
      <c r="D691" s="181" t="s">
        <v>565</v>
      </c>
      <c r="E691" s="181" t="str">
        <f t="shared" si="22"/>
        <v/>
      </c>
    </row>
    <row r="692" spans="3:5">
      <c r="C692" s="181" t="s">
        <v>565</v>
      </c>
      <c r="D692" s="181" t="s">
        <v>565</v>
      </c>
      <c r="E692" s="181" t="str">
        <f t="shared" si="22"/>
        <v/>
      </c>
    </row>
    <row r="693" spans="3:5">
      <c r="C693" s="181" t="s">
        <v>565</v>
      </c>
      <c r="D693" s="181" t="s">
        <v>565</v>
      </c>
      <c r="E693" s="181" t="str">
        <f t="shared" si="22"/>
        <v/>
      </c>
    </row>
    <row r="694" spans="3:5">
      <c r="C694" s="181" t="s">
        <v>565</v>
      </c>
      <c r="D694" s="181" t="s">
        <v>565</v>
      </c>
      <c r="E694" s="181" t="str">
        <f t="shared" si="22"/>
        <v/>
      </c>
    </row>
    <row r="695" spans="3:5">
      <c r="C695" s="181" t="s">
        <v>565</v>
      </c>
      <c r="D695" s="181" t="s">
        <v>565</v>
      </c>
      <c r="E695" s="181" t="str">
        <f t="shared" si="22"/>
        <v/>
      </c>
    </row>
    <row r="696" spans="3:5">
      <c r="C696" s="181" t="s">
        <v>565</v>
      </c>
      <c r="D696" s="181" t="s">
        <v>565</v>
      </c>
      <c r="E696" s="181" t="str">
        <f t="shared" si="22"/>
        <v/>
      </c>
    </row>
    <row r="697" spans="3:5">
      <c r="C697" s="181" t="s">
        <v>565</v>
      </c>
      <c r="D697" s="181" t="s">
        <v>565</v>
      </c>
      <c r="E697" s="181" t="str">
        <f t="shared" si="22"/>
        <v/>
      </c>
    </row>
    <row r="698" spans="3:5">
      <c r="C698" s="181" t="s">
        <v>565</v>
      </c>
      <c r="D698" s="181" t="s">
        <v>565</v>
      </c>
      <c r="E698" s="181" t="str">
        <f t="shared" si="22"/>
        <v/>
      </c>
    </row>
    <row r="699" spans="3:5">
      <c r="C699" s="181" t="s">
        <v>565</v>
      </c>
      <c r="D699" s="181" t="s">
        <v>565</v>
      </c>
      <c r="E699" s="181" t="str">
        <f t="shared" si="22"/>
        <v/>
      </c>
    </row>
    <row r="700" spans="3:5">
      <c r="C700" s="181" t="s">
        <v>565</v>
      </c>
      <c r="D700" s="181" t="s">
        <v>565</v>
      </c>
      <c r="E700" s="181" t="str">
        <f t="shared" si="22"/>
        <v/>
      </c>
    </row>
    <row r="701" spans="3:5">
      <c r="C701" s="181" t="s">
        <v>565</v>
      </c>
      <c r="D701" s="181" t="s">
        <v>565</v>
      </c>
      <c r="E701" s="181" t="str">
        <f t="shared" si="22"/>
        <v/>
      </c>
    </row>
    <row r="702" spans="3:5">
      <c r="C702" s="181" t="s">
        <v>565</v>
      </c>
      <c r="D702" s="181" t="s">
        <v>565</v>
      </c>
      <c r="E702" s="181" t="str">
        <f t="shared" si="22"/>
        <v/>
      </c>
    </row>
    <row r="703" spans="3:5">
      <c r="C703" s="181" t="s">
        <v>565</v>
      </c>
      <c r="D703" s="181" t="s">
        <v>565</v>
      </c>
      <c r="E703" s="181" t="str">
        <f t="shared" si="22"/>
        <v/>
      </c>
    </row>
    <row r="704" spans="3:5">
      <c r="C704" s="181" t="s">
        <v>565</v>
      </c>
      <c r="D704" s="181" t="s">
        <v>565</v>
      </c>
      <c r="E704" s="181" t="str">
        <f t="shared" si="22"/>
        <v/>
      </c>
    </row>
    <row r="705" spans="3:5">
      <c r="C705" s="181" t="s">
        <v>565</v>
      </c>
      <c r="D705" s="181" t="s">
        <v>565</v>
      </c>
      <c r="E705" s="181" t="str">
        <f t="shared" si="22"/>
        <v/>
      </c>
    </row>
    <row r="706" spans="3:5">
      <c r="C706" s="181" t="s">
        <v>565</v>
      </c>
      <c r="D706" s="181" t="s">
        <v>565</v>
      </c>
      <c r="E706" s="181" t="str">
        <f t="shared" si="22"/>
        <v/>
      </c>
    </row>
    <row r="707" spans="3:5">
      <c r="C707" s="181" t="s">
        <v>565</v>
      </c>
      <c r="D707" s="181" t="s">
        <v>565</v>
      </c>
      <c r="E707" s="181" t="str">
        <f t="shared" si="22"/>
        <v/>
      </c>
    </row>
    <row r="708" spans="3:5">
      <c r="C708" s="181" t="s">
        <v>565</v>
      </c>
      <c r="D708" s="181" t="s">
        <v>565</v>
      </c>
      <c r="E708" s="181" t="str">
        <f t="shared" ref="E708:E771" si="23">IF(C708&lt;D708,C708,D708)</f>
        <v/>
      </c>
    </row>
    <row r="709" spans="3:5">
      <c r="C709" s="181" t="s">
        <v>565</v>
      </c>
      <c r="D709" s="181" t="s">
        <v>565</v>
      </c>
      <c r="E709" s="181" t="str">
        <f t="shared" si="23"/>
        <v/>
      </c>
    </row>
    <row r="710" spans="3:5">
      <c r="C710" s="181" t="s">
        <v>565</v>
      </c>
      <c r="D710" s="181" t="s">
        <v>565</v>
      </c>
      <c r="E710" s="181" t="str">
        <f t="shared" si="23"/>
        <v/>
      </c>
    </row>
    <row r="711" spans="3:5">
      <c r="C711" s="181" t="s">
        <v>565</v>
      </c>
      <c r="D711" s="181" t="s">
        <v>565</v>
      </c>
      <c r="E711" s="181" t="str">
        <f t="shared" si="23"/>
        <v/>
      </c>
    </row>
    <row r="712" spans="3:5">
      <c r="C712" s="181" t="s">
        <v>565</v>
      </c>
      <c r="D712" s="181" t="s">
        <v>565</v>
      </c>
      <c r="E712" s="181" t="str">
        <f t="shared" si="23"/>
        <v/>
      </c>
    </row>
    <row r="713" spans="3:5">
      <c r="C713" s="181" t="s">
        <v>565</v>
      </c>
      <c r="D713" s="181" t="s">
        <v>565</v>
      </c>
      <c r="E713" s="181" t="str">
        <f t="shared" si="23"/>
        <v/>
      </c>
    </row>
    <row r="714" spans="3:5">
      <c r="C714" s="181" t="s">
        <v>565</v>
      </c>
      <c r="D714" s="181" t="s">
        <v>565</v>
      </c>
      <c r="E714" s="181" t="str">
        <f t="shared" si="23"/>
        <v/>
      </c>
    </row>
    <row r="715" spans="3:5">
      <c r="C715" s="181" t="s">
        <v>565</v>
      </c>
      <c r="D715" s="181" t="s">
        <v>565</v>
      </c>
      <c r="E715" s="181" t="str">
        <f t="shared" si="23"/>
        <v/>
      </c>
    </row>
    <row r="716" spans="3:5">
      <c r="C716" s="181" t="s">
        <v>565</v>
      </c>
      <c r="D716" s="181" t="s">
        <v>565</v>
      </c>
      <c r="E716" s="181" t="str">
        <f t="shared" si="23"/>
        <v/>
      </c>
    </row>
    <row r="717" spans="3:5">
      <c r="C717" s="181" t="s">
        <v>565</v>
      </c>
      <c r="D717" s="181" t="s">
        <v>565</v>
      </c>
      <c r="E717" s="181" t="str">
        <f t="shared" si="23"/>
        <v/>
      </c>
    </row>
    <row r="718" spans="3:5">
      <c r="C718" s="181" t="s">
        <v>565</v>
      </c>
      <c r="D718" s="181" t="s">
        <v>565</v>
      </c>
      <c r="E718" s="181" t="str">
        <f t="shared" si="23"/>
        <v/>
      </c>
    </row>
    <row r="719" spans="3:5">
      <c r="C719" s="181" t="s">
        <v>565</v>
      </c>
      <c r="D719" s="181" t="s">
        <v>565</v>
      </c>
      <c r="E719" s="181" t="str">
        <f t="shared" si="23"/>
        <v/>
      </c>
    </row>
    <row r="720" spans="3:5">
      <c r="C720" s="181" t="s">
        <v>565</v>
      </c>
      <c r="D720" s="181" t="s">
        <v>565</v>
      </c>
      <c r="E720" s="181" t="str">
        <f t="shared" si="23"/>
        <v/>
      </c>
    </row>
    <row r="721" spans="3:5">
      <c r="C721" s="181" t="s">
        <v>565</v>
      </c>
      <c r="D721" s="181" t="s">
        <v>565</v>
      </c>
      <c r="E721" s="181" t="str">
        <f t="shared" si="23"/>
        <v/>
      </c>
    </row>
    <row r="722" spans="3:5">
      <c r="C722" s="181" t="s">
        <v>565</v>
      </c>
      <c r="D722" s="181" t="s">
        <v>565</v>
      </c>
      <c r="E722" s="181" t="str">
        <f t="shared" si="23"/>
        <v/>
      </c>
    </row>
    <row r="723" spans="3:5">
      <c r="C723" s="181" t="s">
        <v>565</v>
      </c>
      <c r="D723" s="181" t="s">
        <v>565</v>
      </c>
      <c r="E723" s="181" t="str">
        <f t="shared" si="23"/>
        <v/>
      </c>
    </row>
    <row r="724" spans="3:5">
      <c r="C724" s="181" t="s">
        <v>565</v>
      </c>
      <c r="D724" s="181" t="s">
        <v>565</v>
      </c>
      <c r="E724" s="181" t="str">
        <f t="shared" si="23"/>
        <v/>
      </c>
    </row>
    <row r="725" spans="3:5">
      <c r="C725" s="181" t="s">
        <v>565</v>
      </c>
      <c r="D725" s="181" t="s">
        <v>565</v>
      </c>
      <c r="E725" s="181" t="str">
        <f t="shared" si="23"/>
        <v/>
      </c>
    </row>
    <row r="726" spans="3:5">
      <c r="C726" s="181" t="s">
        <v>565</v>
      </c>
      <c r="D726" s="181" t="s">
        <v>565</v>
      </c>
      <c r="E726" s="181" t="str">
        <f t="shared" si="23"/>
        <v/>
      </c>
    </row>
    <row r="727" spans="3:5">
      <c r="C727" s="181" t="s">
        <v>565</v>
      </c>
      <c r="D727" s="181" t="s">
        <v>565</v>
      </c>
      <c r="E727" s="181" t="str">
        <f t="shared" si="23"/>
        <v/>
      </c>
    </row>
    <row r="728" spans="3:5">
      <c r="C728" s="181" t="s">
        <v>565</v>
      </c>
      <c r="D728" s="181" t="s">
        <v>565</v>
      </c>
      <c r="E728" s="181" t="str">
        <f t="shared" si="23"/>
        <v/>
      </c>
    </row>
    <row r="729" spans="3:5">
      <c r="C729" s="181" t="s">
        <v>565</v>
      </c>
      <c r="D729" s="181" t="s">
        <v>565</v>
      </c>
      <c r="E729" s="181" t="str">
        <f t="shared" si="23"/>
        <v/>
      </c>
    </row>
    <row r="730" spans="3:5">
      <c r="C730" s="181" t="s">
        <v>565</v>
      </c>
      <c r="D730" s="181" t="s">
        <v>565</v>
      </c>
      <c r="E730" s="181" t="str">
        <f t="shared" si="23"/>
        <v/>
      </c>
    </row>
    <row r="731" spans="3:5">
      <c r="C731" s="181" t="s">
        <v>565</v>
      </c>
      <c r="D731" s="181" t="s">
        <v>565</v>
      </c>
      <c r="E731" s="181" t="str">
        <f t="shared" si="23"/>
        <v/>
      </c>
    </row>
    <row r="732" spans="3:5">
      <c r="C732" s="181" t="s">
        <v>565</v>
      </c>
      <c r="D732" s="181" t="s">
        <v>565</v>
      </c>
      <c r="E732" s="181" t="str">
        <f t="shared" si="23"/>
        <v/>
      </c>
    </row>
    <row r="733" spans="3:5">
      <c r="C733" s="181" t="s">
        <v>565</v>
      </c>
      <c r="D733" s="181" t="s">
        <v>565</v>
      </c>
      <c r="E733" s="181" t="str">
        <f t="shared" si="23"/>
        <v/>
      </c>
    </row>
    <row r="734" spans="3:5">
      <c r="C734" s="181" t="s">
        <v>565</v>
      </c>
      <c r="D734" s="181" t="s">
        <v>565</v>
      </c>
      <c r="E734" s="181" t="str">
        <f t="shared" si="23"/>
        <v/>
      </c>
    </row>
    <row r="735" spans="3:5">
      <c r="C735" s="181" t="s">
        <v>565</v>
      </c>
      <c r="D735" s="181" t="s">
        <v>565</v>
      </c>
      <c r="E735" s="181" t="str">
        <f t="shared" si="23"/>
        <v/>
      </c>
    </row>
    <row r="736" spans="3:5">
      <c r="C736" s="181" t="s">
        <v>565</v>
      </c>
      <c r="D736" s="181" t="s">
        <v>565</v>
      </c>
      <c r="E736" s="181" t="str">
        <f t="shared" si="23"/>
        <v/>
      </c>
    </row>
    <row r="737" spans="3:5">
      <c r="C737" s="181" t="s">
        <v>565</v>
      </c>
      <c r="D737" s="181" t="s">
        <v>565</v>
      </c>
      <c r="E737" s="181" t="str">
        <f t="shared" si="23"/>
        <v/>
      </c>
    </row>
    <row r="738" spans="3:5">
      <c r="C738" s="181" t="s">
        <v>565</v>
      </c>
      <c r="D738" s="181" t="s">
        <v>565</v>
      </c>
      <c r="E738" s="181" t="str">
        <f t="shared" si="23"/>
        <v/>
      </c>
    </row>
    <row r="739" spans="3:5">
      <c r="C739" s="181" t="s">
        <v>565</v>
      </c>
      <c r="D739" s="181" t="s">
        <v>565</v>
      </c>
      <c r="E739" s="181" t="str">
        <f t="shared" si="23"/>
        <v/>
      </c>
    </row>
    <row r="740" spans="3:5">
      <c r="C740" s="181" t="s">
        <v>565</v>
      </c>
      <c r="D740" s="181" t="s">
        <v>565</v>
      </c>
      <c r="E740" s="181" t="str">
        <f t="shared" si="23"/>
        <v/>
      </c>
    </row>
    <row r="741" spans="3:5">
      <c r="C741" s="181" t="s">
        <v>565</v>
      </c>
      <c r="D741" s="181" t="s">
        <v>565</v>
      </c>
      <c r="E741" s="181" t="str">
        <f t="shared" si="23"/>
        <v/>
      </c>
    </row>
    <row r="742" spans="3:5">
      <c r="C742" s="181" t="s">
        <v>565</v>
      </c>
      <c r="D742" s="181" t="s">
        <v>565</v>
      </c>
      <c r="E742" s="181" t="str">
        <f t="shared" si="23"/>
        <v/>
      </c>
    </row>
    <row r="743" spans="3:5">
      <c r="C743" s="181" t="s">
        <v>565</v>
      </c>
      <c r="D743" s="181" t="s">
        <v>565</v>
      </c>
      <c r="E743" s="181" t="str">
        <f t="shared" si="23"/>
        <v/>
      </c>
    </row>
    <row r="744" spans="3:5">
      <c r="C744" s="181" t="s">
        <v>565</v>
      </c>
      <c r="D744" s="181" t="s">
        <v>565</v>
      </c>
      <c r="E744" s="181" t="str">
        <f t="shared" si="23"/>
        <v/>
      </c>
    </row>
    <row r="745" spans="3:5">
      <c r="C745" s="181" t="s">
        <v>565</v>
      </c>
      <c r="D745" s="181" t="s">
        <v>565</v>
      </c>
      <c r="E745" s="181" t="str">
        <f t="shared" si="23"/>
        <v/>
      </c>
    </row>
    <row r="746" spans="3:5">
      <c r="C746" s="181" t="s">
        <v>565</v>
      </c>
      <c r="D746" s="181" t="s">
        <v>565</v>
      </c>
      <c r="E746" s="181" t="str">
        <f t="shared" si="23"/>
        <v/>
      </c>
    </row>
    <row r="747" spans="3:5">
      <c r="C747" s="181" t="s">
        <v>565</v>
      </c>
      <c r="D747" s="181" t="s">
        <v>565</v>
      </c>
      <c r="E747" s="181" t="str">
        <f t="shared" si="23"/>
        <v/>
      </c>
    </row>
    <row r="748" spans="3:5">
      <c r="C748" s="181" t="s">
        <v>565</v>
      </c>
      <c r="D748" s="181" t="s">
        <v>565</v>
      </c>
      <c r="E748" s="181" t="str">
        <f t="shared" si="23"/>
        <v/>
      </c>
    </row>
    <row r="749" spans="3:5">
      <c r="C749" s="181" t="s">
        <v>565</v>
      </c>
      <c r="D749" s="181" t="s">
        <v>565</v>
      </c>
      <c r="E749" s="181" t="str">
        <f t="shared" si="23"/>
        <v/>
      </c>
    </row>
    <row r="750" spans="3:5">
      <c r="C750" s="181" t="s">
        <v>565</v>
      </c>
      <c r="D750" s="181" t="s">
        <v>565</v>
      </c>
      <c r="E750" s="181" t="str">
        <f t="shared" si="23"/>
        <v/>
      </c>
    </row>
    <row r="751" spans="3:5">
      <c r="C751" s="181" t="s">
        <v>565</v>
      </c>
      <c r="D751" s="181" t="s">
        <v>565</v>
      </c>
      <c r="E751" s="181" t="str">
        <f t="shared" si="23"/>
        <v/>
      </c>
    </row>
    <row r="752" spans="3:5">
      <c r="C752" s="181" t="s">
        <v>565</v>
      </c>
      <c r="D752" s="181" t="s">
        <v>565</v>
      </c>
      <c r="E752" s="181" t="str">
        <f t="shared" si="23"/>
        <v/>
      </c>
    </row>
    <row r="753" spans="3:5">
      <c r="C753" s="181" t="s">
        <v>565</v>
      </c>
      <c r="D753" s="181" t="s">
        <v>565</v>
      </c>
      <c r="E753" s="181" t="str">
        <f t="shared" si="23"/>
        <v/>
      </c>
    </row>
    <row r="754" spans="3:5">
      <c r="C754" s="181" t="s">
        <v>565</v>
      </c>
      <c r="D754" s="181" t="s">
        <v>565</v>
      </c>
      <c r="E754" s="181" t="str">
        <f t="shared" si="23"/>
        <v/>
      </c>
    </row>
    <row r="755" spans="3:5">
      <c r="C755" s="181" t="s">
        <v>565</v>
      </c>
      <c r="D755" s="181" t="s">
        <v>565</v>
      </c>
      <c r="E755" s="181" t="str">
        <f t="shared" si="23"/>
        <v/>
      </c>
    </row>
    <row r="756" spans="3:5">
      <c r="C756" s="181" t="s">
        <v>565</v>
      </c>
      <c r="D756" s="181" t="s">
        <v>565</v>
      </c>
      <c r="E756" s="181" t="str">
        <f t="shared" si="23"/>
        <v/>
      </c>
    </row>
    <row r="757" spans="3:5">
      <c r="C757" s="181" t="s">
        <v>565</v>
      </c>
      <c r="D757" s="181" t="s">
        <v>565</v>
      </c>
      <c r="E757" s="181" t="str">
        <f t="shared" si="23"/>
        <v/>
      </c>
    </row>
    <row r="758" spans="3:5">
      <c r="C758" s="181" t="s">
        <v>565</v>
      </c>
      <c r="D758" s="181" t="s">
        <v>565</v>
      </c>
      <c r="E758" s="181" t="str">
        <f t="shared" si="23"/>
        <v/>
      </c>
    </row>
    <row r="759" spans="3:5">
      <c r="C759" s="181" t="s">
        <v>565</v>
      </c>
      <c r="D759" s="181" t="s">
        <v>565</v>
      </c>
      <c r="E759" s="181" t="str">
        <f t="shared" si="23"/>
        <v/>
      </c>
    </row>
    <row r="760" spans="3:5">
      <c r="C760" s="181" t="s">
        <v>565</v>
      </c>
      <c r="D760" s="181" t="s">
        <v>565</v>
      </c>
      <c r="E760" s="181" t="str">
        <f t="shared" si="23"/>
        <v/>
      </c>
    </row>
    <row r="761" spans="3:5">
      <c r="C761" s="181" t="s">
        <v>565</v>
      </c>
      <c r="D761" s="181" t="s">
        <v>565</v>
      </c>
      <c r="E761" s="181" t="str">
        <f t="shared" si="23"/>
        <v/>
      </c>
    </row>
    <row r="762" spans="3:5">
      <c r="C762" s="181" t="s">
        <v>565</v>
      </c>
      <c r="D762" s="181" t="s">
        <v>565</v>
      </c>
      <c r="E762" s="181" t="str">
        <f t="shared" si="23"/>
        <v/>
      </c>
    </row>
    <row r="763" spans="3:5">
      <c r="C763" s="181" t="s">
        <v>565</v>
      </c>
      <c r="D763" s="181" t="s">
        <v>565</v>
      </c>
      <c r="E763" s="181" t="str">
        <f t="shared" si="23"/>
        <v/>
      </c>
    </row>
    <row r="764" spans="3:5">
      <c r="C764" s="181" t="s">
        <v>565</v>
      </c>
      <c r="D764" s="181" t="s">
        <v>565</v>
      </c>
      <c r="E764" s="181" t="str">
        <f t="shared" si="23"/>
        <v/>
      </c>
    </row>
    <row r="765" spans="3:5">
      <c r="C765" s="181" t="s">
        <v>565</v>
      </c>
      <c r="D765" s="181" t="s">
        <v>565</v>
      </c>
      <c r="E765" s="181" t="str">
        <f t="shared" si="23"/>
        <v/>
      </c>
    </row>
    <row r="766" spans="3:5">
      <c r="C766" s="181" t="s">
        <v>565</v>
      </c>
      <c r="D766" s="181" t="s">
        <v>565</v>
      </c>
      <c r="E766" s="181" t="str">
        <f t="shared" si="23"/>
        <v/>
      </c>
    </row>
    <row r="767" spans="3:5">
      <c r="C767" s="181" t="s">
        <v>565</v>
      </c>
      <c r="D767" s="181" t="s">
        <v>565</v>
      </c>
      <c r="E767" s="181" t="str">
        <f t="shared" si="23"/>
        <v/>
      </c>
    </row>
    <row r="768" spans="3:5">
      <c r="C768" s="181" t="s">
        <v>565</v>
      </c>
      <c r="D768" s="181" t="s">
        <v>565</v>
      </c>
      <c r="E768" s="181" t="str">
        <f t="shared" si="23"/>
        <v/>
      </c>
    </row>
    <row r="769" spans="3:5">
      <c r="C769" s="181" t="s">
        <v>565</v>
      </c>
      <c r="D769" s="181" t="s">
        <v>565</v>
      </c>
      <c r="E769" s="181" t="str">
        <f t="shared" si="23"/>
        <v/>
      </c>
    </row>
    <row r="770" spans="3:5">
      <c r="C770" s="181" t="s">
        <v>565</v>
      </c>
      <c r="D770" s="181" t="s">
        <v>565</v>
      </c>
      <c r="E770" s="181" t="str">
        <f t="shared" si="23"/>
        <v/>
      </c>
    </row>
    <row r="771" spans="3:5">
      <c r="C771" s="181" t="s">
        <v>565</v>
      </c>
      <c r="D771" s="181" t="s">
        <v>565</v>
      </c>
      <c r="E771" s="181" t="str">
        <f t="shared" si="23"/>
        <v/>
      </c>
    </row>
    <row r="772" spans="3:5">
      <c r="C772" s="181" t="s">
        <v>565</v>
      </c>
      <c r="D772" s="181" t="s">
        <v>565</v>
      </c>
      <c r="E772" s="181" t="str">
        <f t="shared" ref="E772:E835" si="24">IF(C772&lt;D772,C772,D772)</f>
        <v/>
      </c>
    </row>
    <row r="773" spans="3:5">
      <c r="C773" s="181" t="s">
        <v>565</v>
      </c>
      <c r="D773" s="181" t="s">
        <v>565</v>
      </c>
      <c r="E773" s="181" t="str">
        <f t="shared" si="24"/>
        <v/>
      </c>
    </row>
    <row r="774" spans="3:5">
      <c r="C774" s="181" t="s">
        <v>565</v>
      </c>
      <c r="D774" s="181" t="s">
        <v>565</v>
      </c>
      <c r="E774" s="181" t="str">
        <f t="shared" si="24"/>
        <v/>
      </c>
    </row>
    <row r="775" spans="3:5">
      <c r="C775" s="181" t="s">
        <v>565</v>
      </c>
      <c r="D775" s="181" t="s">
        <v>565</v>
      </c>
      <c r="E775" s="181" t="str">
        <f t="shared" si="24"/>
        <v/>
      </c>
    </row>
    <row r="776" spans="3:5">
      <c r="C776" s="181" t="s">
        <v>565</v>
      </c>
      <c r="D776" s="181" t="s">
        <v>565</v>
      </c>
      <c r="E776" s="181" t="str">
        <f t="shared" si="24"/>
        <v/>
      </c>
    </row>
    <row r="777" spans="3:5">
      <c r="C777" s="181" t="s">
        <v>565</v>
      </c>
      <c r="D777" s="181" t="s">
        <v>565</v>
      </c>
      <c r="E777" s="181" t="str">
        <f t="shared" si="24"/>
        <v/>
      </c>
    </row>
    <row r="778" spans="3:5">
      <c r="C778" s="181" t="s">
        <v>565</v>
      </c>
      <c r="D778" s="181" t="s">
        <v>565</v>
      </c>
      <c r="E778" s="181" t="str">
        <f t="shared" si="24"/>
        <v/>
      </c>
    </row>
    <row r="779" spans="3:5">
      <c r="C779" s="181" t="s">
        <v>565</v>
      </c>
      <c r="D779" s="181" t="s">
        <v>565</v>
      </c>
      <c r="E779" s="181" t="str">
        <f t="shared" si="24"/>
        <v/>
      </c>
    </row>
    <row r="780" spans="3:5">
      <c r="C780" s="181" t="s">
        <v>565</v>
      </c>
      <c r="D780" s="181" t="s">
        <v>565</v>
      </c>
      <c r="E780" s="181" t="str">
        <f t="shared" si="24"/>
        <v/>
      </c>
    </row>
    <row r="781" spans="3:5">
      <c r="C781" s="181" t="s">
        <v>565</v>
      </c>
      <c r="D781" s="181" t="s">
        <v>565</v>
      </c>
      <c r="E781" s="181" t="str">
        <f t="shared" si="24"/>
        <v/>
      </c>
    </row>
    <row r="782" spans="3:5">
      <c r="C782" s="181" t="s">
        <v>565</v>
      </c>
      <c r="D782" s="181" t="s">
        <v>565</v>
      </c>
      <c r="E782" s="181" t="str">
        <f t="shared" si="24"/>
        <v/>
      </c>
    </row>
    <row r="783" spans="3:5">
      <c r="C783" s="181" t="s">
        <v>565</v>
      </c>
      <c r="D783" s="181" t="s">
        <v>565</v>
      </c>
      <c r="E783" s="181" t="str">
        <f t="shared" si="24"/>
        <v/>
      </c>
    </row>
    <row r="784" spans="3:5">
      <c r="C784" s="181" t="s">
        <v>565</v>
      </c>
      <c r="D784" s="181" t="s">
        <v>565</v>
      </c>
      <c r="E784" s="181" t="str">
        <f t="shared" si="24"/>
        <v/>
      </c>
    </row>
    <row r="785" spans="3:5">
      <c r="C785" s="181" t="s">
        <v>565</v>
      </c>
      <c r="D785" s="181" t="s">
        <v>565</v>
      </c>
      <c r="E785" s="181" t="str">
        <f t="shared" si="24"/>
        <v/>
      </c>
    </row>
    <row r="786" spans="3:5">
      <c r="C786" s="181" t="s">
        <v>565</v>
      </c>
      <c r="D786" s="181" t="s">
        <v>565</v>
      </c>
      <c r="E786" s="181" t="str">
        <f t="shared" si="24"/>
        <v/>
      </c>
    </row>
    <row r="787" spans="3:5">
      <c r="C787" s="181" t="s">
        <v>565</v>
      </c>
      <c r="D787" s="181" t="s">
        <v>565</v>
      </c>
      <c r="E787" s="181" t="str">
        <f t="shared" si="24"/>
        <v/>
      </c>
    </row>
    <row r="788" spans="3:5">
      <c r="C788" s="181" t="s">
        <v>565</v>
      </c>
      <c r="D788" s="181" t="s">
        <v>565</v>
      </c>
      <c r="E788" s="181" t="str">
        <f t="shared" si="24"/>
        <v/>
      </c>
    </row>
    <row r="789" spans="3:5">
      <c r="C789" s="181" t="s">
        <v>565</v>
      </c>
      <c r="D789" s="181" t="s">
        <v>565</v>
      </c>
      <c r="E789" s="181" t="str">
        <f t="shared" si="24"/>
        <v/>
      </c>
    </row>
    <row r="790" spans="3:5">
      <c r="C790" s="181" t="s">
        <v>565</v>
      </c>
      <c r="D790" s="181" t="s">
        <v>565</v>
      </c>
      <c r="E790" s="181" t="str">
        <f t="shared" si="24"/>
        <v/>
      </c>
    </row>
    <row r="791" spans="3:5">
      <c r="C791" s="181" t="s">
        <v>565</v>
      </c>
      <c r="D791" s="181" t="s">
        <v>565</v>
      </c>
      <c r="E791" s="181" t="str">
        <f t="shared" si="24"/>
        <v/>
      </c>
    </row>
    <row r="792" spans="3:5">
      <c r="C792" s="181" t="s">
        <v>565</v>
      </c>
      <c r="D792" s="181" t="s">
        <v>565</v>
      </c>
      <c r="E792" s="181" t="str">
        <f t="shared" si="24"/>
        <v/>
      </c>
    </row>
    <row r="793" spans="3:5">
      <c r="C793" s="181" t="s">
        <v>565</v>
      </c>
      <c r="D793" s="181" t="s">
        <v>565</v>
      </c>
      <c r="E793" s="181" t="str">
        <f t="shared" si="24"/>
        <v/>
      </c>
    </row>
    <row r="794" spans="3:5">
      <c r="C794" s="181" t="s">
        <v>565</v>
      </c>
      <c r="D794" s="181" t="s">
        <v>565</v>
      </c>
      <c r="E794" s="181" t="str">
        <f t="shared" si="24"/>
        <v/>
      </c>
    </row>
    <row r="795" spans="3:5">
      <c r="C795" s="181" t="s">
        <v>565</v>
      </c>
      <c r="D795" s="181" t="s">
        <v>565</v>
      </c>
      <c r="E795" s="181" t="str">
        <f t="shared" si="24"/>
        <v/>
      </c>
    </row>
    <row r="796" spans="3:5">
      <c r="C796" s="181" t="s">
        <v>565</v>
      </c>
      <c r="D796" s="181" t="s">
        <v>565</v>
      </c>
      <c r="E796" s="181" t="str">
        <f t="shared" si="24"/>
        <v/>
      </c>
    </row>
    <row r="797" spans="3:5">
      <c r="C797" s="181" t="s">
        <v>565</v>
      </c>
      <c r="D797" s="181" t="s">
        <v>565</v>
      </c>
      <c r="E797" s="181" t="str">
        <f t="shared" si="24"/>
        <v/>
      </c>
    </row>
    <row r="798" spans="3:5">
      <c r="C798" s="181" t="s">
        <v>565</v>
      </c>
      <c r="D798" s="181" t="s">
        <v>565</v>
      </c>
      <c r="E798" s="181" t="str">
        <f t="shared" si="24"/>
        <v/>
      </c>
    </row>
    <row r="799" spans="3:5">
      <c r="C799" s="181" t="s">
        <v>565</v>
      </c>
      <c r="D799" s="181" t="s">
        <v>565</v>
      </c>
      <c r="E799" s="181" t="str">
        <f t="shared" si="24"/>
        <v/>
      </c>
    </row>
    <row r="800" spans="3:5">
      <c r="C800" s="181" t="s">
        <v>565</v>
      </c>
      <c r="D800" s="181" t="s">
        <v>565</v>
      </c>
      <c r="E800" s="181" t="str">
        <f t="shared" si="24"/>
        <v/>
      </c>
    </row>
    <row r="801" spans="3:5">
      <c r="C801" s="181" t="s">
        <v>565</v>
      </c>
      <c r="D801" s="181" t="s">
        <v>565</v>
      </c>
      <c r="E801" s="181" t="str">
        <f t="shared" si="24"/>
        <v/>
      </c>
    </row>
    <row r="802" spans="3:5">
      <c r="C802" s="181" t="s">
        <v>565</v>
      </c>
      <c r="D802" s="181" t="s">
        <v>565</v>
      </c>
      <c r="E802" s="181" t="str">
        <f t="shared" si="24"/>
        <v/>
      </c>
    </row>
    <row r="803" spans="3:5">
      <c r="C803" s="181" t="s">
        <v>565</v>
      </c>
      <c r="D803" s="181" t="s">
        <v>565</v>
      </c>
      <c r="E803" s="181" t="str">
        <f t="shared" si="24"/>
        <v/>
      </c>
    </row>
    <row r="804" spans="3:5">
      <c r="C804" s="181" t="s">
        <v>565</v>
      </c>
      <c r="D804" s="181" t="s">
        <v>565</v>
      </c>
      <c r="E804" s="181" t="str">
        <f t="shared" si="24"/>
        <v/>
      </c>
    </row>
    <row r="805" spans="3:5">
      <c r="C805" s="181" t="s">
        <v>565</v>
      </c>
      <c r="D805" s="181" t="s">
        <v>565</v>
      </c>
      <c r="E805" s="181" t="str">
        <f t="shared" si="24"/>
        <v/>
      </c>
    </row>
    <row r="806" spans="3:5">
      <c r="C806" s="181" t="s">
        <v>565</v>
      </c>
      <c r="D806" s="181" t="s">
        <v>565</v>
      </c>
      <c r="E806" s="181" t="str">
        <f t="shared" si="24"/>
        <v/>
      </c>
    </row>
    <row r="807" spans="3:5">
      <c r="C807" s="181" t="s">
        <v>565</v>
      </c>
      <c r="D807" s="181" t="s">
        <v>565</v>
      </c>
      <c r="E807" s="181" t="str">
        <f t="shared" si="24"/>
        <v/>
      </c>
    </row>
    <row r="808" spans="3:5">
      <c r="C808" s="181" t="s">
        <v>565</v>
      </c>
      <c r="D808" s="181" t="s">
        <v>565</v>
      </c>
      <c r="E808" s="181" t="str">
        <f t="shared" si="24"/>
        <v/>
      </c>
    </row>
    <row r="809" spans="3:5">
      <c r="C809" s="181" t="s">
        <v>565</v>
      </c>
      <c r="D809" s="181" t="s">
        <v>565</v>
      </c>
      <c r="E809" s="181" t="str">
        <f t="shared" si="24"/>
        <v/>
      </c>
    </row>
    <row r="810" spans="3:5">
      <c r="C810" s="181" t="s">
        <v>565</v>
      </c>
      <c r="D810" s="181" t="s">
        <v>565</v>
      </c>
      <c r="E810" s="181" t="str">
        <f t="shared" si="24"/>
        <v/>
      </c>
    </row>
    <row r="811" spans="3:5">
      <c r="C811" s="181" t="s">
        <v>565</v>
      </c>
      <c r="D811" s="181" t="s">
        <v>565</v>
      </c>
      <c r="E811" s="181" t="str">
        <f t="shared" si="24"/>
        <v/>
      </c>
    </row>
    <row r="812" spans="3:5">
      <c r="C812" s="181" t="s">
        <v>565</v>
      </c>
      <c r="D812" s="181" t="s">
        <v>565</v>
      </c>
      <c r="E812" s="181" t="str">
        <f t="shared" si="24"/>
        <v/>
      </c>
    </row>
    <row r="813" spans="3:5">
      <c r="C813" s="181" t="s">
        <v>565</v>
      </c>
      <c r="D813" s="181" t="s">
        <v>565</v>
      </c>
      <c r="E813" s="181" t="str">
        <f t="shared" si="24"/>
        <v/>
      </c>
    </row>
    <row r="814" spans="3:5">
      <c r="C814" s="181" t="s">
        <v>565</v>
      </c>
      <c r="D814" s="181" t="s">
        <v>565</v>
      </c>
      <c r="E814" s="181" t="str">
        <f t="shared" si="24"/>
        <v/>
      </c>
    </row>
    <row r="815" spans="3:5">
      <c r="C815" s="181" t="s">
        <v>565</v>
      </c>
      <c r="D815" s="181" t="s">
        <v>565</v>
      </c>
      <c r="E815" s="181" t="str">
        <f t="shared" si="24"/>
        <v/>
      </c>
    </row>
    <row r="816" spans="3:5">
      <c r="C816" s="181" t="s">
        <v>565</v>
      </c>
      <c r="D816" s="181" t="s">
        <v>565</v>
      </c>
      <c r="E816" s="181" t="str">
        <f t="shared" si="24"/>
        <v/>
      </c>
    </row>
    <row r="817" spans="3:5">
      <c r="C817" s="181" t="s">
        <v>565</v>
      </c>
      <c r="D817" s="181" t="s">
        <v>565</v>
      </c>
      <c r="E817" s="181" t="str">
        <f t="shared" si="24"/>
        <v/>
      </c>
    </row>
    <row r="818" spans="3:5">
      <c r="C818" s="181" t="s">
        <v>565</v>
      </c>
      <c r="D818" s="181" t="s">
        <v>565</v>
      </c>
      <c r="E818" s="181" t="str">
        <f t="shared" si="24"/>
        <v/>
      </c>
    </row>
    <row r="819" spans="3:5">
      <c r="C819" s="181" t="s">
        <v>565</v>
      </c>
      <c r="D819" s="181" t="s">
        <v>565</v>
      </c>
      <c r="E819" s="181" t="str">
        <f t="shared" si="24"/>
        <v/>
      </c>
    </row>
    <row r="820" spans="3:5">
      <c r="C820" s="181" t="s">
        <v>565</v>
      </c>
      <c r="D820" s="181" t="s">
        <v>565</v>
      </c>
      <c r="E820" s="181" t="str">
        <f t="shared" si="24"/>
        <v/>
      </c>
    </row>
    <row r="821" spans="3:5">
      <c r="C821" s="181" t="s">
        <v>565</v>
      </c>
      <c r="D821" s="181" t="s">
        <v>565</v>
      </c>
      <c r="E821" s="181" t="str">
        <f t="shared" si="24"/>
        <v/>
      </c>
    </row>
    <row r="822" spans="3:5">
      <c r="C822" s="181" t="s">
        <v>565</v>
      </c>
      <c r="D822" s="181" t="s">
        <v>565</v>
      </c>
      <c r="E822" s="181" t="str">
        <f t="shared" si="24"/>
        <v/>
      </c>
    </row>
    <row r="823" spans="3:5">
      <c r="C823" s="181" t="s">
        <v>565</v>
      </c>
      <c r="D823" s="181" t="s">
        <v>565</v>
      </c>
      <c r="E823" s="181" t="str">
        <f t="shared" si="24"/>
        <v/>
      </c>
    </row>
    <row r="824" spans="3:5">
      <c r="C824" s="181" t="s">
        <v>565</v>
      </c>
      <c r="D824" s="181" t="s">
        <v>565</v>
      </c>
      <c r="E824" s="181" t="str">
        <f t="shared" si="24"/>
        <v/>
      </c>
    </row>
    <row r="825" spans="3:5">
      <c r="C825" s="181" t="s">
        <v>565</v>
      </c>
      <c r="D825" s="181" t="s">
        <v>565</v>
      </c>
      <c r="E825" s="181" t="str">
        <f t="shared" si="24"/>
        <v/>
      </c>
    </row>
    <row r="826" spans="3:5">
      <c r="C826" s="181" t="s">
        <v>565</v>
      </c>
      <c r="D826" s="181" t="s">
        <v>565</v>
      </c>
      <c r="E826" s="181" t="str">
        <f t="shared" si="24"/>
        <v/>
      </c>
    </row>
    <row r="827" spans="3:5">
      <c r="C827" s="181" t="s">
        <v>565</v>
      </c>
      <c r="D827" s="181" t="s">
        <v>565</v>
      </c>
      <c r="E827" s="181" t="str">
        <f t="shared" si="24"/>
        <v/>
      </c>
    </row>
    <row r="828" spans="3:5">
      <c r="C828" s="181" t="s">
        <v>565</v>
      </c>
      <c r="D828" s="181" t="s">
        <v>565</v>
      </c>
      <c r="E828" s="181" t="str">
        <f t="shared" si="24"/>
        <v/>
      </c>
    </row>
    <row r="829" spans="3:5">
      <c r="C829" s="181" t="s">
        <v>565</v>
      </c>
      <c r="D829" s="181" t="s">
        <v>565</v>
      </c>
      <c r="E829" s="181" t="str">
        <f t="shared" si="24"/>
        <v/>
      </c>
    </row>
    <row r="830" spans="3:5">
      <c r="C830" s="181" t="s">
        <v>565</v>
      </c>
      <c r="D830" s="181" t="s">
        <v>565</v>
      </c>
      <c r="E830" s="181" t="str">
        <f t="shared" si="24"/>
        <v/>
      </c>
    </row>
    <row r="831" spans="3:5">
      <c r="C831" s="181" t="s">
        <v>565</v>
      </c>
      <c r="D831" s="181" t="s">
        <v>565</v>
      </c>
      <c r="E831" s="181" t="str">
        <f t="shared" si="24"/>
        <v/>
      </c>
    </row>
    <row r="832" spans="3:5">
      <c r="C832" s="181" t="s">
        <v>565</v>
      </c>
      <c r="D832" s="181" t="s">
        <v>565</v>
      </c>
      <c r="E832" s="181" t="str">
        <f t="shared" si="24"/>
        <v/>
      </c>
    </row>
    <row r="833" spans="3:5">
      <c r="C833" s="181" t="s">
        <v>565</v>
      </c>
      <c r="D833" s="181" t="s">
        <v>565</v>
      </c>
      <c r="E833" s="181" t="str">
        <f t="shared" si="24"/>
        <v/>
      </c>
    </row>
    <row r="834" spans="3:5">
      <c r="C834" s="181" t="s">
        <v>565</v>
      </c>
      <c r="D834" s="181" t="s">
        <v>565</v>
      </c>
      <c r="E834" s="181" t="str">
        <f t="shared" si="24"/>
        <v/>
      </c>
    </row>
    <row r="835" spans="3:5">
      <c r="C835" s="181" t="s">
        <v>565</v>
      </c>
      <c r="D835" s="181" t="s">
        <v>565</v>
      </c>
      <c r="E835" s="181" t="str">
        <f t="shared" si="24"/>
        <v/>
      </c>
    </row>
    <row r="836" spans="3:5">
      <c r="C836" s="181" t="s">
        <v>565</v>
      </c>
      <c r="D836" s="181" t="s">
        <v>565</v>
      </c>
      <c r="E836" s="181" t="str">
        <f t="shared" ref="E836:E899" si="25">IF(C836&lt;D836,C836,D836)</f>
        <v/>
      </c>
    </row>
    <row r="837" spans="3:5">
      <c r="C837" s="181" t="s">
        <v>565</v>
      </c>
      <c r="D837" s="181" t="s">
        <v>565</v>
      </c>
      <c r="E837" s="181" t="str">
        <f t="shared" si="25"/>
        <v/>
      </c>
    </row>
    <row r="838" spans="3:5">
      <c r="C838" s="181" t="s">
        <v>565</v>
      </c>
      <c r="D838" s="181" t="s">
        <v>565</v>
      </c>
      <c r="E838" s="181" t="str">
        <f t="shared" si="25"/>
        <v/>
      </c>
    </row>
    <row r="839" spans="3:5">
      <c r="C839" s="181" t="s">
        <v>565</v>
      </c>
      <c r="D839" s="181" t="s">
        <v>565</v>
      </c>
      <c r="E839" s="181" t="str">
        <f t="shared" si="25"/>
        <v/>
      </c>
    </row>
    <row r="840" spans="3:5">
      <c r="C840" s="181" t="s">
        <v>565</v>
      </c>
      <c r="D840" s="181" t="s">
        <v>565</v>
      </c>
      <c r="E840" s="181" t="str">
        <f t="shared" si="25"/>
        <v/>
      </c>
    </row>
    <row r="841" spans="3:5">
      <c r="C841" s="181" t="s">
        <v>565</v>
      </c>
      <c r="D841" s="181" t="s">
        <v>565</v>
      </c>
      <c r="E841" s="181" t="str">
        <f t="shared" si="25"/>
        <v/>
      </c>
    </row>
    <row r="842" spans="3:5">
      <c r="C842" s="181" t="s">
        <v>565</v>
      </c>
      <c r="D842" s="181" t="s">
        <v>565</v>
      </c>
      <c r="E842" s="181" t="str">
        <f t="shared" si="25"/>
        <v/>
      </c>
    </row>
    <row r="843" spans="3:5">
      <c r="C843" s="181" t="s">
        <v>565</v>
      </c>
      <c r="D843" s="181" t="s">
        <v>565</v>
      </c>
      <c r="E843" s="181" t="str">
        <f t="shared" si="25"/>
        <v/>
      </c>
    </row>
    <row r="844" spans="3:5">
      <c r="C844" s="181" t="s">
        <v>565</v>
      </c>
      <c r="D844" s="181" t="s">
        <v>565</v>
      </c>
      <c r="E844" s="181" t="str">
        <f t="shared" si="25"/>
        <v/>
      </c>
    </row>
    <row r="845" spans="3:5">
      <c r="C845" s="181" t="s">
        <v>565</v>
      </c>
      <c r="D845" s="181" t="s">
        <v>565</v>
      </c>
      <c r="E845" s="181" t="str">
        <f t="shared" si="25"/>
        <v/>
      </c>
    </row>
    <row r="846" spans="3:5">
      <c r="C846" s="181" t="s">
        <v>565</v>
      </c>
      <c r="D846" s="181" t="s">
        <v>565</v>
      </c>
      <c r="E846" s="181" t="str">
        <f t="shared" si="25"/>
        <v/>
      </c>
    </row>
    <row r="847" spans="3:5">
      <c r="C847" s="181" t="s">
        <v>565</v>
      </c>
      <c r="D847" s="181" t="s">
        <v>565</v>
      </c>
      <c r="E847" s="181" t="str">
        <f t="shared" si="25"/>
        <v/>
      </c>
    </row>
    <row r="848" spans="3:5">
      <c r="C848" s="181" t="s">
        <v>565</v>
      </c>
      <c r="D848" s="181" t="s">
        <v>565</v>
      </c>
      <c r="E848" s="181" t="str">
        <f t="shared" si="25"/>
        <v/>
      </c>
    </row>
    <row r="849" spans="3:5">
      <c r="C849" s="181" t="s">
        <v>565</v>
      </c>
      <c r="D849" s="181" t="s">
        <v>565</v>
      </c>
      <c r="E849" s="181" t="str">
        <f t="shared" si="25"/>
        <v/>
      </c>
    </row>
    <row r="850" spans="3:5">
      <c r="C850" s="181" t="s">
        <v>565</v>
      </c>
      <c r="D850" s="181" t="s">
        <v>565</v>
      </c>
      <c r="E850" s="181" t="str">
        <f t="shared" si="25"/>
        <v/>
      </c>
    </row>
    <row r="851" spans="3:5">
      <c r="C851" s="181" t="s">
        <v>565</v>
      </c>
      <c r="D851" s="181" t="s">
        <v>565</v>
      </c>
      <c r="E851" s="181" t="str">
        <f t="shared" si="25"/>
        <v/>
      </c>
    </row>
    <row r="852" spans="3:5">
      <c r="C852" s="181" t="s">
        <v>565</v>
      </c>
      <c r="D852" s="181" t="s">
        <v>565</v>
      </c>
      <c r="E852" s="181" t="str">
        <f t="shared" si="25"/>
        <v/>
      </c>
    </row>
    <row r="853" spans="3:5">
      <c r="C853" s="181" t="s">
        <v>565</v>
      </c>
      <c r="D853" s="181" t="s">
        <v>565</v>
      </c>
      <c r="E853" s="181" t="str">
        <f t="shared" si="25"/>
        <v/>
      </c>
    </row>
    <row r="854" spans="3:5">
      <c r="C854" s="181" t="s">
        <v>565</v>
      </c>
      <c r="D854" s="181" t="s">
        <v>565</v>
      </c>
      <c r="E854" s="181" t="str">
        <f t="shared" si="25"/>
        <v/>
      </c>
    </row>
    <row r="855" spans="3:5">
      <c r="C855" s="181" t="s">
        <v>565</v>
      </c>
      <c r="D855" s="181" t="s">
        <v>565</v>
      </c>
      <c r="E855" s="181" t="str">
        <f t="shared" si="25"/>
        <v/>
      </c>
    </row>
    <row r="856" spans="3:5">
      <c r="C856" s="181" t="s">
        <v>565</v>
      </c>
      <c r="D856" s="181" t="s">
        <v>565</v>
      </c>
      <c r="E856" s="181" t="str">
        <f t="shared" si="25"/>
        <v/>
      </c>
    </row>
    <row r="857" spans="3:5">
      <c r="C857" s="181" t="s">
        <v>565</v>
      </c>
      <c r="D857" s="181" t="s">
        <v>565</v>
      </c>
      <c r="E857" s="181" t="str">
        <f t="shared" si="25"/>
        <v/>
      </c>
    </row>
    <row r="858" spans="3:5">
      <c r="C858" s="181" t="s">
        <v>565</v>
      </c>
      <c r="D858" s="181" t="s">
        <v>565</v>
      </c>
      <c r="E858" s="181" t="str">
        <f t="shared" si="25"/>
        <v/>
      </c>
    </row>
    <row r="859" spans="3:5">
      <c r="C859" s="181" t="s">
        <v>565</v>
      </c>
      <c r="D859" s="181" t="s">
        <v>565</v>
      </c>
      <c r="E859" s="181" t="str">
        <f t="shared" si="25"/>
        <v/>
      </c>
    </row>
    <row r="860" spans="3:5">
      <c r="C860" s="181" t="s">
        <v>565</v>
      </c>
      <c r="D860" s="181" t="s">
        <v>565</v>
      </c>
      <c r="E860" s="181" t="str">
        <f t="shared" si="25"/>
        <v/>
      </c>
    </row>
    <row r="861" spans="3:5">
      <c r="C861" s="181" t="s">
        <v>565</v>
      </c>
      <c r="D861" s="181" t="s">
        <v>565</v>
      </c>
      <c r="E861" s="181" t="str">
        <f t="shared" si="25"/>
        <v/>
      </c>
    </row>
    <row r="862" spans="3:5">
      <c r="C862" s="181" t="s">
        <v>565</v>
      </c>
      <c r="D862" s="181" t="s">
        <v>565</v>
      </c>
      <c r="E862" s="181" t="str">
        <f t="shared" si="25"/>
        <v/>
      </c>
    </row>
    <row r="863" spans="3:5">
      <c r="C863" s="181" t="s">
        <v>565</v>
      </c>
      <c r="D863" s="181" t="s">
        <v>565</v>
      </c>
      <c r="E863" s="181" t="str">
        <f t="shared" si="25"/>
        <v/>
      </c>
    </row>
    <row r="864" spans="3:5">
      <c r="C864" s="181" t="s">
        <v>565</v>
      </c>
      <c r="D864" s="181" t="s">
        <v>565</v>
      </c>
      <c r="E864" s="181" t="str">
        <f t="shared" si="25"/>
        <v/>
      </c>
    </row>
    <row r="865" spans="3:5">
      <c r="C865" s="181" t="s">
        <v>565</v>
      </c>
      <c r="D865" s="181" t="s">
        <v>565</v>
      </c>
      <c r="E865" s="181" t="str">
        <f t="shared" si="25"/>
        <v/>
      </c>
    </row>
    <row r="866" spans="3:5">
      <c r="C866" s="181" t="s">
        <v>565</v>
      </c>
      <c r="D866" s="181" t="s">
        <v>565</v>
      </c>
      <c r="E866" s="181" t="str">
        <f t="shared" si="25"/>
        <v/>
      </c>
    </row>
    <row r="867" spans="3:5">
      <c r="C867" s="181" t="s">
        <v>565</v>
      </c>
      <c r="D867" s="181" t="s">
        <v>565</v>
      </c>
      <c r="E867" s="181" t="str">
        <f t="shared" si="25"/>
        <v/>
      </c>
    </row>
    <row r="868" spans="3:5">
      <c r="C868" s="181" t="s">
        <v>565</v>
      </c>
      <c r="D868" s="181" t="s">
        <v>565</v>
      </c>
      <c r="E868" s="181" t="str">
        <f t="shared" si="25"/>
        <v/>
      </c>
    </row>
    <row r="869" spans="3:5">
      <c r="C869" s="181" t="s">
        <v>565</v>
      </c>
      <c r="D869" s="181" t="s">
        <v>565</v>
      </c>
      <c r="E869" s="181" t="str">
        <f t="shared" si="25"/>
        <v/>
      </c>
    </row>
    <row r="870" spans="3:5">
      <c r="C870" s="181" t="s">
        <v>565</v>
      </c>
      <c r="D870" s="181" t="s">
        <v>565</v>
      </c>
      <c r="E870" s="181" t="str">
        <f t="shared" si="25"/>
        <v/>
      </c>
    </row>
    <row r="871" spans="3:5">
      <c r="C871" s="181" t="s">
        <v>565</v>
      </c>
      <c r="D871" s="181" t="s">
        <v>565</v>
      </c>
      <c r="E871" s="181" t="str">
        <f t="shared" si="25"/>
        <v/>
      </c>
    </row>
    <row r="872" spans="3:5">
      <c r="C872" s="181" t="s">
        <v>565</v>
      </c>
      <c r="D872" s="181" t="s">
        <v>565</v>
      </c>
      <c r="E872" s="181" t="str">
        <f t="shared" si="25"/>
        <v/>
      </c>
    </row>
    <row r="873" spans="3:5">
      <c r="C873" s="181" t="s">
        <v>565</v>
      </c>
      <c r="D873" s="181" t="s">
        <v>565</v>
      </c>
      <c r="E873" s="181" t="str">
        <f t="shared" si="25"/>
        <v/>
      </c>
    </row>
    <row r="874" spans="3:5">
      <c r="C874" s="181" t="s">
        <v>565</v>
      </c>
      <c r="D874" s="181" t="s">
        <v>565</v>
      </c>
      <c r="E874" s="181" t="str">
        <f t="shared" si="25"/>
        <v/>
      </c>
    </row>
    <row r="875" spans="3:5">
      <c r="C875" s="181" t="s">
        <v>565</v>
      </c>
      <c r="D875" s="181" t="s">
        <v>565</v>
      </c>
      <c r="E875" s="181" t="str">
        <f t="shared" si="25"/>
        <v/>
      </c>
    </row>
    <row r="876" spans="3:5">
      <c r="C876" s="181" t="s">
        <v>565</v>
      </c>
      <c r="D876" s="181" t="s">
        <v>565</v>
      </c>
      <c r="E876" s="181" t="str">
        <f t="shared" si="25"/>
        <v/>
      </c>
    </row>
    <row r="877" spans="3:5">
      <c r="C877" s="181" t="s">
        <v>565</v>
      </c>
      <c r="D877" s="181" t="s">
        <v>565</v>
      </c>
      <c r="E877" s="181" t="str">
        <f t="shared" si="25"/>
        <v/>
      </c>
    </row>
    <row r="878" spans="3:5">
      <c r="C878" s="181" t="s">
        <v>565</v>
      </c>
      <c r="D878" s="181" t="s">
        <v>565</v>
      </c>
      <c r="E878" s="181" t="str">
        <f t="shared" si="25"/>
        <v/>
      </c>
    </row>
    <row r="879" spans="3:5">
      <c r="C879" s="181" t="s">
        <v>565</v>
      </c>
      <c r="D879" s="181" t="s">
        <v>565</v>
      </c>
      <c r="E879" s="181" t="str">
        <f t="shared" si="25"/>
        <v/>
      </c>
    </row>
    <row r="880" spans="3:5">
      <c r="C880" s="181" t="s">
        <v>565</v>
      </c>
      <c r="D880" s="181" t="s">
        <v>565</v>
      </c>
      <c r="E880" s="181" t="str">
        <f t="shared" si="25"/>
        <v/>
      </c>
    </row>
    <row r="881" spans="3:5">
      <c r="C881" s="181" t="s">
        <v>565</v>
      </c>
      <c r="D881" s="181" t="s">
        <v>565</v>
      </c>
      <c r="E881" s="181" t="str">
        <f t="shared" si="25"/>
        <v/>
      </c>
    </row>
    <row r="882" spans="3:5">
      <c r="C882" s="181" t="s">
        <v>565</v>
      </c>
      <c r="D882" s="181" t="s">
        <v>565</v>
      </c>
      <c r="E882" s="181" t="str">
        <f t="shared" si="25"/>
        <v/>
      </c>
    </row>
    <row r="883" spans="3:5">
      <c r="C883" s="181" t="s">
        <v>565</v>
      </c>
      <c r="D883" s="181" t="s">
        <v>565</v>
      </c>
      <c r="E883" s="181" t="str">
        <f t="shared" si="25"/>
        <v/>
      </c>
    </row>
    <row r="884" spans="3:5">
      <c r="C884" s="181" t="s">
        <v>565</v>
      </c>
      <c r="D884" s="181" t="s">
        <v>565</v>
      </c>
      <c r="E884" s="181" t="str">
        <f t="shared" si="25"/>
        <v/>
      </c>
    </row>
    <row r="885" spans="3:5">
      <c r="C885" s="181" t="s">
        <v>565</v>
      </c>
      <c r="D885" s="181" t="s">
        <v>565</v>
      </c>
      <c r="E885" s="181" t="str">
        <f t="shared" si="25"/>
        <v/>
      </c>
    </row>
    <row r="886" spans="3:5">
      <c r="C886" s="181" t="s">
        <v>565</v>
      </c>
      <c r="D886" s="181" t="s">
        <v>565</v>
      </c>
      <c r="E886" s="181" t="str">
        <f t="shared" si="25"/>
        <v/>
      </c>
    </row>
    <row r="887" spans="3:5">
      <c r="C887" s="181" t="s">
        <v>565</v>
      </c>
      <c r="D887" s="181" t="s">
        <v>565</v>
      </c>
      <c r="E887" s="181" t="str">
        <f t="shared" si="25"/>
        <v/>
      </c>
    </row>
    <row r="888" spans="3:5">
      <c r="C888" s="181" t="s">
        <v>565</v>
      </c>
      <c r="D888" s="181" t="s">
        <v>565</v>
      </c>
      <c r="E888" s="181" t="str">
        <f t="shared" si="25"/>
        <v/>
      </c>
    </row>
    <row r="889" spans="3:5">
      <c r="C889" s="181" t="s">
        <v>565</v>
      </c>
      <c r="D889" s="181" t="s">
        <v>565</v>
      </c>
      <c r="E889" s="181" t="str">
        <f t="shared" si="25"/>
        <v/>
      </c>
    </row>
    <row r="890" spans="3:5">
      <c r="C890" s="181" t="s">
        <v>565</v>
      </c>
      <c r="D890" s="181" t="s">
        <v>565</v>
      </c>
      <c r="E890" s="181" t="str">
        <f t="shared" si="25"/>
        <v/>
      </c>
    </row>
    <row r="891" spans="3:5">
      <c r="C891" s="181" t="s">
        <v>565</v>
      </c>
      <c r="D891" s="181" t="s">
        <v>565</v>
      </c>
      <c r="E891" s="181" t="str">
        <f t="shared" si="25"/>
        <v/>
      </c>
    </row>
    <row r="892" spans="3:5">
      <c r="C892" s="181" t="s">
        <v>565</v>
      </c>
      <c r="D892" s="181" t="s">
        <v>565</v>
      </c>
      <c r="E892" s="181" t="str">
        <f t="shared" si="25"/>
        <v/>
      </c>
    </row>
    <row r="893" spans="3:5">
      <c r="C893" s="181" t="s">
        <v>565</v>
      </c>
      <c r="D893" s="181" t="s">
        <v>565</v>
      </c>
      <c r="E893" s="181" t="str">
        <f t="shared" si="25"/>
        <v/>
      </c>
    </row>
    <row r="894" spans="3:5">
      <c r="C894" s="181" t="s">
        <v>565</v>
      </c>
      <c r="D894" s="181" t="s">
        <v>565</v>
      </c>
      <c r="E894" s="181" t="str">
        <f t="shared" si="25"/>
        <v/>
      </c>
    </row>
    <row r="895" spans="3:5">
      <c r="C895" s="181" t="s">
        <v>565</v>
      </c>
      <c r="D895" s="181" t="s">
        <v>565</v>
      </c>
      <c r="E895" s="181" t="str">
        <f t="shared" si="25"/>
        <v/>
      </c>
    </row>
    <row r="896" spans="3:5">
      <c r="C896" s="181" t="s">
        <v>565</v>
      </c>
      <c r="D896" s="181" t="s">
        <v>565</v>
      </c>
      <c r="E896" s="181" t="str">
        <f t="shared" si="25"/>
        <v/>
      </c>
    </row>
    <row r="897" spans="3:5">
      <c r="C897" s="181" t="s">
        <v>565</v>
      </c>
      <c r="D897" s="181" t="s">
        <v>565</v>
      </c>
      <c r="E897" s="181" t="str">
        <f t="shared" si="25"/>
        <v/>
      </c>
    </row>
    <row r="898" spans="3:5">
      <c r="C898" s="181" t="s">
        <v>565</v>
      </c>
      <c r="D898" s="181" t="s">
        <v>565</v>
      </c>
      <c r="E898" s="181" t="str">
        <f t="shared" si="25"/>
        <v/>
      </c>
    </row>
    <row r="899" spans="3:5">
      <c r="C899" s="181" t="s">
        <v>565</v>
      </c>
      <c r="D899" s="181" t="s">
        <v>565</v>
      </c>
      <c r="E899" s="181" t="str">
        <f t="shared" si="25"/>
        <v/>
      </c>
    </row>
    <row r="900" spans="3:5">
      <c r="C900" s="181" t="s">
        <v>565</v>
      </c>
      <c r="D900" s="181" t="s">
        <v>565</v>
      </c>
      <c r="E900" s="181" t="str">
        <f t="shared" ref="E900:E963" si="26">IF(C900&lt;D900,C900,D900)</f>
        <v/>
      </c>
    </row>
    <row r="901" spans="3:5">
      <c r="C901" s="181" t="s">
        <v>565</v>
      </c>
      <c r="D901" s="181" t="s">
        <v>565</v>
      </c>
      <c r="E901" s="181" t="str">
        <f t="shared" si="26"/>
        <v/>
      </c>
    </row>
    <row r="902" spans="3:5">
      <c r="C902" s="181" t="s">
        <v>565</v>
      </c>
      <c r="D902" s="181" t="s">
        <v>565</v>
      </c>
      <c r="E902" s="181" t="str">
        <f t="shared" si="26"/>
        <v/>
      </c>
    </row>
    <row r="903" spans="3:5">
      <c r="C903" s="181" t="s">
        <v>565</v>
      </c>
      <c r="D903" s="181" t="s">
        <v>565</v>
      </c>
      <c r="E903" s="181" t="str">
        <f t="shared" si="26"/>
        <v/>
      </c>
    </row>
    <row r="904" spans="3:5">
      <c r="C904" s="181" t="s">
        <v>565</v>
      </c>
      <c r="D904" s="181" t="s">
        <v>565</v>
      </c>
      <c r="E904" s="181" t="str">
        <f t="shared" si="26"/>
        <v/>
      </c>
    </row>
    <row r="905" spans="3:5">
      <c r="C905" s="181" t="s">
        <v>565</v>
      </c>
      <c r="D905" s="181" t="s">
        <v>565</v>
      </c>
      <c r="E905" s="181" t="str">
        <f t="shared" si="26"/>
        <v/>
      </c>
    </row>
    <row r="906" spans="3:5">
      <c r="C906" s="181" t="s">
        <v>565</v>
      </c>
      <c r="D906" s="181" t="s">
        <v>565</v>
      </c>
      <c r="E906" s="181" t="str">
        <f t="shared" si="26"/>
        <v/>
      </c>
    </row>
    <row r="907" spans="3:5">
      <c r="C907" s="181" t="s">
        <v>565</v>
      </c>
      <c r="D907" s="181" t="s">
        <v>565</v>
      </c>
      <c r="E907" s="181" t="str">
        <f t="shared" si="26"/>
        <v/>
      </c>
    </row>
    <row r="908" spans="3:5">
      <c r="C908" s="181" t="s">
        <v>565</v>
      </c>
      <c r="D908" s="181" t="s">
        <v>565</v>
      </c>
      <c r="E908" s="181" t="str">
        <f t="shared" si="26"/>
        <v/>
      </c>
    </row>
    <row r="909" spans="3:5">
      <c r="C909" s="181" t="s">
        <v>565</v>
      </c>
      <c r="D909" s="181" t="s">
        <v>565</v>
      </c>
      <c r="E909" s="181" t="str">
        <f t="shared" si="26"/>
        <v/>
      </c>
    </row>
    <row r="910" spans="3:5">
      <c r="C910" s="181" t="s">
        <v>565</v>
      </c>
      <c r="D910" s="181" t="s">
        <v>565</v>
      </c>
      <c r="E910" s="181" t="str">
        <f t="shared" si="26"/>
        <v/>
      </c>
    </row>
    <row r="911" spans="3:5">
      <c r="C911" s="181" t="s">
        <v>565</v>
      </c>
      <c r="D911" s="181" t="s">
        <v>565</v>
      </c>
      <c r="E911" s="181" t="str">
        <f t="shared" si="26"/>
        <v/>
      </c>
    </row>
    <row r="912" spans="3:5">
      <c r="C912" s="181" t="s">
        <v>565</v>
      </c>
      <c r="D912" s="181" t="s">
        <v>565</v>
      </c>
      <c r="E912" s="181" t="str">
        <f t="shared" si="26"/>
        <v/>
      </c>
    </row>
    <row r="913" spans="3:5">
      <c r="C913" s="181" t="s">
        <v>565</v>
      </c>
      <c r="D913" s="181" t="s">
        <v>565</v>
      </c>
      <c r="E913" s="181" t="str">
        <f t="shared" si="26"/>
        <v/>
      </c>
    </row>
    <row r="914" spans="3:5">
      <c r="C914" s="181" t="s">
        <v>565</v>
      </c>
      <c r="D914" s="181" t="s">
        <v>565</v>
      </c>
      <c r="E914" s="181" t="str">
        <f t="shared" si="26"/>
        <v/>
      </c>
    </row>
    <row r="915" spans="3:5">
      <c r="C915" s="181" t="s">
        <v>565</v>
      </c>
      <c r="D915" s="181" t="s">
        <v>565</v>
      </c>
      <c r="E915" s="181" t="str">
        <f t="shared" si="26"/>
        <v/>
      </c>
    </row>
    <row r="916" spans="3:5">
      <c r="C916" s="181" t="s">
        <v>565</v>
      </c>
      <c r="D916" s="181" t="s">
        <v>565</v>
      </c>
      <c r="E916" s="181" t="str">
        <f t="shared" si="26"/>
        <v/>
      </c>
    </row>
    <row r="917" spans="3:5">
      <c r="C917" s="181" t="s">
        <v>565</v>
      </c>
      <c r="D917" s="181" t="s">
        <v>565</v>
      </c>
      <c r="E917" s="181" t="str">
        <f t="shared" si="26"/>
        <v/>
      </c>
    </row>
    <row r="918" spans="3:5">
      <c r="C918" s="181" t="s">
        <v>565</v>
      </c>
      <c r="D918" s="181" t="s">
        <v>565</v>
      </c>
      <c r="E918" s="181" t="str">
        <f t="shared" si="26"/>
        <v/>
      </c>
    </row>
    <row r="919" spans="3:5">
      <c r="C919" s="181" t="s">
        <v>565</v>
      </c>
      <c r="D919" s="181" t="s">
        <v>565</v>
      </c>
      <c r="E919" s="181" t="str">
        <f t="shared" si="26"/>
        <v/>
      </c>
    </row>
    <row r="920" spans="3:5">
      <c r="C920" s="181" t="s">
        <v>565</v>
      </c>
      <c r="D920" s="181" t="s">
        <v>565</v>
      </c>
      <c r="E920" s="181" t="str">
        <f t="shared" si="26"/>
        <v/>
      </c>
    </row>
    <row r="921" spans="3:5">
      <c r="C921" s="181" t="s">
        <v>565</v>
      </c>
      <c r="D921" s="181" t="s">
        <v>565</v>
      </c>
      <c r="E921" s="181" t="str">
        <f t="shared" si="26"/>
        <v/>
      </c>
    </row>
    <row r="922" spans="3:5">
      <c r="C922" s="181" t="s">
        <v>565</v>
      </c>
      <c r="D922" s="181" t="s">
        <v>565</v>
      </c>
      <c r="E922" s="181" t="str">
        <f t="shared" si="26"/>
        <v/>
      </c>
    </row>
    <row r="923" spans="3:5">
      <c r="C923" s="181" t="s">
        <v>565</v>
      </c>
      <c r="D923" s="181" t="s">
        <v>565</v>
      </c>
      <c r="E923" s="181" t="str">
        <f t="shared" si="26"/>
        <v/>
      </c>
    </row>
    <row r="924" spans="3:5">
      <c r="C924" s="181" t="s">
        <v>565</v>
      </c>
      <c r="D924" s="181" t="s">
        <v>565</v>
      </c>
      <c r="E924" s="181" t="str">
        <f t="shared" si="26"/>
        <v/>
      </c>
    </row>
    <row r="925" spans="3:5">
      <c r="C925" s="181" t="s">
        <v>565</v>
      </c>
      <c r="D925" s="181" t="s">
        <v>565</v>
      </c>
      <c r="E925" s="181" t="str">
        <f t="shared" si="26"/>
        <v/>
      </c>
    </row>
    <row r="926" spans="3:5">
      <c r="C926" s="181" t="s">
        <v>565</v>
      </c>
      <c r="D926" s="181" t="s">
        <v>565</v>
      </c>
      <c r="E926" s="181" t="str">
        <f t="shared" si="26"/>
        <v/>
      </c>
    </row>
    <row r="927" spans="3:5">
      <c r="C927" s="181" t="s">
        <v>565</v>
      </c>
      <c r="D927" s="181" t="s">
        <v>565</v>
      </c>
      <c r="E927" s="181" t="str">
        <f t="shared" si="26"/>
        <v/>
      </c>
    </row>
    <row r="928" spans="3:5">
      <c r="C928" s="181" t="s">
        <v>565</v>
      </c>
      <c r="D928" s="181" t="s">
        <v>565</v>
      </c>
      <c r="E928" s="181" t="str">
        <f t="shared" si="26"/>
        <v/>
      </c>
    </row>
    <row r="929" spans="3:5">
      <c r="C929" s="181" t="s">
        <v>565</v>
      </c>
      <c r="D929" s="181" t="s">
        <v>565</v>
      </c>
      <c r="E929" s="181" t="str">
        <f t="shared" si="26"/>
        <v/>
      </c>
    </row>
    <row r="930" spans="3:5">
      <c r="C930" s="181" t="s">
        <v>565</v>
      </c>
      <c r="D930" s="181" t="s">
        <v>565</v>
      </c>
      <c r="E930" s="181" t="str">
        <f t="shared" si="26"/>
        <v/>
      </c>
    </row>
    <row r="931" spans="3:5">
      <c r="C931" s="181" t="s">
        <v>565</v>
      </c>
      <c r="D931" s="181" t="s">
        <v>565</v>
      </c>
      <c r="E931" s="181" t="str">
        <f t="shared" si="26"/>
        <v/>
      </c>
    </row>
    <row r="932" spans="3:5">
      <c r="C932" s="181" t="s">
        <v>565</v>
      </c>
      <c r="D932" s="181" t="s">
        <v>565</v>
      </c>
      <c r="E932" s="181" t="str">
        <f t="shared" si="26"/>
        <v/>
      </c>
    </row>
    <row r="933" spans="3:5">
      <c r="C933" s="181" t="s">
        <v>565</v>
      </c>
      <c r="D933" s="181" t="s">
        <v>565</v>
      </c>
      <c r="E933" s="181" t="str">
        <f t="shared" si="26"/>
        <v/>
      </c>
    </row>
    <row r="934" spans="3:5">
      <c r="C934" s="181" t="s">
        <v>565</v>
      </c>
      <c r="D934" s="181" t="s">
        <v>565</v>
      </c>
      <c r="E934" s="181" t="str">
        <f t="shared" si="26"/>
        <v/>
      </c>
    </row>
    <row r="935" spans="3:5">
      <c r="C935" s="181" t="s">
        <v>565</v>
      </c>
      <c r="D935" s="181" t="s">
        <v>565</v>
      </c>
      <c r="E935" s="181" t="str">
        <f t="shared" si="26"/>
        <v/>
      </c>
    </row>
    <row r="936" spans="3:5">
      <c r="C936" s="181" t="s">
        <v>565</v>
      </c>
      <c r="D936" s="181" t="s">
        <v>565</v>
      </c>
      <c r="E936" s="181" t="str">
        <f t="shared" si="26"/>
        <v/>
      </c>
    </row>
    <row r="937" spans="3:5">
      <c r="C937" s="181" t="s">
        <v>565</v>
      </c>
      <c r="D937" s="181" t="s">
        <v>565</v>
      </c>
      <c r="E937" s="181" t="str">
        <f t="shared" si="26"/>
        <v/>
      </c>
    </row>
    <row r="938" spans="3:5">
      <c r="C938" s="181" t="s">
        <v>565</v>
      </c>
      <c r="D938" s="181" t="s">
        <v>565</v>
      </c>
      <c r="E938" s="181" t="str">
        <f t="shared" si="26"/>
        <v/>
      </c>
    </row>
    <row r="939" spans="3:5">
      <c r="C939" s="181" t="s">
        <v>565</v>
      </c>
      <c r="D939" s="181" t="s">
        <v>565</v>
      </c>
      <c r="E939" s="181" t="str">
        <f t="shared" si="26"/>
        <v/>
      </c>
    </row>
    <row r="940" spans="3:5">
      <c r="C940" s="181" t="s">
        <v>565</v>
      </c>
      <c r="D940" s="181" t="s">
        <v>565</v>
      </c>
      <c r="E940" s="181" t="str">
        <f t="shared" si="26"/>
        <v/>
      </c>
    </row>
    <row r="941" spans="3:5">
      <c r="C941" s="181" t="s">
        <v>565</v>
      </c>
      <c r="D941" s="181" t="s">
        <v>565</v>
      </c>
      <c r="E941" s="181" t="str">
        <f t="shared" si="26"/>
        <v/>
      </c>
    </row>
    <row r="942" spans="3:5">
      <c r="C942" s="181" t="s">
        <v>565</v>
      </c>
      <c r="D942" s="181" t="s">
        <v>565</v>
      </c>
      <c r="E942" s="181" t="str">
        <f t="shared" si="26"/>
        <v/>
      </c>
    </row>
    <row r="943" spans="3:5">
      <c r="C943" s="181" t="s">
        <v>565</v>
      </c>
      <c r="D943" s="181" t="s">
        <v>565</v>
      </c>
      <c r="E943" s="181" t="str">
        <f t="shared" si="26"/>
        <v/>
      </c>
    </row>
    <row r="944" spans="3:5">
      <c r="C944" s="181" t="s">
        <v>565</v>
      </c>
      <c r="D944" s="181" t="s">
        <v>565</v>
      </c>
      <c r="E944" s="181" t="str">
        <f t="shared" si="26"/>
        <v/>
      </c>
    </row>
    <row r="945" spans="3:5">
      <c r="C945" s="181" t="s">
        <v>565</v>
      </c>
      <c r="D945" s="181" t="s">
        <v>565</v>
      </c>
      <c r="E945" s="181" t="str">
        <f t="shared" si="26"/>
        <v/>
      </c>
    </row>
    <row r="946" spans="3:5">
      <c r="C946" s="181" t="s">
        <v>565</v>
      </c>
      <c r="D946" s="181" t="s">
        <v>565</v>
      </c>
      <c r="E946" s="181" t="str">
        <f t="shared" si="26"/>
        <v/>
      </c>
    </row>
    <row r="947" spans="3:5">
      <c r="C947" s="181" t="s">
        <v>565</v>
      </c>
      <c r="D947" s="181" t="s">
        <v>565</v>
      </c>
      <c r="E947" s="181" t="str">
        <f t="shared" si="26"/>
        <v/>
      </c>
    </row>
    <row r="948" spans="3:5">
      <c r="C948" s="181" t="s">
        <v>565</v>
      </c>
      <c r="D948" s="181" t="s">
        <v>565</v>
      </c>
      <c r="E948" s="181" t="str">
        <f t="shared" si="26"/>
        <v/>
      </c>
    </row>
    <row r="949" spans="3:5">
      <c r="C949" s="181" t="s">
        <v>565</v>
      </c>
      <c r="D949" s="181" t="s">
        <v>565</v>
      </c>
      <c r="E949" s="181" t="str">
        <f t="shared" si="26"/>
        <v/>
      </c>
    </row>
    <row r="950" spans="3:5">
      <c r="C950" s="181" t="s">
        <v>565</v>
      </c>
      <c r="D950" s="181" t="s">
        <v>565</v>
      </c>
      <c r="E950" s="181" t="str">
        <f t="shared" si="26"/>
        <v/>
      </c>
    </row>
    <row r="951" spans="3:5">
      <c r="C951" s="181" t="s">
        <v>565</v>
      </c>
      <c r="D951" s="181" t="s">
        <v>565</v>
      </c>
      <c r="E951" s="181" t="str">
        <f t="shared" si="26"/>
        <v/>
      </c>
    </row>
    <row r="952" spans="3:5">
      <c r="C952" s="181" t="s">
        <v>565</v>
      </c>
      <c r="D952" s="181" t="s">
        <v>565</v>
      </c>
      <c r="E952" s="181" t="str">
        <f t="shared" si="26"/>
        <v/>
      </c>
    </row>
    <row r="953" spans="3:5">
      <c r="C953" s="181" t="s">
        <v>565</v>
      </c>
      <c r="D953" s="181" t="s">
        <v>565</v>
      </c>
      <c r="E953" s="181" t="str">
        <f t="shared" si="26"/>
        <v/>
      </c>
    </row>
    <row r="954" spans="3:5">
      <c r="C954" s="181" t="s">
        <v>565</v>
      </c>
      <c r="D954" s="181" t="s">
        <v>565</v>
      </c>
      <c r="E954" s="181" t="str">
        <f t="shared" si="26"/>
        <v/>
      </c>
    </row>
    <row r="955" spans="3:5">
      <c r="C955" s="181" t="s">
        <v>565</v>
      </c>
      <c r="D955" s="181" t="s">
        <v>565</v>
      </c>
      <c r="E955" s="181" t="str">
        <f t="shared" si="26"/>
        <v/>
      </c>
    </row>
    <row r="956" spans="3:5">
      <c r="C956" s="181" t="s">
        <v>565</v>
      </c>
      <c r="D956" s="181" t="s">
        <v>565</v>
      </c>
      <c r="E956" s="181" t="str">
        <f t="shared" si="26"/>
        <v/>
      </c>
    </row>
    <row r="957" spans="3:5">
      <c r="C957" s="181" t="s">
        <v>565</v>
      </c>
      <c r="D957" s="181" t="s">
        <v>565</v>
      </c>
      <c r="E957" s="181" t="str">
        <f t="shared" si="26"/>
        <v/>
      </c>
    </row>
    <row r="958" spans="3:5">
      <c r="C958" s="181" t="s">
        <v>565</v>
      </c>
      <c r="D958" s="181" t="s">
        <v>565</v>
      </c>
      <c r="E958" s="181" t="str">
        <f t="shared" si="26"/>
        <v/>
      </c>
    </row>
    <row r="959" spans="3:5">
      <c r="C959" s="181" t="s">
        <v>565</v>
      </c>
      <c r="D959" s="181" t="s">
        <v>565</v>
      </c>
      <c r="E959" s="181" t="str">
        <f t="shared" si="26"/>
        <v/>
      </c>
    </row>
    <row r="960" spans="3:5">
      <c r="C960" s="181" t="s">
        <v>565</v>
      </c>
      <c r="D960" s="181" t="s">
        <v>565</v>
      </c>
      <c r="E960" s="181" t="str">
        <f t="shared" si="26"/>
        <v/>
      </c>
    </row>
    <row r="961" spans="3:5">
      <c r="C961" s="181" t="s">
        <v>565</v>
      </c>
      <c r="D961" s="181" t="s">
        <v>565</v>
      </c>
      <c r="E961" s="181" t="str">
        <f t="shared" si="26"/>
        <v/>
      </c>
    </row>
    <row r="962" spans="3:5">
      <c r="C962" s="181" t="s">
        <v>565</v>
      </c>
      <c r="D962" s="181" t="s">
        <v>565</v>
      </c>
      <c r="E962" s="181" t="str">
        <f t="shared" si="26"/>
        <v/>
      </c>
    </row>
    <row r="963" spans="3:5">
      <c r="C963" s="181" t="s">
        <v>565</v>
      </c>
      <c r="D963" s="181" t="s">
        <v>565</v>
      </c>
      <c r="E963" s="181" t="str">
        <f t="shared" si="26"/>
        <v/>
      </c>
    </row>
    <row r="964" spans="3:5">
      <c r="C964" s="181" t="s">
        <v>565</v>
      </c>
      <c r="D964" s="181" t="s">
        <v>565</v>
      </c>
      <c r="E964" s="181" t="str">
        <f t="shared" ref="E964:E1027" si="27">IF(C964&lt;D964,C964,D964)</f>
        <v/>
      </c>
    </row>
    <row r="965" spans="3:5">
      <c r="C965" s="181" t="s">
        <v>565</v>
      </c>
      <c r="D965" s="181" t="s">
        <v>565</v>
      </c>
      <c r="E965" s="181" t="str">
        <f t="shared" si="27"/>
        <v/>
      </c>
    </row>
    <row r="966" spans="3:5">
      <c r="C966" s="181" t="s">
        <v>565</v>
      </c>
      <c r="D966" s="181" t="s">
        <v>565</v>
      </c>
      <c r="E966" s="181" t="str">
        <f t="shared" si="27"/>
        <v/>
      </c>
    </row>
    <row r="967" spans="3:5">
      <c r="C967" s="181" t="s">
        <v>565</v>
      </c>
      <c r="D967" s="181" t="s">
        <v>565</v>
      </c>
      <c r="E967" s="181" t="str">
        <f t="shared" si="27"/>
        <v/>
      </c>
    </row>
    <row r="968" spans="3:5">
      <c r="C968" s="181" t="s">
        <v>565</v>
      </c>
      <c r="D968" s="181" t="s">
        <v>565</v>
      </c>
      <c r="E968" s="181" t="str">
        <f t="shared" si="27"/>
        <v/>
      </c>
    </row>
    <row r="969" spans="3:5">
      <c r="C969" s="181" t="s">
        <v>565</v>
      </c>
      <c r="D969" s="181" t="s">
        <v>565</v>
      </c>
      <c r="E969" s="181" t="str">
        <f t="shared" si="27"/>
        <v/>
      </c>
    </row>
    <row r="970" spans="3:5">
      <c r="C970" s="181" t="s">
        <v>565</v>
      </c>
      <c r="D970" s="181" t="s">
        <v>565</v>
      </c>
      <c r="E970" s="181" t="str">
        <f t="shared" si="27"/>
        <v/>
      </c>
    </row>
    <row r="971" spans="3:5">
      <c r="C971" s="181" t="s">
        <v>565</v>
      </c>
      <c r="D971" s="181" t="s">
        <v>565</v>
      </c>
      <c r="E971" s="181" t="str">
        <f t="shared" si="27"/>
        <v/>
      </c>
    </row>
    <row r="972" spans="3:5">
      <c r="C972" s="181" t="s">
        <v>565</v>
      </c>
      <c r="D972" s="181" t="s">
        <v>565</v>
      </c>
      <c r="E972" s="181" t="str">
        <f t="shared" si="27"/>
        <v/>
      </c>
    </row>
    <row r="973" spans="3:5">
      <c r="C973" s="181" t="s">
        <v>565</v>
      </c>
      <c r="D973" s="181" t="s">
        <v>565</v>
      </c>
      <c r="E973" s="181" t="str">
        <f t="shared" si="27"/>
        <v/>
      </c>
    </row>
    <row r="974" spans="3:5">
      <c r="C974" s="181" t="s">
        <v>565</v>
      </c>
      <c r="D974" s="181" t="s">
        <v>565</v>
      </c>
      <c r="E974" s="181" t="str">
        <f t="shared" si="27"/>
        <v/>
      </c>
    </row>
    <row r="975" spans="3:5">
      <c r="C975" s="181" t="s">
        <v>565</v>
      </c>
      <c r="D975" s="181" t="s">
        <v>565</v>
      </c>
      <c r="E975" s="181" t="str">
        <f t="shared" si="27"/>
        <v/>
      </c>
    </row>
    <row r="976" spans="3:5">
      <c r="C976" s="181" t="s">
        <v>565</v>
      </c>
      <c r="D976" s="181" t="s">
        <v>565</v>
      </c>
      <c r="E976" s="181" t="str">
        <f t="shared" si="27"/>
        <v/>
      </c>
    </row>
    <row r="977" spans="3:5">
      <c r="C977" s="181" t="s">
        <v>565</v>
      </c>
      <c r="D977" s="181" t="s">
        <v>565</v>
      </c>
      <c r="E977" s="181" t="str">
        <f t="shared" si="27"/>
        <v/>
      </c>
    </row>
    <row r="978" spans="3:5">
      <c r="C978" s="181" t="s">
        <v>565</v>
      </c>
      <c r="D978" s="181" t="s">
        <v>565</v>
      </c>
      <c r="E978" s="181" t="str">
        <f t="shared" si="27"/>
        <v/>
      </c>
    </row>
    <row r="979" spans="3:5">
      <c r="C979" s="181" t="s">
        <v>565</v>
      </c>
      <c r="D979" s="181" t="s">
        <v>565</v>
      </c>
      <c r="E979" s="181" t="str">
        <f t="shared" si="27"/>
        <v/>
      </c>
    </row>
    <row r="980" spans="3:5">
      <c r="C980" s="181" t="s">
        <v>565</v>
      </c>
      <c r="D980" s="181" t="s">
        <v>565</v>
      </c>
      <c r="E980" s="181" t="str">
        <f t="shared" si="27"/>
        <v/>
      </c>
    </row>
    <row r="981" spans="3:5">
      <c r="C981" s="181" t="s">
        <v>565</v>
      </c>
      <c r="D981" s="181" t="s">
        <v>565</v>
      </c>
      <c r="E981" s="181" t="str">
        <f t="shared" si="27"/>
        <v/>
      </c>
    </row>
    <row r="982" spans="3:5">
      <c r="C982" s="181" t="s">
        <v>565</v>
      </c>
      <c r="D982" s="181" t="s">
        <v>565</v>
      </c>
      <c r="E982" s="181" t="str">
        <f t="shared" si="27"/>
        <v/>
      </c>
    </row>
    <row r="983" spans="3:5">
      <c r="C983" s="181" t="s">
        <v>565</v>
      </c>
      <c r="D983" s="181" t="s">
        <v>565</v>
      </c>
      <c r="E983" s="181" t="str">
        <f t="shared" si="27"/>
        <v/>
      </c>
    </row>
    <row r="984" spans="3:5">
      <c r="C984" s="181" t="s">
        <v>565</v>
      </c>
      <c r="D984" s="181" t="s">
        <v>565</v>
      </c>
      <c r="E984" s="181" t="str">
        <f t="shared" si="27"/>
        <v/>
      </c>
    </row>
    <row r="985" spans="3:5">
      <c r="C985" s="181" t="s">
        <v>565</v>
      </c>
      <c r="D985" s="181" t="s">
        <v>565</v>
      </c>
      <c r="E985" s="181" t="str">
        <f t="shared" si="27"/>
        <v/>
      </c>
    </row>
    <row r="986" spans="3:5">
      <c r="C986" s="181" t="s">
        <v>565</v>
      </c>
      <c r="D986" s="181" t="s">
        <v>565</v>
      </c>
      <c r="E986" s="181" t="str">
        <f t="shared" si="27"/>
        <v/>
      </c>
    </row>
    <row r="987" spans="3:5">
      <c r="C987" s="181" t="s">
        <v>565</v>
      </c>
      <c r="D987" s="181" t="s">
        <v>565</v>
      </c>
      <c r="E987" s="181" t="str">
        <f t="shared" si="27"/>
        <v/>
      </c>
    </row>
    <row r="988" spans="3:5">
      <c r="C988" s="181" t="s">
        <v>565</v>
      </c>
      <c r="D988" s="181" t="s">
        <v>565</v>
      </c>
      <c r="E988" s="181" t="str">
        <f t="shared" si="27"/>
        <v/>
      </c>
    </row>
    <row r="989" spans="3:5">
      <c r="C989" s="181" t="s">
        <v>565</v>
      </c>
      <c r="D989" s="181" t="s">
        <v>565</v>
      </c>
      <c r="E989" s="181" t="str">
        <f t="shared" si="27"/>
        <v/>
      </c>
    </row>
    <row r="990" spans="3:5">
      <c r="C990" s="181" t="s">
        <v>565</v>
      </c>
      <c r="D990" s="181" t="s">
        <v>565</v>
      </c>
      <c r="E990" s="181" t="str">
        <f t="shared" si="27"/>
        <v/>
      </c>
    </row>
    <row r="991" spans="3:5">
      <c r="C991" s="181" t="s">
        <v>565</v>
      </c>
      <c r="D991" s="181" t="s">
        <v>565</v>
      </c>
      <c r="E991" s="181" t="str">
        <f t="shared" si="27"/>
        <v/>
      </c>
    </row>
    <row r="992" spans="3:5">
      <c r="C992" s="181" t="s">
        <v>565</v>
      </c>
      <c r="D992" s="181" t="s">
        <v>565</v>
      </c>
      <c r="E992" s="181" t="str">
        <f t="shared" si="27"/>
        <v/>
      </c>
    </row>
    <row r="993" spans="3:5">
      <c r="C993" s="181" t="s">
        <v>565</v>
      </c>
      <c r="D993" s="181" t="s">
        <v>565</v>
      </c>
      <c r="E993" s="181" t="str">
        <f t="shared" si="27"/>
        <v/>
      </c>
    </row>
    <row r="994" spans="3:5">
      <c r="C994" s="181" t="s">
        <v>565</v>
      </c>
      <c r="D994" s="181" t="s">
        <v>565</v>
      </c>
      <c r="E994" s="181" t="str">
        <f t="shared" si="27"/>
        <v/>
      </c>
    </row>
    <row r="995" spans="3:5">
      <c r="C995" s="181" t="s">
        <v>565</v>
      </c>
      <c r="D995" s="181" t="s">
        <v>565</v>
      </c>
      <c r="E995" s="181" t="str">
        <f t="shared" si="27"/>
        <v/>
      </c>
    </row>
    <row r="996" spans="3:5">
      <c r="C996" s="181" t="s">
        <v>565</v>
      </c>
      <c r="D996" s="181" t="s">
        <v>565</v>
      </c>
      <c r="E996" s="181" t="str">
        <f t="shared" si="27"/>
        <v/>
      </c>
    </row>
    <row r="997" spans="3:5">
      <c r="C997" s="181" t="s">
        <v>565</v>
      </c>
      <c r="D997" s="181" t="s">
        <v>565</v>
      </c>
      <c r="E997" s="181" t="str">
        <f t="shared" si="27"/>
        <v/>
      </c>
    </row>
    <row r="998" spans="3:5">
      <c r="C998" s="181" t="s">
        <v>565</v>
      </c>
      <c r="D998" s="181" t="s">
        <v>565</v>
      </c>
      <c r="E998" s="181" t="str">
        <f t="shared" si="27"/>
        <v/>
      </c>
    </row>
    <row r="999" spans="3:5">
      <c r="C999" s="181" t="s">
        <v>565</v>
      </c>
      <c r="D999" s="181" t="s">
        <v>565</v>
      </c>
      <c r="E999" s="181" t="str">
        <f t="shared" si="27"/>
        <v/>
      </c>
    </row>
    <row r="1000" spans="3:5">
      <c r="C1000" s="181" t="s">
        <v>565</v>
      </c>
      <c r="D1000" s="181" t="s">
        <v>565</v>
      </c>
      <c r="E1000" s="181" t="str">
        <f t="shared" si="27"/>
        <v/>
      </c>
    </row>
    <row r="1001" spans="3:5">
      <c r="C1001" s="181" t="s">
        <v>565</v>
      </c>
      <c r="D1001" s="181" t="s">
        <v>565</v>
      </c>
      <c r="E1001" s="181" t="str">
        <f t="shared" si="27"/>
        <v/>
      </c>
    </row>
    <row r="1002" spans="3:5">
      <c r="C1002" s="181" t="s">
        <v>565</v>
      </c>
      <c r="D1002" s="181" t="s">
        <v>565</v>
      </c>
      <c r="E1002" s="181" t="str">
        <f t="shared" si="27"/>
        <v/>
      </c>
    </row>
    <row r="1003" spans="3:5">
      <c r="C1003" s="181" t="s">
        <v>565</v>
      </c>
      <c r="D1003" s="181" t="s">
        <v>565</v>
      </c>
      <c r="E1003" s="181" t="str">
        <f t="shared" si="27"/>
        <v/>
      </c>
    </row>
    <row r="1004" spans="3:5">
      <c r="C1004" s="181" t="s">
        <v>565</v>
      </c>
      <c r="D1004" s="181" t="s">
        <v>565</v>
      </c>
      <c r="E1004" s="181" t="str">
        <f t="shared" si="27"/>
        <v/>
      </c>
    </row>
    <row r="1005" spans="3:5">
      <c r="C1005" s="181" t="s">
        <v>565</v>
      </c>
      <c r="D1005" s="181" t="s">
        <v>565</v>
      </c>
      <c r="E1005" s="181" t="str">
        <f t="shared" si="27"/>
        <v/>
      </c>
    </row>
    <row r="1006" spans="3:5">
      <c r="C1006" s="181" t="s">
        <v>565</v>
      </c>
      <c r="D1006" s="181" t="s">
        <v>565</v>
      </c>
      <c r="E1006" s="181" t="str">
        <f t="shared" si="27"/>
        <v/>
      </c>
    </row>
    <row r="1007" spans="3:5">
      <c r="C1007" s="181" t="s">
        <v>565</v>
      </c>
      <c r="D1007" s="181" t="s">
        <v>565</v>
      </c>
      <c r="E1007" s="181" t="str">
        <f t="shared" si="27"/>
        <v/>
      </c>
    </row>
    <row r="1008" spans="3:5">
      <c r="C1008" s="181" t="s">
        <v>565</v>
      </c>
      <c r="D1008" s="181" t="s">
        <v>565</v>
      </c>
      <c r="E1008" s="181" t="str">
        <f t="shared" si="27"/>
        <v/>
      </c>
    </row>
    <row r="1009" spans="3:5">
      <c r="C1009" s="181" t="s">
        <v>565</v>
      </c>
      <c r="D1009" s="181" t="s">
        <v>565</v>
      </c>
      <c r="E1009" s="181" t="str">
        <f t="shared" si="27"/>
        <v/>
      </c>
    </row>
    <row r="1010" spans="3:5">
      <c r="C1010" s="181" t="s">
        <v>565</v>
      </c>
      <c r="D1010" s="181" t="s">
        <v>565</v>
      </c>
      <c r="E1010" s="181" t="str">
        <f t="shared" si="27"/>
        <v/>
      </c>
    </row>
    <row r="1011" spans="3:5">
      <c r="C1011" s="181" t="s">
        <v>565</v>
      </c>
      <c r="D1011" s="181" t="s">
        <v>565</v>
      </c>
      <c r="E1011" s="181" t="str">
        <f t="shared" si="27"/>
        <v/>
      </c>
    </row>
    <row r="1012" spans="3:5">
      <c r="C1012" s="181" t="s">
        <v>565</v>
      </c>
      <c r="D1012" s="181" t="s">
        <v>565</v>
      </c>
      <c r="E1012" s="181" t="str">
        <f t="shared" si="27"/>
        <v/>
      </c>
    </row>
    <row r="1013" spans="3:5">
      <c r="C1013" s="181" t="s">
        <v>565</v>
      </c>
      <c r="D1013" s="181" t="s">
        <v>565</v>
      </c>
      <c r="E1013" s="181" t="str">
        <f t="shared" si="27"/>
        <v/>
      </c>
    </row>
    <row r="1014" spans="3:5">
      <c r="C1014" s="181" t="s">
        <v>565</v>
      </c>
      <c r="D1014" s="181" t="s">
        <v>565</v>
      </c>
      <c r="E1014" s="181" t="str">
        <f t="shared" si="27"/>
        <v/>
      </c>
    </row>
    <row r="1015" spans="3:5">
      <c r="C1015" s="181" t="s">
        <v>565</v>
      </c>
      <c r="D1015" s="181" t="s">
        <v>565</v>
      </c>
      <c r="E1015" s="181" t="str">
        <f t="shared" si="27"/>
        <v/>
      </c>
    </row>
    <row r="1016" spans="3:5">
      <c r="C1016" s="181" t="s">
        <v>565</v>
      </c>
      <c r="D1016" s="181" t="s">
        <v>565</v>
      </c>
      <c r="E1016" s="181" t="str">
        <f t="shared" si="27"/>
        <v/>
      </c>
    </row>
    <row r="1017" spans="3:5">
      <c r="C1017" s="181" t="s">
        <v>565</v>
      </c>
      <c r="D1017" s="181" t="s">
        <v>565</v>
      </c>
      <c r="E1017" s="181" t="str">
        <f t="shared" si="27"/>
        <v/>
      </c>
    </row>
    <row r="1018" spans="3:5">
      <c r="C1018" s="181" t="s">
        <v>565</v>
      </c>
      <c r="D1018" s="181" t="s">
        <v>565</v>
      </c>
      <c r="E1018" s="181" t="str">
        <f t="shared" si="27"/>
        <v/>
      </c>
    </row>
    <row r="1019" spans="3:5">
      <c r="C1019" s="181" t="s">
        <v>565</v>
      </c>
      <c r="D1019" s="181" t="s">
        <v>565</v>
      </c>
      <c r="E1019" s="181" t="str">
        <f t="shared" si="27"/>
        <v/>
      </c>
    </row>
    <row r="1020" spans="3:5">
      <c r="C1020" s="181" t="s">
        <v>565</v>
      </c>
      <c r="D1020" s="181" t="s">
        <v>565</v>
      </c>
      <c r="E1020" s="181" t="str">
        <f t="shared" si="27"/>
        <v/>
      </c>
    </row>
    <row r="1021" spans="3:5">
      <c r="C1021" s="181" t="s">
        <v>565</v>
      </c>
      <c r="D1021" s="181" t="s">
        <v>565</v>
      </c>
      <c r="E1021" s="181" t="str">
        <f t="shared" si="27"/>
        <v/>
      </c>
    </row>
    <row r="1022" spans="3:5">
      <c r="C1022" s="181" t="s">
        <v>565</v>
      </c>
      <c r="D1022" s="181" t="s">
        <v>565</v>
      </c>
      <c r="E1022" s="181" t="str">
        <f t="shared" si="27"/>
        <v/>
      </c>
    </row>
    <row r="1023" spans="3:5">
      <c r="C1023" s="181" t="s">
        <v>565</v>
      </c>
      <c r="D1023" s="181" t="s">
        <v>565</v>
      </c>
      <c r="E1023" s="181" t="str">
        <f t="shared" si="27"/>
        <v/>
      </c>
    </row>
    <row r="1024" spans="3:5">
      <c r="C1024" s="181" t="s">
        <v>565</v>
      </c>
      <c r="D1024" s="181" t="s">
        <v>565</v>
      </c>
      <c r="E1024" s="181" t="str">
        <f t="shared" si="27"/>
        <v/>
      </c>
    </row>
    <row r="1025" spans="3:5">
      <c r="C1025" s="181" t="s">
        <v>565</v>
      </c>
      <c r="D1025" s="181" t="s">
        <v>565</v>
      </c>
      <c r="E1025" s="181" t="str">
        <f t="shared" si="27"/>
        <v/>
      </c>
    </row>
    <row r="1026" spans="3:5">
      <c r="C1026" s="181" t="s">
        <v>565</v>
      </c>
      <c r="D1026" s="181" t="s">
        <v>565</v>
      </c>
      <c r="E1026" s="181" t="str">
        <f t="shared" si="27"/>
        <v/>
      </c>
    </row>
    <row r="1027" spans="3:5">
      <c r="C1027" s="181" t="s">
        <v>565</v>
      </c>
      <c r="D1027" s="181" t="s">
        <v>565</v>
      </c>
      <c r="E1027" s="181" t="str">
        <f t="shared" si="27"/>
        <v/>
      </c>
    </row>
    <row r="1028" spans="3:5">
      <c r="C1028" s="181" t="s">
        <v>565</v>
      </c>
      <c r="D1028" s="181" t="s">
        <v>565</v>
      </c>
      <c r="E1028" s="181" t="str">
        <f t="shared" ref="E1028:E1091" si="28">IF(C1028&lt;D1028,C1028,D1028)</f>
        <v/>
      </c>
    </row>
    <row r="1029" spans="3:5">
      <c r="C1029" s="181" t="s">
        <v>565</v>
      </c>
      <c r="D1029" s="181" t="s">
        <v>565</v>
      </c>
      <c r="E1029" s="181" t="str">
        <f t="shared" si="28"/>
        <v/>
      </c>
    </row>
    <row r="1030" spans="3:5">
      <c r="C1030" s="181" t="s">
        <v>565</v>
      </c>
      <c r="D1030" s="181" t="s">
        <v>565</v>
      </c>
      <c r="E1030" s="181" t="str">
        <f t="shared" si="28"/>
        <v/>
      </c>
    </row>
    <row r="1031" spans="3:5">
      <c r="C1031" s="181" t="s">
        <v>565</v>
      </c>
      <c r="D1031" s="181" t="s">
        <v>565</v>
      </c>
      <c r="E1031" s="181" t="str">
        <f t="shared" si="28"/>
        <v/>
      </c>
    </row>
    <row r="1032" spans="3:5">
      <c r="C1032" s="181" t="s">
        <v>565</v>
      </c>
      <c r="D1032" s="181" t="s">
        <v>565</v>
      </c>
      <c r="E1032" s="181" t="str">
        <f t="shared" si="28"/>
        <v/>
      </c>
    </row>
    <row r="1033" spans="3:5">
      <c r="C1033" s="181" t="s">
        <v>565</v>
      </c>
      <c r="D1033" s="181" t="s">
        <v>565</v>
      </c>
      <c r="E1033" s="181" t="str">
        <f t="shared" si="28"/>
        <v/>
      </c>
    </row>
    <row r="1034" spans="3:5">
      <c r="C1034" s="181" t="s">
        <v>565</v>
      </c>
      <c r="D1034" s="181" t="s">
        <v>565</v>
      </c>
      <c r="E1034" s="181" t="str">
        <f t="shared" si="28"/>
        <v/>
      </c>
    </row>
    <row r="1035" spans="3:5">
      <c r="C1035" s="181" t="s">
        <v>565</v>
      </c>
      <c r="D1035" s="181" t="s">
        <v>565</v>
      </c>
      <c r="E1035" s="181" t="str">
        <f t="shared" si="28"/>
        <v/>
      </c>
    </row>
    <row r="1036" spans="3:5">
      <c r="C1036" s="181" t="s">
        <v>565</v>
      </c>
      <c r="D1036" s="181" t="s">
        <v>565</v>
      </c>
      <c r="E1036" s="181" t="str">
        <f t="shared" si="28"/>
        <v/>
      </c>
    </row>
    <row r="1037" spans="3:5">
      <c r="C1037" s="181" t="s">
        <v>565</v>
      </c>
      <c r="D1037" s="181" t="s">
        <v>565</v>
      </c>
      <c r="E1037" s="181" t="str">
        <f t="shared" si="28"/>
        <v/>
      </c>
    </row>
    <row r="1038" spans="3:5">
      <c r="C1038" s="181" t="s">
        <v>565</v>
      </c>
      <c r="D1038" s="181" t="s">
        <v>565</v>
      </c>
      <c r="E1038" s="181" t="str">
        <f t="shared" si="28"/>
        <v/>
      </c>
    </row>
    <row r="1039" spans="3:5">
      <c r="C1039" s="181" t="s">
        <v>565</v>
      </c>
      <c r="D1039" s="181" t="s">
        <v>565</v>
      </c>
      <c r="E1039" s="181" t="str">
        <f t="shared" si="28"/>
        <v/>
      </c>
    </row>
    <row r="1040" spans="3:5">
      <c r="C1040" s="181" t="s">
        <v>565</v>
      </c>
      <c r="D1040" s="181" t="s">
        <v>565</v>
      </c>
      <c r="E1040" s="181" t="str">
        <f t="shared" si="28"/>
        <v/>
      </c>
    </row>
    <row r="1041" spans="3:5">
      <c r="C1041" s="181" t="s">
        <v>565</v>
      </c>
      <c r="D1041" s="181" t="s">
        <v>565</v>
      </c>
      <c r="E1041" s="181" t="str">
        <f t="shared" si="28"/>
        <v/>
      </c>
    </row>
    <row r="1042" spans="3:5">
      <c r="C1042" s="181" t="s">
        <v>565</v>
      </c>
      <c r="D1042" s="181" t="s">
        <v>565</v>
      </c>
      <c r="E1042" s="181" t="str">
        <f t="shared" si="28"/>
        <v/>
      </c>
    </row>
    <row r="1043" spans="3:5">
      <c r="C1043" s="181" t="s">
        <v>565</v>
      </c>
      <c r="D1043" s="181" t="s">
        <v>565</v>
      </c>
      <c r="E1043" s="181" t="str">
        <f t="shared" si="28"/>
        <v/>
      </c>
    </row>
    <row r="1044" spans="3:5">
      <c r="C1044" s="181" t="s">
        <v>565</v>
      </c>
      <c r="D1044" s="181" t="s">
        <v>565</v>
      </c>
      <c r="E1044" s="181" t="str">
        <f t="shared" si="28"/>
        <v/>
      </c>
    </row>
    <row r="1045" spans="3:5">
      <c r="C1045" s="181" t="s">
        <v>565</v>
      </c>
      <c r="D1045" s="181" t="s">
        <v>565</v>
      </c>
      <c r="E1045" s="181" t="str">
        <f t="shared" si="28"/>
        <v/>
      </c>
    </row>
    <row r="1046" spans="3:5">
      <c r="C1046" s="181" t="s">
        <v>565</v>
      </c>
      <c r="D1046" s="181" t="s">
        <v>565</v>
      </c>
      <c r="E1046" s="181" t="str">
        <f t="shared" si="28"/>
        <v/>
      </c>
    </row>
    <row r="1047" spans="3:5">
      <c r="C1047" s="181" t="s">
        <v>565</v>
      </c>
      <c r="D1047" s="181" t="s">
        <v>565</v>
      </c>
      <c r="E1047" s="181" t="str">
        <f t="shared" si="28"/>
        <v/>
      </c>
    </row>
    <row r="1048" spans="3:5">
      <c r="C1048" s="181" t="s">
        <v>565</v>
      </c>
      <c r="D1048" s="181" t="s">
        <v>565</v>
      </c>
      <c r="E1048" s="181" t="str">
        <f t="shared" si="28"/>
        <v/>
      </c>
    </row>
    <row r="1049" spans="3:5">
      <c r="C1049" s="181" t="s">
        <v>565</v>
      </c>
      <c r="D1049" s="181" t="s">
        <v>565</v>
      </c>
      <c r="E1049" s="181" t="str">
        <f t="shared" si="28"/>
        <v/>
      </c>
    </row>
    <row r="1050" spans="3:5">
      <c r="C1050" s="181" t="s">
        <v>565</v>
      </c>
      <c r="D1050" s="181" t="s">
        <v>565</v>
      </c>
      <c r="E1050" s="181" t="str">
        <f t="shared" si="28"/>
        <v/>
      </c>
    </row>
    <row r="1051" spans="3:5">
      <c r="C1051" s="181" t="s">
        <v>565</v>
      </c>
      <c r="D1051" s="181" t="s">
        <v>565</v>
      </c>
      <c r="E1051" s="181" t="str">
        <f t="shared" si="28"/>
        <v/>
      </c>
    </row>
    <row r="1052" spans="3:5">
      <c r="C1052" s="181" t="s">
        <v>565</v>
      </c>
      <c r="D1052" s="181" t="s">
        <v>565</v>
      </c>
      <c r="E1052" s="181" t="str">
        <f t="shared" si="28"/>
        <v/>
      </c>
    </row>
    <row r="1053" spans="3:5">
      <c r="C1053" s="181" t="s">
        <v>565</v>
      </c>
      <c r="D1053" s="181" t="s">
        <v>565</v>
      </c>
      <c r="E1053" s="181" t="str">
        <f t="shared" si="28"/>
        <v/>
      </c>
    </row>
    <row r="1054" spans="3:5">
      <c r="C1054" s="181" t="s">
        <v>565</v>
      </c>
      <c r="D1054" s="181" t="s">
        <v>565</v>
      </c>
      <c r="E1054" s="181" t="str">
        <f t="shared" si="28"/>
        <v/>
      </c>
    </row>
    <row r="1055" spans="3:5">
      <c r="C1055" s="181" t="s">
        <v>565</v>
      </c>
      <c r="D1055" s="181" t="s">
        <v>565</v>
      </c>
      <c r="E1055" s="181" t="str">
        <f t="shared" si="28"/>
        <v/>
      </c>
    </row>
    <row r="1056" spans="3:5">
      <c r="C1056" s="181" t="s">
        <v>565</v>
      </c>
      <c r="D1056" s="181" t="s">
        <v>565</v>
      </c>
      <c r="E1056" s="181" t="str">
        <f t="shared" si="28"/>
        <v/>
      </c>
    </row>
    <row r="1057" spans="3:5">
      <c r="C1057" s="181" t="s">
        <v>565</v>
      </c>
      <c r="D1057" s="181" t="s">
        <v>565</v>
      </c>
      <c r="E1057" s="181" t="str">
        <f t="shared" si="28"/>
        <v/>
      </c>
    </row>
    <row r="1058" spans="3:5">
      <c r="C1058" s="181" t="s">
        <v>565</v>
      </c>
      <c r="D1058" s="181" t="s">
        <v>565</v>
      </c>
      <c r="E1058" s="181" t="str">
        <f t="shared" si="28"/>
        <v/>
      </c>
    </row>
    <row r="1059" spans="3:5">
      <c r="C1059" s="181" t="s">
        <v>565</v>
      </c>
      <c r="D1059" s="181" t="s">
        <v>565</v>
      </c>
      <c r="E1059" s="181" t="str">
        <f t="shared" si="28"/>
        <v/>
      </c>
    </row>
    <row r="1060" spans="3:5">
      <c r="C1060" s="181" t="s">
        <v>565</v>
      </c>
      <c r="D1060" s="181" t="s">
        <v>565</v>
      </c>
      <c r="E1060" s="181" t="str">
        <f t="shared" si="28"/>
        <v/>
      </c>
    </row>
    <row r="1061" spans="3:5">
      <c r="C1061" s="181" t="s">
        <v>565</v>
      </c>
      <c r="D1061" s="181" t="s">
        <v>565</v>
      </c>
      <c r="E1061" s="181" t="str">
        <f t="shared" si="28"/>
        <v/>
      </c>
    </row>
    <row r="1062" spans="3:5">
      <c r="C1062" s="181" t="s">
        <v>565</v>
      </c>
      <c r="D1062" s="181" t="s">
        <v>565</v>
      </c>
      <c r="E1062" s="181" t="str">
        <f t="shared" si="28"/>
        <v/>
      </c>
    </row>
    <row r="1063" spans="3:5">
      <c r="C1063" s="181" t="s">
        <v>565</v>
      </c>
      <c r="D1063" s="181" t="s">
        <v>565</v>
      </c>
      <c r="E1063" s="181" t="str">
        <f t="shared" si="28"/>
        <v/>
      </c>
    </row>
    <row r="1064" spans="3:5">
      <c r="C1064" s="181" t="s">
        <v>565</v>
      </c>
      <c r="D1064" s="181" t="s">
        <v>565</v>
      </c>
      <c r="E1064" s="181" t="str">
        <f t="shared" si="28"/>
        <v/>
      </c>
    </row>
    <row r="1065" spans="3:5">
      <c r="C1065" s="181" t="s">
        <v>565</v>
      </c>
      <c r="D1065" s="181" t="s">
        <v>565</v>
      </c>
      <c r="E1065" s="181" t="str">
        <f t="shared" si="28"/>
        <v/>
      </c>
    </row>
    <row r="1066" spans="3:5">
      <c r="C1066" s="181" t="s">
        <v>565</v>
      </c>
      <c r="D1066" s="181" t="s">
        <v>565</v>
      </c>
      <c r="E1066" s="181" t="str">
        <f t="shared" si="28"/>
        <v/>
      </c>
    </row>
    <row r="1067" spans="3:5">
      <c r="C1067" s="181" t="s">
        <v>565</v>
      </c>
      <c r="D1067" s="181" t="s">
        <v>565</v>
      </c>
      <c r="E1067" s="181" t="str">
        <f t="shared" si="28"/>
        <v/>
      </c>
    </row>
    <row r="1068" spans="3:5">
      <c r="C1068" s="181" t="s">
        <v>565</v>
      </c>
      <c r="D1068" s="181" t="s">
        <v>565</v>
      </c>
      <c r="E1068" s="181" t="str">
        <f t="shared" si="28"/>
        <v/>
      </c>
    </row>
    <row r="1069" spans="3:5">
      <c r="C1069" s="181" t="s">
        <v>565</v>
      </c>
      <c r="D1069" s="181" t="s">
        <v>565</v>
      </c>
      <c r="E1069" s="181" t="str">
        <f t="shared" si="28"/>
        <v/>
      </c>
    </row>
    <row r="1070" spans="3:5">
      <c r="C1070" s="181" t="s">
        <v>565</v>
      </c>
      <c r="D1070" s="181" t="s">
        <v>565</v>
      </c>
      <c r="E1070" s="181" t="str">
        <f t="shared" si="28"/>
        <v/>
      </c>
    </row>
    <row r="1071" spans="3:5">
      <c r="C1071" s="181" t="s">
        <v>565</v>
      </c>
      <c r="D1071" s="181" t="s">
        <v>565</v>
      </c>
      <c r="E1071" s="181" t="str">
        <f t="shared" si="28"/>
        <v/>
      </c>
    </row>
    <row r="1072" spans="3:5">
      <c r="C1072" s="181" t="s">
        <v>565</v>
      </c>
      <c r="D1072" s="181" t="s">
        <v>565</v>
      </c>
      <c r="E1072" s="181" t="str">
        <f t="shared" si="28"/>
        <v/>
      </c>
    </row>
    <row r="1073" spans="3:5">
      <c r="C1073" s="181" t="s">
        <v>565</v>
      </c>
      <c r="D1073" s="181" t="s">
        <v>565</v>
      </c>
      <c r="E1073" s="181" t="str">
        <f t="shared" si="28"/>
        <v/>
      </c>
    </row>
    <row r="1074" spans="3:5">
      <c r="C1074" s="181" t="s">
        <v>565</v>
      </c>
      <c r="D1074" s="181" t="s">
        <v>565</v>
      </c>
      <c r="E1074" s="181" t="str">
        <f t="shared" si="28"/>
        <v/>
      </c>
    </row>
    <row r="1075" spans="3:5">
      <c r="C1075" s="181" t="s">
        <v>565</v>
      </c>
      <c r="D1075" s="181" t="s">
        <v>565</v>
      </c>
      <c r="E1075" s="181" t="str">
        <f t="shared" si="28"/>
        <v/>
      </c>
    </row>
    <row r="1076" spans="3:5">
      <c r="C1076" s="181" t="s">
        <v>565</v>
      </c>
      <c r="D1076" s="181" t="s">
        <v>565</v>
      </c>
      <c r="E1076" s="181" t="str">
        <f t="shared" si="28"/>
        <v/>
      </c>
    </row>
    <row r="1077" spans="3:5">
      <c r="C1077" s="181" t="s">
        <v>565</v>
      </c>
      <c r="D1077" s="181" t="s">
        <v>565</v>
      </c>
      <c r="E1077" s="181" t="str">
        <f t="shared" si="28"/>
        <v/>
      </c>
    </row>
    <row r="1078" spans="3:5">
      <c r="C1078" s="181" t="s">
        <v>565</v>
      </c>
      <c r="D1078" s="181" t="s">
        <v>565</v>
      </c>
      <c r="E1078" s="181" t="str">
        <f t="shared" si="28"/>
        <v/>
      </c>
    </row>
    <row r="1079" spans="3:5">
      <c r="C1079" s="181" t="s">
        <v>565</v>
      </c>
      <c r="D1079" s="181" t="s">
        <v>565</v>
      </c>
      <c r="E1079" s="181" t="str">
        <f t="shared" si="28"/>
        <v/>
      </c>
    </row>
    <row r="1080" spans="3:5">
      <c r="C1080" s="181" t="s">
        <v>565</v>
      </c>
      <c r="D1080" s="181" t="s">
        <v>565</v>
      </c>
      <c r="E1080" s="181" t="str">
        <f t="shared" si="28"/>
        <v/>
      </c>
    </row>
    <row r="1081" spans="3:5">
      <c r="C1081" s="181" t="s">
        <v>565</v>
      </c>
      <c r="D1081" s="181" t="s">
        <v>565</v>
      </c>
      <c r="E1081" s="181" t="str">
        <f t="shared" si="28"/>
        <v/>
      </c>
    </row>
    <row r="1082" spans="3:5">
      <c r="C1082" s="181" t="s">
        <v>565</v>
      </c>
      <c r="D1082" s="181" t="s">
        <v>565</v>
      </c>
      <c r="E1082" s="181" t="str">
        <f t="shared" si="28"/>
        <v/>
      </c>
    </row>
    <row r="1083" spans="3:5">
      <c r="C1083" s="181" t="s">
        <v>565</v>
      </c>
      <c r="D1083" s="181" t="s">
        <v>565</v>
      </c>
      <c r="E1083" s="181" t="str">
        <f t="shared" si="28"/>
        <v/>
      </c>
    </row>
    <row r="1084" spans="3:5">
      <c r="C1084" s="181" t="s">
        <v>565</v>
      </c>
      <c r="D1084" s="181" t="s">
        <v>565</v>
      </c>
      <c r="E1084" s="181" t="str">
        <f t="shared" si="28"/>
        <v/>
      </c>
    </row>
    <row r="1085" spans="3:5">
      <c r="C1085" s="181" t="s">
        <v>565</v>
      </c>
      <c r="D1085" s="181" t="s">
        <v>565</v>
      </c>
      <c r="E1085" s="181" t="str">
        <f t="shared" si="28"/>
        <v/>
      </c>
    </row>
    <row r="1086" spans="3:5">
      <c r="C1086" s="181" t="s">
        <v>565</v>
      </c>
      <c r="D1086" s="181" t="s">
        <v>565</v>
      </c>
      <c r="E1086" s="181" t="str">
        <f t="shared" si="28"/>
        <v/>
      </c>
    </row>
    <row r="1087" spans="3:5">
      <c r="C1087" s="181" t="s">
        <v>565</v>
      </c>
      <c r="D1087" s="181" t="s">
        <v>565</v>
      </c>
      <c r="E1087" s="181" t="str">
        <f t="shared" si="28"/>
        <v/>
      </c>
    </row>
    <row r="1088" spans="3:5">
      <c r="C1088" s="181" t="s">
        <v>565</v>
      </c>
      <c r="D1088" s="181" t="s">
        <v>565</v>
      </c>
      <c r="E1088" s="181" t="str">
        <f t="shared" si="28"/>
        <v/>
      </c>
    </row>
    <row r="1089" spans="3:5">
      <c r="C1089" s="181" t="s">
        <v>565</v>
      </c>
      <c r="D1089" s="181" t="s">
        <v>565</v>
      </c>
      <c r="E1089" s="181" t="str">
        <f t="shared" si="28"/>
        <v/>
      </c>
    </row>
    <row r="1090" spans="3:5">
      <c r="C1090" s="181" t="s">
        <v>565</v>
      </c>
      <c r="D1090" s="181" t="s">
        <v>565</v>
      </c>
      <c r="E1090" s="181" t="str">
        <f t="shared" si="28"/>
        <v/>
      </c>
    </row>
    <row r="1091" spans="3:5">
      <c r="C1091" s="181" t="s">
        <v>565</v>
      </c>
      <c r="D1091" s="181" t="s">
        <v>565</v>
      </c>
      <c r="E1091" s="181" t="str">
        <f t="shared" si="28"/>
        <v/>
      </c>
    </row>
    <row r="1092" spans="3:5">
      <c r="C1092" s="181" t="s">
        <v>565</v>
      </c>
      <c r="D1092" s="181" t="s">
        <v>565</v>
      </c>
      <c r="E1092" s="181" t="str">
        <f t="shared" ref="E1092:E1155" si="29">IF(C1092&lt;D1092,C1092,D1092)</f>
        <v/>
      </c>
    </row>
    <row r="1093" spans="3:5">
      <c r="C1093" s="181" t="s">
        <v>565</v>
      </c>
      <c r="D1093" s="181" t="s">
        <v>565</v>
      </c>
      <c r="E1093" s="181" t="str">
        <f t="shared" si="29"/>
        <v/>
      </c>
    </row>
    <row r="1094" spans="3:5">
      <c r="C1094" s="181" t="s">
        <v>565</v>
      </c>
      <c r="D1094" s="181" t="s">
        <v>565</v>
      </c>
      <c r="E1094" s="181" t="str">
        <f t="shared" si="29"/>
        <v/>
      </c>
    </row>
    <row r="1095" spans="3:5">
      <c r="C1095" s="181" t="s">
        <v>565</v>
      </c>
      <c r="D1095" s="181" t="s">
        <v>565</v>
      </c>
      <c r="E1095" s="181" t="str">
        <f t="shared" si="29"/>
        <v/>
      </c>
    </row>
    <row r="1096" spans="3:5">
      <c r="C1096" s="181" t="s">
        <v>565</v>
      </c>
      <c r="D1096" s="181" t="s">
        <v>565</v>
      </c>
      <c r="E1096" s="181" t="str">
        <f t="shared" si="29"/>
        <v/>
      </c>
    </row>
    <row r="1097" spans="3:5">
      <c r="C1097" s="181" t="s">
        <v>565</v>
      </c>
      <c r="D1097" s="181" t="s">
        <v>565</v>
      </c>
      <c r="E1097" s="181" t="str">
        <f t="shared" si="29"/>
        <v/>
      </c>
    </row>
    <row r="1098" spans="3:5">
      <c r="C1098" s="181" t="s">
        <v>565</v>
      </c>
      <c r="D1098" s="181" t="s">
        <v>565</v>
      </c>
      <c r="E1098" s="181" t="str">
        <f t="shared" si="29"/>
        <v/>
      </c>
    </row>
    <row r="1099" spans="3:5">
      <c r="C1099" s="181" t="s">
        <v>565</v>
      </c>
      <c r="D1099" s="181" t="s">
        <v>565</v>
      </c>
      <c r="E1099" s="181" t="str">
        <f t="shared" si="29"/>
        <v/>
      </c>
    </row>
    <row r="1100" spans="3:5">
      <c r="C1100" s="181" t="s">
        <v>565</v>
      </c>
      <c r="D1100" s="181" t="s">
        <v>565</v>
      </c>
      <c r="E1100" s="181" t="str">
        <f t="shared" si="29"/>
        <v/>
      </c>
    </row>
    <row r="1101" spans="3:5">
      <c r="C1101" s="181" t="s">
        <v>565</v>
      </c>
      <c r="D1101" s="181" t="s">
        <v>565</v>
      </c>
      <c r="E1101" s="181" t="str">
        <f t="shared" si="29"/>
        <v/>
      </c>
    </row>
    <row r="1102" spans="3:5">
      <c r="C1102" s="181" t="s">
        <v>565</v>
      </c>
      <c r="D1102" s="181" t="s">
        <v>565</v>
      </c>
      <c r="E1102" s="181" t="str">
        <f t="shared" si="29"/>
        <v/>
      </c>
    </row>
    <row r="1103" spans="3:5">
      <c r="C1103" s="181" t="s">
        <v>565</v>
      </c>
      <c r="D1103" s="181" t="s">
        <v>565</v>
      </c>
      <c r="E1103" s="181" t="str">
        <f t="shared" si="29"/>
        <v/>
      </c>
    </row>
    <row r="1104" spans="3:5">
      <c r="C1104" s="181" t="s">
        <v>565</v>
      </c>
      <c r="D1104" s="181" t="s">
        <v>565</v>
      </c>
      <c r="E1104" s="181" t="str">
        <f t="shared" si="29"/>
        <v/>
      </c>
    </row>
    <row r="1105" spans="3:5">
      <c r="C1105" s="181" t="s">
        <v>565</v>
      </c>
      <c r="D1105" s="181" t="s">
        <v>565</v>
      </c>
      <c r="E1105" s="181" t="str">
        <f t="shared" si="29"/>
        <v/>
      </c>
    </row>
    <row r="1106" spans="3:5">
      <c r="C1106" s="181" t="s">
        <v>565</v>
      </c>
      <c r="D1106" s="181" t="s">
        <v>565</v>
      </c>
      <c r="E1106" s="181" t="str">
        <f t="shared" si="29"/>
        <v/>
      </c>
    </row>
    <row r="1107" spans="3:5">
      <c r="C1107" s="181" t="s">
        <v>565</v>
      </c>
      <c r="D1107" s="181" t="s">
        <v>565</v>
      </c>
      <c r="E1107" s="181" t="str">
        <f t="shared" si="29"/>
        <v/>
      </c>
    </row>
    <row r="1108" spans="3:5">
      <c r="C1108" s="181" t="s">
        <v>565</v>
      </c>
      <c r="D1108" s="181" t="s">
        <v>565</v>
      </c>
      <c r="E1108" s="181" t="str">
        <f t="shared" si="29"/>
        <v/>
      </c>
    </row>
    <row r="1109" spans="3:5">
      <c r="C1109" s="181" t="s">
        <v>565</v>
      </c>
      <c r="D1109" s="181" t="s">
        <v>565</v>
      </c>
      <c r="E1109" s="181" t="str">
        <f t="shared" si="29"/>
        <v/>
      </c>
    </row>
    <row r="1110" spans="3:5">
      <c r="C1110" s="181" t="s">
        <v>565</v>
      </c>
      <c r="D1110" s="181" t="s">
        <v>565</v>
      </c>
      <c r="E1110" s="181" t="str">
        <f t="shared" si="29"/>
        <v/>
      </c>
    </row>
    <row r="1111" spans="3:5">
      <c r="C1111" s="181" t="s">
        <v>565</v>
      </c>
      <c r="D1111" s="181" t="s">
        <v>565</v>
      </c>
      <c r="E1111" s="181" t="str">
        <f t="shared" si="29"/>
        <v/>
      </c>
    </row>
    <row r="1112" spans="3:5">
      <c r="C1112" s="181" t="s">
        <v>565</v>
      </c>
      <c r="D1112" s="181" t="s">
        <v>565</v>
      </c>
      <c r="E1112" s="181" t="str">
        <f t="shared" si="29"/>
        <v/>
      </c>
    </row>
    <row r="1113" spans="3:5">
      <c r="C1113" s="181" t="s">
        <v>565</v>
      </c>
      <c r="D1113" s="181" t="s">
        <v>565</v>
      </c>
      <c r="E1113" s="181" t="str">
        <f t="shared" si="29"/>
        <v/>
      </c>
    </row>
    <row r="1114" spans="3:5">
      <c r="C1114" s="181" t="s">
        <v>565</v>
      </c>
      <c r="D1114" s="181" t="s">
        <v>565</v>
      </c>
      <c r="E1114" s="181" t="str">
        <f t="shared" si="29"/>
        <v/>
      </c>
    </row>
    <row r="1115" spans="3:5">
      <c r="C1115" s="181" t="s">
        <v>565</v>
      </c>
      <c r="D1115" s="181" t="s">
        <v>565</v>
      </c>
      <c r="E1115" s="181" t="str">
        <f t="shared" si="29"/>
        <v/>
      </c>
    </row>
    <row r="1116" spans="3:5">
      <c r="C1116" s="181" t="s">
        <v>565</v>
      </c>
      <c r="D1116" s="181" t="s">
        <v>565</v>
      </c>
      <c r="E1116" s="181" t="str">
        <f t="shared" si="29"/>
        <v/>
      </c>
    </row>
    <row r="1117" spans="3:5">
      <c r="C1117" s="181" t="s">
        <v>565</v>
      </c>
      <c r="D1117" s="181" t="s">
        <v>565</v>
      </c>
      <c r="E1117" s="181" t="str">
        <f t="shared" si="29"/>
        <v/>
      </c>
    </row>
    <row r="1118" spans="3:5">
      <c r="C1118" s="181" t="s">
        <v>565</v>
      </c>
      <c r="D1118" s="181" t="s">
        <v>565</v>
      </c>
      <c r="E1118" s="181" t="str">
        <f t="shared" si="29"/>
        <v/>
      </c>
    </row>
    <row r="1119" spans="3:5">
      <c r="C1119" s="181" t="s">
        <v>565</v>
      </c>
      <c r="D1119" s="181" t="s">
        <v>565</v>
      </c>
      <c r="E1119" s="181" t="str">
        <f t="shared" si="29"/>
        <v/>
      </c>
    </row>
    <row r="1120" spans="3:5">
      <c r="C1120" s="181" t="s">
        <v>565</v>
      </c>
      <c r="D1120" s="181" t="s">
        <v>565</v>
      </c>
      <c r="E1120" s="181" t="str">
        <f t="shared" si="29"/>
        <v/>
      </c>
    </row>
    <row r="1121" spans="3:5">
      <c r="C1121" s="181" t="s">
        <v>565</v>
      </c>
      <c r="D1121" s="181" t="s">
        <v>565</v>
      </c>
      <c r="E1121" s="181" t="str">
        <f t="shared" si="29"/>
        <v/>
      </c>
    </row>
    <row r="1122" spans="3:5">
      <c r="C1122" s="181" t="s">
        <v>565</v>
      </c>
      <c r="D1122" s="181" t="s">
        <v>565</v>
      </c>
      <c r="E1122" s="181" t="str">
        <f t="shared" si="29"/>
        <v/>
      </c>
    </row>
    <row r="1123" spans="3:5">
      <c r="C1123" s="181" t="s">
        <v>565</v>
      </c>
      <c r="D1123" s="181" t="s">
        <v>565</v>
      </c>
      <c r="E1123" s="181" t="str">
        <f t="shared" si="29"/>
        <v/>
      </c>
    </row>
    <row r="1124" spans="3:5">
      <c r="C1124" s="181" t="s">
        <v>565</v>
      </c>
      <c r="D1124" s="181" t="s">
        <v>565</v>
      </c>
      <c r="E1124" s="181" t="str">
        <f t="shared" si="29"/>
        <v/>
      </c>
    </row>
    <row r="1125" spans="3:5">
      <c r="C1125" s="181" t="s">
        <v>565</v>
      </c>
      <c r="D1125" s="181" t="s">
        <v>565</v>
      </c>
      <c r="E1125" s="181" t="str">
        <f t="shared" si="29"/>
        <v/>
      </c>
    </row>
    <row r="1126" spans="3:5">
      <c r="C1126" s="181" t="s">
        <v>565</v>
      </c>
      <c r="D1126" s="181" t="s">
        <v>565</v>
      </c>
      <c r="E1126" s="181" t="str">
        <f t="shared" si="29"/>
        <v/>
      </c>
    </row>
    <row r="1127" spans="3:5">
      <c r="C1127" s="181" t="s">
        <v>565</v>
      </c>
      <c r="D1127" s="181" t="s">
        <v>565</v>
      </c>
      <c r="E1127" s="181" t="str">
        <f t="shared" si="29"/>
        <v/>
      </c>
    </row>
    <row r="1128" spans="3:5">
      <c r="C1128" s="181" t="s">
        <v>565</v>
      </c>
      <c r="D1128" s="181" t="s">
        <v>565</v>
      </c>
      <c r="E1128" s="181" t="str">
        <f t="shared" si="29"/>
        <v/>
      </c>
    </row>
    <row r="1129" spans="3:5">
      <c r="C1129" s="181" t="s">
        <v>565</v>
      </c>
      <c r="D1129" s="181" t="s">
        <v>565</v>
      </c>
      <c r="E1129" s="181" t="str">
        <f t="shared" si="29"/>
        <v/>
      </c>
    </row>
    <row r="1130" spans="3:5">
      <c r="C1130" s="181" t="s">
        <v>565</v>
      </c>
      <c r="D1130" s="181" t="s">
        <v>565</v>
      </c>
      <c r="E1130" s="181" t="str">
        <f t="shared" si="29"/>
        <v/>
      </c>
    </row>
    <row r="1131" spans="3:5">
      <c r="C1131" s="181" t="s">
        <v>565</v>
      </c>
      <c r="D1131" s="181" t="s">
        <v>565</v>
      </c>
      <c r="E1131" s="181" t="str">
        <f t="shared" si="29"/>
        <v/>
      </c>
    </row>
    <row r="1132" spans="3:5">
      <c r="C1132" s="181" t="s">
        <v>565</v>
      </c>
      <c r="D1132" s="181" t="s">
        <v>565</v>
      </c>
      <c r="E1132" s="181" t="str">
        <f t="shared" si="29"/>
        <v/>
      </c>
    </row>
    <row r="1133" spans="3:5">
      <c r="C1133" s="181" t="s">
        <v>565</v>
      </c>
      <c r="D1133" s="181" t="s">
        <v>565</v>
      </c>
      <c r="E1133" s="181" t="str">
        <f t="shared" si="29"/>
        <v/>
      </c>
    </row>
    <row r="1134" spans="3:5">
      <c r="C1134" s="181" t="s">
        <v>565</v>
      </c>
      <c r="D1134" s="181" t="s">
        <v>565</v>
      </c>
      <c r="E1134" s="181" t="str">
        <f t="shared" si="29"/>
        <v/>
      </c>
    </row>
    <row r="1135" spans="3:5">
      <c r="C1135" s="181" t="s">
        <v>565</v>
      </c>
      <c r="D1135" s="181" t="s">
        <v>565</v>
      </c>
      <c r="E1135" s="181" t="str">
        <f t="shared" si="29"/>
        <v/>
      </c>
    </row>
    <row r="1136" spans="3:5">
      <c r="C1136" s="181" t="s">
        <v>565</v>
      </c>
      <c r="D1136" s="181" t="s">
        <v>565</v>
      </c>
      <c r="E1136" s="181" t="str">
        <f t="shared" si="29"/>
        <v/>
      </c>
    </row>
    <row r="1137" spans="3:5">
      <c r="C1137" s="181" t="s">
        <v>565</v>
      </c>
      <c r="D1137" s="181" t="s">
        <v>565</v>
      </c>
      <c r="E1137" s="181" t="str">
        <f t="shared" si="29"/>
        <v/>
      </c>
    </row>
    <row r="1138" spans="3:5">
      <c r="C1138" s="181" t="s">
        <v>565</v>
      </c>
      <c r="D1138" s="181" t="s">
        <v>565</v>
      </c>
      <c r="E1138" s="181" t="str">
        <f t="shared" si="29"/>
        <v/>
      </c>
    </row>
    <row r="1139" spans="3:5">
      <c r="C1139" s="181" t="s">
        <v>565</v>
      </c>
      <c r="D1139" s="181" t="s">
        <v>565</v>
      </c>
      <c r="E1139" s="181" t="str">
        <f t="shared" si="29"/>
        <v/>
      </c>
    </row>
    <row r="1140" spans="3:5">
      <c r="C1140" s="181" t="s">
        <v>565</v>
      </c>
      <c r="D1140" s="181" t="s">
        <v>565</v>
      </c>
      <c r="E1140" s="181" t="str">
        <f t="shared" si="29"/>
        <v/>
      </c>
    </row>
    <row r="1141" spans="3:5">
      <c r="C1141" s="181" t="s">
        <v>565</v>
      </c>
      <c r="D1141" s="181" t="s">
        <v>565</v>
      </c>
      <c r="E1141" s="181" t="str">
        <f t="shared" si="29"/>
        <v/>
      </c>
    </row>
    <row r="1142" spans="3:5">
      <c r="C1142" s="181" t="s">
        <v>565</v>
      </c>
      <c r="D1142" s="181" t="s">
        <v>565</v>
      </c>
      <c r="E1142" s="181" t="str">
        <f t="shared" si="29"/>
        <v/>
      </c>
    </row>
    <row r="1143" spans="3:5">
      <c r="C1143" s="181" t="s">
        <v>565</v>
      </c>
      <c r="D1143" s="181" t="s">
        <v>565</v>
      </c>
      <c r="E1143" s="181" t="str">
        <f t="shared" si="29"/>
        <v/>
      </c>
    </row>
    <row r="1144" spans="3:5">
      <c r="C1144" s="181" t="s">
        <v>565</v>
      </c>
      <c r="D1144" s="181" t="s">
        <v>565</v>
      </c>
      <c r="E1144" s="181" t="str">
        <f t="shared" si="29"/>
        <v/>
      </c>
    </row>
    <row r="1145" spans="3:5">
      <c r="C1145" s="181" t="s">
        <v>565</v>
      </c>
      <c r="D1145" s="181" t="s">
        <v>565</v>
      </c>
      <c r="E1145" s="181" t="str">
        <f t="shared" si="29"/>
        <v/>
      </c>
    </row>
    <row r="1146" spans="3:5">
      <c r="C1146" s="181" t="s">
        <v>565</v>
      </c>
      <c r="D1146" s="181" t="s">
        <v>565</v>
      </c>
      <c r="E1146" s="181" t="str">
        <f t="shared" si="29"/>
        <v/>
      </c>
    </row>
    <row r="1147" spans="3:5">
      <c r="C1147" s="181" t="s">
        <v>565</v>
      </c>
      <c r="D1147" s="181" t="s">
        <v>565</v>
      </c>
      <c r="E1147" s="181" t="str">
        <f t="shared" si="29"/>
        <v/>
      </c>
    </row>
    <row r="1148" spans="3:5">
      <c r="C1148" s="181" t="s">
        <v>565</v>
      </c>
      <c r="D1148" s="181" t="s">
        <v>565</v>
      </c>
      <c r="E1148" s="181" t="str">
        <f t="shared" si="29"/>
        <v/>
      </c>
    </row>
    <row r="1149" spans="3:5">
      <c r="C1149" s="181" t="s">
        <v>565</v>
      </c>
      <c r="D1149" s="181" t="s">
        <v>565</v>
      </c>
      <c r="E1149" s="181" t="str">
        <f t="shared" si="29"/>
        <v/>
      </c>
    </row>
    <row r="1150" spans="3:5">
      <c r="C1150" s="181" t="s">
        <v>565</v>
      </c>
      <c r="D1150" s="181" t="s">
        <v>565</v>
      </c>
      <c r="E1150" s="181" t="str">
        <f t="shared" si="29"/>
        <v/>
      </c>
    </row>
    <row r="1151" spans="3:5">
      <c r="C1151" s="181" t="s">
        <v>565</v>
      </c>
      <c r="D1151" s="181" t="s">
        <v>565</v>
      </c>
      <c r="E1151" s="181" t="str">
        <f t="shared" si="29"/>
        <v/>
      </c>
    </row>
    <row r="1152" spans="3:5">
      <c r="C1152" s="181" t="s">
        <v>565</v>
      </c>
      <c r="D1152" s="181" t="s">
        <v>565</v>
      </c>
      <c r="E1152" s="181" t="str">
        <f t="shared" si="29"/>
        <v/>
      </c>
    </row>
    <row r="1153" spans="3:5">
      <c r="C1153" s="181" t="s">
        <v>565</v>
      </c>
      <c r="D1153" s="181" t="s">
        <v>565</v>
      </c>
      <c r="E1153" s="181" t="str">
        <f t="shared" si="29"/>
        <v/>
      </c>
    </row>
    <row r="1154" spans="3:5">
      <c r="C1154" s="181" t="s">
        <v>565</v>
      </c>
      <c r="D1154" s="181" t="s">
        <v>565</v>
      </c>
      <c r="E1154" s="181" t="str">
        <f t="shared" si="29"/>
        <v/>
      </c>
    </row>
    <row r="1155" spans="3:5">
      <c r="C1155" s="181" t="s">
        <v>565</v>
      </c>
      <c r="D1155" s="181" t="s">
        <v>565</v>
      </c>
      <c r="E1155" s="181" t="str">
        <f t="shared" si="29"/>
        <v/>
      </c>
    </row>
    <row r="1156" spans="3:5">
      <c r="C1156" s="181" t="s">
        <v>565</v>
      </c>
      <c r="D1156" s="181" t="s">
        <v>565</v>
      </c>
      <c r="E1156" s="181" t="str">
        <f t="shared" ref="E1156:E1209" si="30">IF(C1156&lt;D1156,C1156,D1156)</f>
        <v/>
      </c>
    </row>
    <row r="1157" spans="3:5">
      <c r="C1157" s="181" t="s">
        <v>565</v>
      </c>
      <c r="D1157" s="181" t="s">
        <v>565</v>
      </c>
      <c r="E1157" s="181" t="str">
        <f t="shared" si="30"/>
        <v/>
      </c>
    </row>
    <row r="1158" spans="3:5">
      <c r="C1158" s="181" t="s">
        <v>565</v>
      </c>
      <c r="D1158" s="181" t="s">
        <v>565</v>
      </c>
      <c r="E1158" s="181" t="str">
        <f t="shared" si="30"/>
        <v/>
      </c>
    </row>
    <row r="1159" spans="3:5">
      <c r="C1159" s="181" t="s">
        <v>565</v>
      </c>
      <c r="D1159" s="181" t="s">
        <v>565</v>
      </c>
      <c r="E1159" s="181" t="str">
        <f t="shared" si="30"/>
        <v/>
      </c>
    </row>
    <row r="1160" spans="3:5">
      <c r="C1160" s="181" t="s">
        <v>565</v>
      </c>
      <c r="D1160" s="181" t="s">
        <v>565</v>
      </c>
      <c r="E1160" s="181" t="str">
        <f t="shared" si="30"/>
        <v/>
      </c>
    </row>
    <row r="1161" spans="3:5">
      <c r="C1161" s="181" t="s">
        <v>565</v>
      </c>
      <c r="D1161" s="181" t="s">
        <v>565</v>
      </c>
      <c r="E1161" s="181" t="str">
        <f t="shared" si="30"/>
        <v/>
      </c>
    </row>
    <row r="1162" spans="3:5">
      <c r="C1162" s="181" t="s">
        <v>565</v>
      </c>
      <c r="D1162" s="181" t="s">
        <v>565</v>
      </c>
      <c r="E1162" s="181" t="str">
        <f t="shared" si="30"/>
        <v/>
      </c>
    </row>
    <row r="1163" spans="3:5">
      <c r="C1163" s="181" t="s">
        <v>565</v>
      </c>
      <c r="D1163" s="181" t="s">
        <v>565</v>
      </c>
      <c r="E1163" s="181" t="str">
        <f t="shared" si="30"/>
        <v/>
      </c>
    </row>
    <row r="1164" spans="3:5">
      <c r="C1164" s="181" t="s">
        <v>565</v>
      </c>
      <c r="D1164" s="181" t="s">
        <v>565</v>
      </c>
      <c r="E1164" s="181" t="str">
        <f t="shared" si="30"/>
        <v/>
      </c>
    </row>
    <row r="1165" spans="3:5">
      <c r="C1165" s="181" t="s">
        <v>565</v>
      </c>
      <c r="D1165" s="181" t="s">
        <v>565</v>
      </c>
      <c r="E1165" s="181" t="str">
        <f t="shared" si="30"/>
        <v/>
      </c>
    </row>
    <row r="1166" spans="3:5">
      <c r="C1166" s="181" t="s">
        <v>565</v>
      </c>
      <c r="D1166" s="181" t="s">
        <v>565</v>
      </c>
      <c r="E1166" s="181" t="str">
        <f t="shared" si="30"/>
        <v/>
      </c>
    </row>
    <row r="1167" spans="3:5">
      <c r="C1167" s="181" t="s">
        <v>565</v>
      </c>
      <c r="D1167" s="181" t="s">
        <v>565</v>
      </c>
      <c r="E1167" s="181" t="str">
        <f t="shared" si="30"/>
        <v/>
      </c>
    </row>
    <row r="1168" spans="3:5">
      <c r="C1168" s="181" t="s">
        <v>565</v>
      </c>
      <c r="D1168" s="181" t="s">
        <v>565</v>
      </c>
      <c r="E1168" s="181" t="str">
        <f t="shared" si="30"/>
        <v/>
      </c>
    </row>
    <row r="1169" spans="3:5">
      <c r="C1169" s="181" t="s">
        <v>565</v>
      </c>
      <c r="D1169" s="181" t="s">
        <v>565</v>
      </c>
      <c r="E1169" s="181" t="str">
        <f t="shared" si="30"/>
        <v/>
      </c>
    </row>
    <row r="1170" spans="3:5">
      <c r="C1170" s="181" t="s">
        <v>565</v>
      </c>
      <c r="D1170" s="181" t="s">
        <v>565</v>
      </c>
      <c r="E1170" s="181" t="str">
        <f t="shared" si="30"/>
        <v/>
      </c>
    </row>
    <row r="1171" spans="3:5">
      <c r="C1171" s="181" t="s">
        <v>565</v>
      </c>
      <c r="D1171" s="181" t="s">
        <v>565</v>
      </c>
      <c r="E1171" s="181" t="str">
        <f t="shared" si="30"/>
        <v/>
      </c>
    </row>
    <row r="1172" spans="3:5">
      <c r="C1172" s="181" t="s">
        <v>565</v>
      </c>
      <c r="D1172" s="181" t="s">
        <v>565</v>
      </c>
      <c r="E1172" s="181" t="str">
        <f t="shared" si="30"/>
        <v/>
      </c>
    </row>
    <row r="1173" spans="3:5">
      <c r="C1173" s="181" t="s">
        <v>565</v>
      </c>
      <c r="D1173" s="181" t="s">
        <v>565</v>
      </c>
      <c r="E1173" s="181" t="str">
        <f t="shared" si="30"/>
        <v/>
      </c>
    </row>
    <row r="1174" spans="3:5">
      <c r="C1174" s="181" t="s">
        <v>565</v>
      </c>
      <c r="D1174" s="181" t="s">
        <v>565</v>
      </c>
      <c r="E1174" s="181" t="str">
        <f t="shared" si="30"/>
        <v/>
      </c>
    </row>
    <row r="1175" spans="3:5">
      <c r="C1175" s="181" t="s">
        <v>565</v>
      </c>
      <c r="D1175" s="181" t="s">
        <v>565</v>
      </c>
      <c r="E1175" s="181" t="str">
        <f t="shared" si="30"/>
        <v/>
      </c>
    </row>
    <row r="1176" spans="3:5">
      <c r="C1176" s="181" t="s">
        <v>565</v>
      </c>
      <c r="D1176" s="181" t="s">
        <v>565</v>
      </c>
      <c r="E1176" s="181" t="str">
        <f t="shared" si="30"/>
        <v/>
      </c>
    </row>
    <row r="1177" spans="3:5">
      <c r="C1177" s="181" t="s">
        <v>565</v>
      </c>
      <c r="D1177" s="181" t="s">
        <v>565</v>
      </c>
      <c r="E1177" s="181" t="str">
        <f t="shared" si="30"/>
        <v/>
      </c>
    </row>
    <row r="1178" spans="3:5">
      <c r="C1178" s="181" t="s">
        <v>565</v>
      </c>
      <c r="D1178" s="181" t="s">
        <v>565</v>
      </c>
      <c r="E1178" s="181" t="str">
        <f t="shared" si="30"/>
        <v/>
      </c>
    </row>
    <row r="1179" spans="3:5">
      <c r="C1179" s="181" t="s">
        <v>565</v>
      </c>
      <c r="D1179" s="181" t="s">
        <v>565</v>
      </c>
      <c r="E1179" s="181" t="str">
        <f t="shared" si="30"/>
        <v/>
      </c>
    </row>
    <row r="1180" spans="3:5">
      <c r="C1180" s="181" t="s">
        <v>565</v>
      </c>
      <c r="D1180" s="181" t="s">
        <v>565</v>
      </c>
      <c r="E1180" s="181" t="str">
        <f t="shared" si="30"/>
        <v/>
      </c>
    </row>
    <row r="1181" spans="3:5">
      <c r="C1181" s="181" t="s">
        <v>565</v>
      </c>
      <c r="D1181" s="181" t="s">
        <v>565</v>
      </c>
      <c r="E1181" s="181" t="str">
        <f t="shared" si="30"/>
        <v/>
      </c>
    </row>
    <row r="1182" spans="3:5">
      <c r="C1182" s="181" t="s">
        <v>565</v>
      </c>
      <c r="D1182" s="181" t="s">
        <v>565</v>
      </c>
      <c r="E1182" s="181" t="str">
        <f t="shared" si="30"/>
        <v/>
      </c>
    </row>
    <row r="1183" spans="3:5">
      <c r="C1183" s="181" t="s">
        <v>565</v>
      </c>
      <c r="D1183" s="181" t="s">
        <v>565</v>
      </c>
      <c r="E1183" s="181" t="str">
        <f t="shared" si="30"/>
        <v/>
      </c>
    </row>
    <row r="1184" spans="3:5">
      <c r="C1184" s="181" t="s">
        <v>565</v>
      </c>
      <c r="D1184" s="181" t="s">
        <v>565</v>
      </c>
      <c r="E1184" s="181" t="str">
        <f t="shared" si="30"/>
        <v/>
      </c>
    </row>
    <row r="1185" spans="3:5">
      <c r="C1185" s="181" t="s">
        <v>565</v>
      </c>
      <c r="D1185" s="181" t="s">
        <v>565</v>
      </c>
      <c r="E1185" s="181" t="str">
        <f t="shared" si="30"/>
        <v/>
      </c>
    </row>
    <row r="1186" spans="3:5">
      <c r="C1186" s="181" t="s">
        <v>565</v>
      </c>
      <c r="D1186" s="181" t="s">
        <v>565</v>
      </c>
      <c r="E1186" s="181" t="str">
        <f t="shared" si="30"/>
        <v/>
      </c>
    </row>
    <row r="1187" spans="3:5">
      <c r="C1187" s="181" t="s">
        <v>565</v>
      </c>
      <c r="D1187" s="181" t="s">
        <v>565</v>
      </c>
      <c r="E1187" s="181" t="str">
        <f t="shared" si="30"/>
        <v/>
      </c>
    </row>
    <row r="1188" spans="3:5">
      <c r="C1188" s="181" t="s">
        <v>565</v>
      </c>
      <c r="D1188" s="181" t="s">
        <v>565</v>
      </c>
      <c r="E1188" s="181" t="str">
        <f t="shared" si="30"/>
        <v/>
      </c>
    </row>
    <row r="1189" spans="3:5">
      <c r="C1189" s="181" t="s">
        <v>565</v>
      </c>
      <c r="D1189" s="181" t="s">
        <v>565</v>
      </c>
      <c r="E1189" s="181" t="str">
        <f t="shared" si="30"/>
        <v/>
      </c>
    </row>
    <row r="1190" spans="3:5">
      <c r="C1190" s="181" t="s">
        <v>565</v>
      </c>
      <c r="D1190" s="181" t="s">
        <v>565</v>
      </c>
      <c r="E1190" s="181" t="str">
        <f t="shared" si="30"/>
        <v/>
      </c>
    </row>
    <row r="1191" spans="3:5">
      <c r="C1191" s="181" t="s">
        <v>565</v>
      </c>
      <c r="D1191" s="181" t="s">
        <v>565</v>
      </c>
      <c r="E1191" s="181" t="str">
        <f t="shared" si="30"/>
        <v/>
      </c>
    </row>
    <row r="1192" spans="3:5">
      <c r="C1192" s="181" t="s">
        <v>565</v>
      </c>
      <c r="D1192" s="181" t="s">
        <v>565</v>
      </c>
      <c r="E1192" s="181" t="str">
        <f t="shared" si="30"/>
        <v/>
      </c>
    </row>
    <row r="1193" spans="3:5">
      <c r="C1193" s="181" t="s">
        <v>565</v>
      </c>
      <c r="D1193" s="181" t="s">
        <v>565</v>
      </c>
      <c r="E1193" s="181" t="str">
        <f t="shared" si="30"/>
        <v/>
      </c>
    </row>
    <row r="1194" spans="3:5">
      <c r="C1194" s="181" t="s">
        <v>565</v>
      </c>
      <c r="D1194" s="181" t="s">
        <v>565</v>
      </c>
      <c r="E1194" s="181" t="str">
        <f t="shared" si="30"/>
        <v/>
      </c>
    </row>
    <row r="1195" spans="3:5">
      <c r="C1195" s="181" t="s">
        <v>565</v>
      </c>
      <c r="D1195" s="181" t="s">
        <v>565</v>
      </c>
      <c r="E1195" s="181" t="str">
        <f t="shared" si="30"/>
        <v/>
      </c>
    </row>
    <row r="1196" spans="3:5">
      <c r="C1196" s="181" t="s">
        <v>565</v>
      </c>
      <c r="D1196" s="181" t="s">
        <v>565</v>
      </c>
      <c r="E1196" s="181" t="str">
        <f t="shared" si="30"/>
        <v/>
      </c>
    </row>
    <row r="1197" spans="3:5">
      <c r="C1197" s="181" t="s">
        <v>565</v>
      </c>
      <c r="D1197" s="181" t="s">
        <v>565</v>
      </c>
      <c r="E1197" s="181" t="str">
        <f t="shared" si="30"/>
        <v/>
      </c>
    </row>
    <row r="1198" spans="3:5">
      <c r="C1198" s="181" t="s">
        <v>565</v>
      </c>
      <c r="D1198" s="181" t="s">
        <v>565</v>
      </c>
      <c r="E1198" s="181" t="str">
        <f t="shared" si="30"/>
        <v/>
      </c>
    </row>
    <row r="1199" spans="3:5">
      <c r="C1199" s="181" t="s">
        <v>565</v>
      </c>
      <c r="D1199" s="181" t="s">
        <v>565</v>
      </c>
      <c r="E1199" s="181" t="str">
        <f t="shared" si="30"/>
        <v/>
      </c>
    </row>
    <row r="1200" spans="3:5">
      <c r="C1200" s="181" t="s">
        <v>565</v>
      </c>
      <c r="D1200" s="181" t="s">
        <v>565</v>
      </c>
      <c r="E1200" s="181" t="str">
        <f t="shared" si="30"/>
        <v/>
      </c>
    </row>
    <row r="1201" spans="3:5">
      <c r="C1201" s="181" t="s">
        <v>565</v>
      </c>
      <c r="D1201" s="181" t="s">
        <v>565</v>
      </c>
      <c r="E1201" s="181" t="str">
        <f t="shared" si="30"/>
        <v/>
      </c>
    </row>
    <row r="1202" spans="3:5">
      <c r="C1202" s="181" t="s">
        <v>565</v>
      </c>
      <c r="D1202" s="181" t="s">
        <v>565</v>
      </c>
      <c r="E1202" s="181" t="str">
        <f t="shared" si="30"/>
        <v/>
      </c>
    </row>
    <row r="1203" spans="3:5">
      <c r="C1203" s="181" t="s">
        <v>565</v>
      </c>
      <c r="D1203" s="181" t="s">
        <v>565</v>
      </c>
      <c r="E1203" s="181" t="str">
        <f t="shared" si="30"/>
        <v/>
      </c>
    </row>
    <row r="1204" spans="3:5">
      <c r="C1204" s="181" t="s">
        <v>565</v>
      </c>
      <c r="D1204" s="181" t="s">
        <v>565</v>
      </c>
      <c r="E1204" s="181" t="str">
        <f t="shared" si="30"/>
        <v/>
      </c>
    </row>
    <row r="1205" spans="3:5">
      <c r="C1205" s="181" t="s">
        <v>565</v>
      </c>
      <c r="D1205" s="181" t="s">
        <v>565</v>
      </c>
      <c r="E1205" s="181" t="str">
        <f t="shared" si="30"/>
        <v/>
      </c>
    </row>
    <row r="1206" spans="3:5">
      <c r="C1206" s="181" t="s">
        <v>565</v>
      </c>
      <c r="D1206" s="181" t="s">
        <v>565</v>
      </c>
      <c r="E1206" s="181" t="str">
        <f t="shared" si="30"/>
        <v/>
      </c>
    </row>
    <row r="1207" spans="3:5">
      <c r="C1207" s="181" t="s">
        <v>565</v>
      </c>
      <c r="D1207" s="181" t="s">
        <v>565</v>
      </c>
      <c r="E1207" s="181" t="str">
        <f t="shared" si="30"/>
        <v/>
      </c>
    </row>
    <row r="1208" spans="3:5">
      <c r="C1208" s="181" t="s">
        <v>565</v>
      </c>
      <c r="D1208" s="181" t="s">
        <v>565</v>
      </c>
      <c r="E1208" s="181" t="str">
        <f t="shared" si="30"/>
        <v/>
      </c>
    </row>
    <row r="1209" spans="3:5">
      <c r="C1209" s="181" t="s">
        <v>565</v>
      </c>
      <c r="D1209" s="181" t="s">
        <v>565</v>
      </c>
      <c r="E1209" s="181" t="str">
        <f t="shared" si="30"/>
        <v/>
      </c>
    </row>
  </sheetData>
  <sortState xmlns:xlrd2="http://schemas.microsoft.com/office/spreadsheetml/2017/richdata2" ref="L3:N398">
    <sortCondition ref="L3:L398"/>
  </sortState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9"/>
  <dimension ref="B2:K449"/>
  <sheetViews>
    <sheetView showGridLines="0" showRowColHeaders="0" workbookViewId="0">
      <selection activeCell="C17" sqref="C17"/>
    </sheetView>
  </sheetViews>
  <sheetFormatPr baseColWidth="10" defaultColWidth="11.42578125" defaultRowHeight="11.25"/>
  <cols>
    <col min="1" max="2" width="11.42578125" style="168"/>
    <col min="3" max="3" width="13.42578125" style="168" bestFit="1" customWidth="1"/>
    <col min="4" max="9" width="11.42578125" style="168"/>
    <col min="10" max="10" width="11.42578125" style="241"/>
    <col min="11" max="16384" width="11.42578125" style="168"/>
  </cols>
  <sheetData>
    <row r="2" spans="2:11">
      <c r="B2" s="151" t="s">
        <v>26</v>
      </c>
    </row>
    <row r="3" spans="2:11" ht="22.5">
      <c r="B3" s="242" t="s">
        <v>30</v>
      </c>
      <c r="C3" s="243" t="s">
        <v>31</v>
      </c>
      <c r="D3" s="265" t="s">
        <v>126</v>
      </c>
      <c r="E3" s="244" t="s">
        <v>32</v>
      </c>
      <c r="F3" s="244" t="s">
        <v>33</v>
      </c>
      <c r="G3" s="243" t="s">
        <v>34</v>
      </c>
      <c r="H3" s="245"/>
      <c r="I3" s="246"/>
      <c r="J3" s="247"/>
    </row>
    <row r="4" spans="2:11">
      <c r="B4" s="248" t="s">
        <v>150</v>
      </c>
      <c r="C4" s="249" t="s">
        <v>151</v>
      </c>
      <c r="D4" s="250"/>
      <c r="E4" s="251">
        <f>Dat_02!C3</f>
        <v>32.750995321750644</v>
      </c>
      <c r="F4" s="251">
        <f>Dat_02!D3</f>
        <v>83.137557492553753</v>
      </c>
      <c r="G4" s="251">
        <f>Dat_02!E3</f>
        <v>32.750995321750644</v>
      </c>
      <c r="I4" s="252">
        <f>Dat_02!G3</f>
        <v>0</v>
      </c>
      <c r="J4" s="264" t="str">
        <f>IF(Dat_02!H3=0,"",Dat_02!H3)</f>
        <v/>
      </c>
      <c r="K4" s="168" t="str">
        <f>IF(J4=0,"",J4)</f>
        <v/>
      </c>
    </row>
    <row r="5" spans="2:11">
      <c r="B5" s="250"/>
      <c r="C5" s="249" t="s">
        <v>152</v>
      </c>
      <c r="D5" s="250"/>
      <c r="E5" s="251">
        <f>Dat_02!C4</f>
        <v>33.413095321749708</v>
      </c>
      <c r="F5" s="251">
        <f>Dat_02!D4</f>
        <v>83.137557492553753</v>
      </c>
      <c r="G5" s="251">
        <f>Dat_02!E4</f>
        <v>33.413095321749708</v>
      </c>
      <c r="I5" s="252">
        <f>Dat_02!G4</f>
        <v>0</v>
      </c>
      <c r="J5" s="264" t="str">
        <f>IF(Dat_02!H4=0,"",Dat_02!H4)</f>
        <v/>
      </c>
    </row>
    <row r="6" spans="2:11">
      <c r="B6" s="248"/>
      <c r="C6" s="249" t="s">
        <v>153</v>
      </c>
      <c r="D6" s="248"/>
      <c r="E6" s="251">
        <f>Dat_02!C5</f>
        <v>39.359695321751566</v>
      </c>
      <c r="F6" s="251">
        <f>Dat_02!D5</f>
        <v>83.137557492553753</v>
      </c>
      <c r="G6" s="251">
        <f>Dat_02!E5</f>
        <v>39.359695321751566</v>
      </c>
      <c r="I6" s="252">
        <f>Dat_02!G5</f>
        <v>0</v>
      </c>
      <c r="J6" s="264" t="str">
        <f>IF(Dat_02!H5=0,"",Dat_02!H5)</f>
        <v/>
      </c>
    </row>
    <row r="7" spans="2:11">
      <c r="B7" s="248"/>
      <c r="C7" s="249" t="s">
        <v>154</v>
      </c>
      <c r="D7" s="248"/>
      <c r="E7" s="251">
        <f>Dat_02!C6</f>
        <v>49.605095321750639</v>
      </c>
      <c r="F7" s="251">
        <f>Dat_02!D6</f>
        <v>83.137557492553753</v>
      </c>
      <c r="G7" s="251">
        <f>Dat_02!E6</f>
        <v>49.605095321750639</v>
      </c>
      <c r="I7" s="252">
        <f>Dat_02!G6</f>
        <v>0</v>
      </c>
      <c r="J7" s="264" t="str">
        <f>IF(Dat_02!H6=0,"",Dat_02!H6)</f>
        <v/>
      </c>
    </row>
    <row r="8" spans="2:11">
      <c r="B8" s="248"/>
      <c r="C8" s="249" t="s">
        <v>155</v>
      </c>
      <c r="D8" s="248"/>
      <c r="E8" s="251">
        <f>Dat_02!C7</f>
        <v>55.317295321749711</v>
      </c>
      <c r="F8" s="251">
        <f>Dat_02!D7</f>
        <v>83.137557492553753</v>
      </c>
      <c r="G8" s="251">
        <f>Dat_02!E7</f>
        <v>55.317295321749711</v>
      </c>
      <c r="I8" s="252">
        <f>Dat_02!G7</f>
        <v>0</v>
      </c>
      <c r="J8" s="264" t="str">
        <f>IF(Dat_02!H7=0,"",Dat_02!H7)</f>
        <v/>
      </c>
    </row>
    <row r="9" spans="2:11">
      <c r="B9" s="248"/>
      <c r="C9" s="249" t="s">
        <v>156</v>
      </c>
      <c r="D9" s="248"/>
      <c r="E9" s="251">
        <f>Dat_02!C8</f>
        <v>96.69022090814002</v>
      </c>
      <c r="F9" s="251">
        <f>Dat_02!D8</f>
        <v>83.137557492553753</v>
      </c>
      <c r="G9" s="251">
        <f>Dat_02!E8</f>
        <v>83.137557492553753</v>
      </c>
      <c r="I9" s="252">
        <f>Dat_02!G8</f>
        <v>0</v>
      </c>
      <c r="J9" s="264" t="str">
        <f>IF(Dat_02!H8=0,"",Dat_02!H8)</f>
        <v/>
      </c>
    </row>
    <row r="10" spans="2:11">
      <c r="B10" s="248"/>
      <c r="C10" s="249" t="s">
        <v>157</v>
      </c>
      <c r="D10" s="248"/>
      <c r="E10" s="251">
        <f>Dat_02!C9</f>
        <v>97.172820908139087</v>
      </c>
      <c r="F10" s="251">
        <f>Dat_02!D9</f>
        <v>83.137557492553753</v>
      </c>
      <c r="G10" s="251">
        <f>Dat_02!E9</f>
        <v>83.137557492553753</v>
      </c>
      <c r="I10" s="252">
        <f>Dat_02!G9</f>
        <v>0</v>
      </c>
      <c r="J10" s="264" t="str">
        <f>IF(Dat_02!H9=0,"",Dat_02!H9)</f>
        <v/>
      </c>
    </row>
    <row r="11" spans="2:11">
      <c r="B11" s="248"/>
      <c r="C11" s="249" t="s">
        <v>158</v>
      </c>
      <c r="D11" s="248"/>
      <c r="E11" s="251">
        <f>Dat_02!C10</f>
        <v>99.457520908140026</v>
      </c>
      <c r="F11" s="251">
        <f>Dat_02!D10</f>
        <v>83.137557492553753</v>
      </c>
      <c r="G11" s="251">
        <f>Dat_02!E10</f>
        <v>83.137557492553753</v>
      </c>
      <c r="I11" s="252">
        <f>Dat_02!G10</f>
        <v>0</v>
      </c>
      <c r="J11" s="264" t="str">
        <f>IF(Dat_02!H10=0,"",Dat_02!H10)</f>
        <v/>
      </c>
    </row>
    <row r="12" spans="2:11">
      <c r="B12" s="248"/>
      <c r="C12" s="249" t="s">
        <v>159</v>
      </c>
      <c r="D12" s="248"/>
      <c r="E12" s="251">
        <f>Dat_02!C11</f>
        <v>100.58242090814002</v>
      </c>
      <c r="F12" s="251">
        <f>Dat_02!D11</f>
        <v>83.137557492553753</v>
      </c>
      <c r="G12" s="251">
        <f>Dat_02!E11</f>
        <v>83.137557492553753</v>
      </c>
      <c r="I12" s="252">
        <f>Dat_02!G11</f>
        <v>0</v>
      </c>
      <c r="J12" s="264" t="str">
        <f>IF(Dat_02!H11=0,"",Dat_02!H11)</f>
        <v/>
      </c>
    </row>
    <row r="13" spans="2:11">
      <c r="B13" s="248"/>
      <c r="C13" s="249" t="s">
        <v>160</v>
      </c>
      <c r="D13" s="248"/>
      <c r="E13" s="251">
        <f>Dat_02!C12</f>
        <v>100.16012090814002</v>
      </c>
      <c r="F13" s="251">
        <f>Dat_02!D12</f>
        <v>83.137557492553753</v>
      </c>
      <c r="G13" s="251">
        <f>Dat_02!E12</f>
        <v>83.137557492553753</v>
      </c>
      <c r="I13" s="252">
        <f>Dat_02!G12</f>
        <v>0</v>
      </c>
      <c r="J13" s="264" t="str">
        <f>IF(Dat_02!H12=0,"",Dat_02!H12)</f>
        <v/>
      </c>
    </row>
    <row r="14" spans="2:11">
      <c r="B14" s="248"/>
      <c r="C14" s="249" t="s">
        <v>161</v>
      </c>
      <c r="D14" s="248"/>
      <c r="E14" s="251">
        <f>Dat_02!C13</f>
        <v>103.75672090813909</v>
      </c>
      <c r="F14" s="251">
        <f>Dat_02!D13</f>
        <v>83.137557492553753</v>
      </c>
      <c r="G14" s="251">
        <f>Dat_02!E13</f>
        <v>83.137557492553753</v>
      </c>
      <c r="I14" s="252">
        <f>Dat_02!G13</f>
        <v>0</v>
      </c>
      <c r="J14" s="264" t="str">
        <f>IF(Dat_02!H13=0,"",Dat_02!H13)</f>
        <v/>
      </c>
    </row>
    <row r="15" spans="2:11">
      <c r="B15" s="248"/>
      <c r="C15" s="249" t="s">
        <v>162</v>
      </c>
      <c r="D15" s="248"/>
      <c r="E15" s="251">
        <f>Dat_02!C14</f>
        <v>108.05162090814095</v>
      </c>
      <c r="F15" s="251">
        <f>Dat_02!D14</f>
        <v>83.137557492553753</v>
      </c>
      <c r="G15" s="251">
        <f>Dat_02!E14</f>
        <v>83.137557492553753</v>
      </c>
      <c r="I15" s="252">
        <f>Dat_02!G14</f>
        <v>0</v>
      </c>
      <c r="J15" s="264" t="str">
        <f>IF(Dat_02!H14=0,"",Dat_02!H14)</f>
        <v/>
      </c>
    </row>
    <row r="16" spans="2:11">
      <c r="B16" s="248"/>
      <c r="C16" s="249" t="s">
        <v>163</v>
      </c>
      <c r="D16" s="248"/>
      <c r="E16" s="251">
        <f>Dat_02!C15</f>
        <v>169.53390638546196</v>
      </c>
      <c r="F16" s="251">
        <f>Dat_02!D15</f>
        <v>83.137557492553753</v>
      </c>
      <c r="G16" s="251">
        <f>Dat_02!E15</f>
        <v>83.137557492553753</v>
      </c>
      <c r="I16" s="252">
        <f>Dat_02!G15</f>
        <v>0</v>
      </c>
      <c r="J16" s="264" t="str">
        <f>IF(Dat_02!H15=0,"",Dat_02!H15)</f>
        <v/>
      </c>
    </row>
    <row r="17" spans="2:10">
      <c r="B17" s="248"/>
      <c r="C17" s="249" t="s">
        <v>164</v>
      </c>
      <c r="D17" s="248"/>
      <c r="E17" s="251">
        <f>Dat_02!C16</f>
        <v>179.08830638546013</v>
      </c>
      <c r="F17" s="251">
        <f>Dat_02!D16</f>
        <v>83.137557492553753</v>
      </c>
      <c r="G17" s="251">
        <f>Dat_02!E16</f>
        <v>83.137557492553753</v>
      </c>
      <c r="I17" s="252">
        <f>Dat_02!G16</f>
        <v>0</v>
      </c>
      <c r="J17" s="264" t="str">
        <f>IF(Dat_02!H16=0,"",Dat_02!H16)</f>
        <v/>
      </c>
    </row>
    <row r="18" spans="2:10">
      <c r="B18" s="248"/>
      <c r="C18" s="249" t="s">
        <v>165</v>
      </c>
      <c r="D18" s="248"/>
      <c r="E18" s="251">
        <f>Dat_02!C17</f>
        <v>175.86230638546013</v>
      </c>
      <c r="F18" s="251">
        <f>Dat_02!D17</f>
        <v>83.137557492553753</v>
      </c>
      <c r="G18" s="251">
        <f>Dat_02!E17</f>
        <v>83.137557492553753</v>
      </c>
      <c r="I18" s="252">
        <f>Dat_02!G17</f>
        <v>83.137557492553753</v>
      </c>
      <c r="J18" s="264" t="str">
        <f>IF(Dat_02!H17=0,"",Dat_02!H17)</f>
        <v/>
      </c>
    </row>
    <row r="19" spans="2:10">
      <c r="B19" s="248"/>
      <c r="C19" s="249" t="s">
        <v>166</v>
      </c>
      <c r="D19" s="248"/>
      <c r="E19" s="251">
        <f>Dat_02!C18</f>
        <v>172.47260638546197</v>
      </c>
      <c r="F19" s="251">
        <f>Dat_02!D18</f>
        <v>83.137557492553753</v>
      </c>
      <c r="G19" s="251">
        <f>Dat_02!E18</f>
        <v>83.137557492553753</v>
      </c>
      <c r="I19" s="252">
        <f>Dat_02!G18</f>
        <v>0</v>
      </c>
      <c r="J19" s="264" t="str">
        <f>IF(Dat_02!H18=0,"",Dat_02!H18)</f>
        <v/>
      </c>
    </row>
    <row r="20" spans="2:10">
      <c r="B20" s="248"/>
      <c r="C20" s="249" t="s">
        <v>167</v>
      </c>
      <c r="D20" s="248"/>
      <c r="E20" s="251">
        <f>Dat_02!C19</f>
        <v>168.68210638546012</v>
      </c>
      <c r="F20" s="251">
        <f>Dat_02!D19</f>
        <v>83.137557492553753</v>
      </c>
      <c r="G20" s="251">
        <f>Dat_02!E19</f>
        <v>83.137557492553753</v>
      </c>
      <c r="I20" s="252">
        <f>Dat_02!G19</f>
        <v>0</v>
      </c>
      <c r="J20" s="264" t="str">
        <f>IF(Dat_02!H19=0,"",Dat_02!H19)</f>
        <v/>
      </c>
    </row>
    <row r="21" spans="2:10">
      <c r="B21" s="248"/>
      <c r="C21" s="249" t="s">
        <v>168</v>
      </c>
      <c r="D21" s="248"/>
      <c r="E21" s="251">
        <f>Dat_02!C20</f>
        <v>177.03180638546107</v>
      </c>
      <c r="F21" s="251">
        <f>Dat_02!D20</f>
        <v>83.137557492553753</v>
      </c>
      <c r="G21" s="251">
        <f>Dat_02!E20</f>
        <v>83.137557492553753</v>
      </c>
      <c r="I21" s="252">
        <f>Dat_02!G20</f>
        <v>0</v>
      </c>
      <c r="J21" s="264" t="str">
        <f>IF(Dat_02!H20=0,"",Dat_02!H20)</f>
        <v/>
      </c>
    </row>
    <row r="22" spans="2:10">
      <c r="B22" s="248"/>
      <c r="C22" s="249" t="s">
        <v>169</v>
      </c>
      <c r="D22" s="248"/>
      <c r="E22" s="251">
        <f>Dat_02!C21</f>
        <v>191.38050638546011</v>
      </c>
      <c r="F22" s="251">
        <f>Dat_02!D21</f>
        <v>83.137557492553753</v>
      </c>
      <c r="G22" s="251">
        <f>Dat_02!E21</f>
        <v>83.137557492553753</v>
      </c>
      <c r="I22" s="252">
        <f>Dat_02!G21</f>
        <v>0</v>
      </c>
      <c r="J22" s="264" t="str">
        <f>IF(Dat_02!H21=0,"",Dat_02!H21)</f>
        <v/>
      </c>
    </row>
    <row r="23" spans="2:10">
      <c r="B23" s="248"/>
      <c r="C23" s="249" t="s">
        <v>170</v>
      </c>
      <c r="D23" s="248"/>
      <c r="E23" s="251">
        <f>Dat_02!C22</f>
        <v>165.7317124804627</v>
      </c>
      <c r="F23" s="251">
        <f>Dat_02!D22</f>
        <v>83.137557492553753</v>
      </c>
      <c r="G23" s="251">
        <f>Dat_02!E22</f>
        <v>83.137557492553753</v>
      </c>
      <c r="I23" s="252">
        <f>Dat_02!G22</f>
        <v>0</v>
      </c>
      <c r="J23" s="264" t="str">
        <f>IF(Dat_02!H22=0,"",Dat_02!H22)</f>
        <v/>
      </c>
    </row>
    <row r="24" spans="2:10">
      <c r="B24" s="248"/>
      <c r="C24" s="249" t="s">
        <v>171</v>
      </c>
      <c r="D24" s="248"/>
      <c r="E24" s="251">
        <f>Dat_02!C23</f>
        <v>164.64921248046363</v>
      </c>
      <c r="F24" s="251">
        <f>Dat_02!D23</f>
        <v>83.137557492553753</v>
      </c>
      <c r="G24" s="251">
        <f>Dat_02!E23</f>
        <v>83.137557492553753</v>
      </c>
      <c r="I24" s="252">
        <f>Dat_02!G23</f>
        <v>0</v>
      </c>
      <c r="J24" s="264" t="str">
        <f>IF(Dat_02!H23=0,"",Dat_02!H23)</f>
        <v/>
      </c>
    </row>
    <row r="25" spans="2:10">
      <c r="B25" s="248"/>
      <c r="C25" s="249" t="s">
        <v>172</v>
      </c>
      <c r="D25" s="248"/>
      <c r="E25" s="251">
        <f>Dat_02!C24</f>
        <v>142.72911248046458</v>
      </c>
      <c r="F25" s="251">
        <f>Dat_02!D24</f>
        <v>83.137557492553753</v>
      </c>
      <c r="G25" s="251">
        <f>Dat_02!E24</f>
        <v>83.137557492553753</v>
      </c>
      <c r="I25" s="252">
        <f>Dat_02!G24</f>
        <v>0</v>
      </c>
      <c r="J25" s="264" t="str">
        <f>IF(Dat_02!H24=0,"",Dat_02!H24)</f>
        <v/>
      </c>
    </row>
    <row r="26" spans="2:10">
      <c r="B26" s="248"/>
      <c r="C26" s="249" t="s">
        <v>173</v>
      </c>
      <c r="D26" s="248"/>
      <c r="E26" s="251">
        <f>Dat_02!C25</f>
        <v>149.97001248046365</v>
      </c>
      <c r="F26" s="251">
        <f>Dat_02!D25</f>
        <v>83.137557492553753</v>
      </c>
      <c r="G26" s="251">
        <f>Dat_02!E25</f>
        <v>83.137557492553753</v>
      </c>
      <c r="I26" s="252">
        <f>Dat_02!G25</f>
        <v>0</v>
      </c>
      <c r="J26" s="264" t="str">
        <f>IF(Dat_02!H25=0,"",Dat_02!H25)</f>
        <v/>
      </c>
    </row>
    <row r="27" spans="2:10">
      <c r="B27" s="248"/>
      <c r="C27" s="249" t="s">
        <v>174</v>
      </c>
      <c r="D27" s="248"/>
      <c r="E27" s="251">
        <f>Dat_02!C26</f>
        <v>152.80211248046365</v>
      </c>
      <c r="F27" s="251">
        <f>Dat_02!D26</f>
        <v>83.137557492553753</v>
      </c>
      <c r="G27" s="251">
        <f>Dat_02!E26</f>
        <v>83.137557492553753</v>
      </c>
      <c r="I27" s="252">
        <f>Dat_02!G26</f>
        <v>0</v>
      </c>
      <c r="J27" s="264" t="str">
        <f>IF(Dat_02!H26=0,"",Dat_02!H26)</f>
        <v/>
      </c>
    </row>
    <row r="28" spans="2:10">
      <c r="B28" s="248"/>
      <c r="C28" s="249" t="s">
        <v>175</v>
      </c>
      <c r="D28" s="248"/>
      <c r="E28" s="251">
        <f>Dat_02!C27</f>
        <v>160.75901248046367</v>
      </c>
      <c r="F28" s="251">
        <f>Dat_02!D27</f>
        <v>83.137557492553753</v>
      </c>
      <c r="G28" s="251">
        <f>Dat_02!E27</f>
        <v>83.137557492553753</v>
      </c>
      <c r="I28" s="252">
        <f>Dat_02!G27</f>
        <v>0</v>
      </c>
      <c r="J28" s="264" t="str">
        <f>IF(Dat_02!H27=0,"",Dat_02!H27)</f>
        <v/>
      </c>
    </row>
    <row r="29" spans="2:10">
      <c r="B29" s="248"/>
      <c r="C29" s="249" t="s">
        <v>176</v>
      </c>
      <c r="D29" s="248"/>
      <c r="E29" s="251">
        <f>Dat_02!C28</f>
        <v>155.05231248046178</v>
      </c>
      <c r="F29" s="251">
        <f>Dat_02!D28</f>
        <v>83.137557492553753</v>
      </c>
      <c r="G29" s="251">
        <f>Dat_02!E28</f>
        <v>83.137557492553753</v>
      </c>
      <c r="I29" s="252">
        <f>Dat_02!G28</f>
        <v>0</v>
      </c>
      <c r="J29" s="264" t="str">
        <f>IF(Dat_02!H28=0,"",Dat_02!H28)</f>
        <v/>
      </c>
    </row>
    <row r="30" spans="2:10">
      <c r="B30" s="248"/>
      <c r="C30" s="249" t="s">
        <v>177</v>
      </c>
      <c r="D30" s="248"/>
      <c r="E30" s="251">
        <f>Dat_02!C29</f>
        <v>208.97216638452076</v>
      </c>
      <c r="F30" s="251">
        <f>Dat_02!D29</f>
        <v>83.137557492553753</v>
      </c>
      <c r="G30" s="251">
        <f>Dat_02!E29</f>
        <v>83.137557492553753</v>
      </c>
      <c r="I30" s="252">
        <f>Dat_02!G29</f>
        <v>0</v>
      </c>
      <c r="J30" s="264" t="str">
        <f>IF(Dat_02!H29=0,"",Dat_02!H29)</f>
        <v/>
      </c>
    </row>
    <row r="31" spans="2:10">
      <c r="B31" s="248"/>
      <c r="C31" s="249" t="s">
        <v>178</v>
      </c>
      <c r="D31" s="248"/>
      <c r="E31" s="251">
        <f>Dat_02!C30</f>
        <v>218.74646638451983</v>
      </c>
      <c r="F31" s="251">
        <f>Dat_02!D30</f>
        <v>83.137557492553753</v>
      </c>
      <c r="G31" s="251">
        <f>Dat_02!E30</f>
        <v>83.137557492553753</v>
      </c>
      <c r="I31" s="252">
        <f>Dat_02!G30</f>
        <v>0</v>
      </c>
      <c r="J31" s="264" t="str">
        <f>IF(Dat_02!H30=0,"",Dat_02!H30)</f>
        <v/>
      </c>
    </row>
    <row r="32" spans="2:10">
      <c r="B32" s="248"/>
      <c r="C32" s="249" t="s">
        <v>179</v>
      </c>
      <c r="D32" s="248"/>
      <c r="E32" s="251">
        <f>Dat_02!C31</f>
        <v>228.64096638451983</v>
      </c>
      <c r="F32" s="251">
        <f>Dat_02!D31</f>
        <v>83.137557492553753</v>
      </c>
      <c r="G32" s="251">
        <f>Dat_02!E31</f>
        <v>83.137557492553753</v>
      </c>
      <c r="I32" s="252">
        <f>Dat_02!G31</f>
        <v>0</v>
      </c>
      <c r="J32" s="264" t="str">
        <f>IF(Dat_02!H31=0,"",Dat_02!H31)</f>
        <v/>
      </c>
    </row>
    <row r="33" spans="2:10">
      <c r="B33" s="248"/>
      <c r="C33" s="249" t="s">
        <v>180</v>
      </c>
      <c r="D33" s="248"/>
      <c r="E33" s="251">
        <f>Dat_02!C32</f>
        <v>214.75856638452075</v>
      </c>
      <c r="F33" s="251">
        <f>Dat_02!D32</f>
        <v>83.137557492553753</v>
      </c>
      <c r="G33" s="251">
        <f>Dat_02!E32</f>
        <v>83.137557492553753</v>
      </c>
      <c r="I33" s="252">
        <f>Dat_02!G32</f>
        <v>0</v>
      </c>
      <c r="J33" s="264" t="str">
        <f>IF(Dat_02!H32=0,"",Dat_02!H32)</f>
        <v/>
      </c>
    </row>
    <row r="34" spans="2:10">
      <c r="B34" s="248"/>
      <c r="C34" s="249" t="s">
        <v>181</v>
      </c>
      <c r="D34" s="250"/>
      <c r="E34" s="251">
        <f>Dat_02!C33</f>
        <v>220.02446638451889</v>
      </c>
      <c r="F34" s="251">
        <f>Dat_02!D33</f>
        <v>104.08859355090497</v>
      </c>
      <c r="G34" s="251">
        <f>Dat_02!E33</f>
        <v>104.08859355090497</v>
      </c>
      <c r="I34" s="252">
        <f>Dat_02!G33</f>
        <v>0</v>
      </c>
      <c r="J34" s="264" t="str">
        <f>IF(Dat_02!H33=0,"",Dat_02!H33)</f>
        <v/>
      </c>
    </row>
    <row r="35" spans="2:10">
      <c r="B35" s="250" t="s">
        <v>182</v>
      </c>
      <c r="C35" s="249" t="s">
        <v>183</v>
      </c>
      <c r="D35" s="250"/>
      <c r="E35" s="251">
        <f>Dat_02!C34</f>
        <v>220.93696638452076</v>
      </c>
      <c r="F35" s="251">
        <f>Dat_02!D34</f>
        <v>104.08859355090497</v>
      </c>
      <c r="G35" s="251">
        <f>Dat_02!E34</f>
        <v>104.08859355090497</v>
      </c>
      <c r="I35" s="252">
        <f>Dat_02!G34</f>
        <v>0</v>
      </c>
      <c r="J35" s="264" t="str">
        <f>IF(Dat_02!H34=0,"",Dat_02!H34)</f>
        <v/>
      </c>
    </row>
    <row r="36" spans="2:10">
      <c r="B36" s="248"/>
      <c r="C36" s="249" t="s">
        <v>184</v>
      </c>
      <c r="D36" s="250"/>
      <c r="E36" s="251">
        <f>Dat_02!C35</f>
        <v>238.31986638452074</v>
      </c>
      <c r="F36" s="251">
        <f>Dat_02!D35</f>
        <v>104.08859355090497</v>
      </c>
      <c r="G36" s="251">
        <f>Dat_02!E35</f>
        <v>104.08859355090497</v>
      </c>
      <c r="I36" s="252">
        <f>Dat_02!G35</f>
        <v>0</v>
      </c>
      <c r="J36" s="264" t="str">
        <f>IF(Dat_02!H35=0,"",Dat_02!H35)</f>
        <v/>
      </c>
    </row>
    <row r="37" spans="2:10">
      <c r="B37" s="248"/>
      <c r="C37" s="249" t="s">
        <v>185</v>
      </c>
      <c r="D37" s="248"/>
      <c r="E37" s="251">
        <f>Dat_02!C36</f>
        <v>156.94177797175308</v>
      </c>
      <c r="F37" s="251">
        <f>Dat_02!D36</f>
        <v>104.08859355090497</v>
      </c>
      <c r="G37" s="251">
        <f>Dat_02!E36</f>
        <v>104.08859355090497</v>
      </c>
      <c r="I37" s="252">
        <f>Dat_02!G36</f>
        <v>0</v>
      </c>
      <c r="J37" s="264" t="str">
        <f>IF(Dat_02!H36=0,"",Dat_02!H36)</f>
        <v/>
      </c>
    </row>
    <row r="38" spans="2:10">
      <c r="B38" s="248"/>
      <c r="C38" s="249" t="s">
        <v>186</v>
      </c>
      <c r="D38" s="248"/>
      <c r="E38" s="251">
        <f>Dat_02!C37</f>
        <v>156.35437797175402</v>
      </c>
      <c r="F38" s="251">
        <f>Dat_02!D37</f>
        <v>104.08859355090497</v>
      </c>
      <c r="G38" s="251">
        <f>Dat_02!E37</f>
        <v>104.08859355090497</v>
      </c>
      <c r="I38" s="252">
        <f>Dat_02!G37</f>
        <v>0</v>
      </c>
      <c r="J38" s="264" t="str">
        <f>IF(Dat_02!H37=0,"",Dat_02!H37)</f>
        <v/>
      </c>
    </row>
    <row r="39" spans="2:10">
      <c r="B39" s="248"/>
      <c r="C39" s="249" t="s">
        <v>187</v>
      </c>
      <c r="D39" s="248"/>
      <c r="E39" s="251">
        <f>Dat_02!C38</f>
        <v>145.71837797175311</v>
      </c>
      <c r="F39" s="251">
        <f>Dat_02!D38</f>
        <v>104.08859355090497</v>
      </c>
      <c r="G39" s="251">
        <f>Dat_02!E38</f>
        <v>104.08859355090497</v>
      </c>
      <c r="I39" s="252">
        <f>Dat_02!G38</f>
        <v>0</v>
      </c>
      <c r="J39" s="264" t="str">
        <f>IF(Dat_02!H38=0,"",Dat_02!H38)</f>
        <v/>
      </c>
    </row>
    <row r="40" spans="2:10">
      <c r="B40" s="248"/>
      <c r="C40" s="249" t="s">
        <v>188</v>
      </c>
      <c r="D40" s="248"/>
      <c r="E40" s="251">
        <f>Dat_02!C39</f>
        <v>138.4799779717531</v>
      </c>
      <c r="F40" s="251">
        <f>Dat_02!D39</f>
        <v>104.08859355090497</v>
      </c>
      <c r="G40" s="251">
        <f>Dat_02!E39</f>
        <v>104.08859355090497</v>
      </c>
      <c r="I40" s="252">
        <f>Dat_02!G39</f>
        <v>0</v>
      </c>
      <c r="J40" s="264" t="str">
        <f>IF(Dat_02!H39=0,"",Dat_02!H39)</f>
        <v/>
      </c>
    </row>
    <row r="41" spans="2:10">
      <c r="B41" s="248"/>
      <c r="C41" s="249" t="s">
        <v>189</v>
      </c>
      <c r="D41" s="248"/>
      <c r="E41" s="251">
        <f>Dat_02!C40</f>
        <v>123.6798779717531</v>
      </c>
      <c r="F41" s="251">
        <f>Dat_02!D40</f>
        <v>104.08859355090497</v>
      </c>
      <c r="G41" s="251">
        <f>Dat_02!E40</f>
        <v>104.08859355090497</v>
      </c>
      <c r="I41" s="252">
        <f>Dat_02!G40</f>
        <v>0</v>
      </c>
      <c r="J41" s="264" t="str">
        <f>IF(Dat_02!H40=0,"",Dat_02!H40)</f>
        <v/>
      </c>
    </row>
    <row r="42" spans="2:10">
      <c r="B42" s="248"/>
      <c r="C42" s="249" t="s">
        <v>190</v>
      </c>
      <c r="D42" s="248"/>
      <c r="E42" s="251">
        <f>Dat_02!C41</f>
        <v>121.28207797175217</v>
      </c>
      <c r="F42" s="251">
        <f>Dat_02!D41</f>
        <v>104.08859355090497</v>
      </c>
      <c r="G42" s="251">
        <f>Dat_02!E41</f>
        <v>104.08859355090497</v>
      </c>
      <c r="I42" s="252">
        <f>Dat_02!G41</f>
        <v>0</v>
      </c>
      <c r="J42" s="264" t="str">
        <f>IF(Dat_02!H41=0,"",Dat_02!H41)</f>
        <v/>
      </c>
    </row>
    <row r="43" spans="2:10">
      <c r="B43" s="248"/>
      <c r="C43" s="249" t="s">
        <v>191</v>
      </c>
      <c r="D43" s="248"/>
      <c r="E43" s="251">
        <f>Dat_02!C42</f>
        <v>130.3171779717531</v>
      </c>
      <c r="F43" s="251">
        <f>Dat_02!D42</f>
        <v>104.08859355090497</v>
      </c>
      <c r="G43" s="251">
        <f>Dat_02!E42</f>
        <v>104.08859355090497</v>
      </c>
      <c r="I43" s="252">
        <f>Dat_02!G42</f>
        <v>0</v>
      </c>
      <c r="J43" s="264" t="str">
        <f>IF(Dat_02!H42=0,"",Dat_02!H42)</f>
        <v/>
      </c>
    </row>
    <row r="44" spans="2:10">
      <c r="B44" s="248"/>
      <c r="C44" s="249" t="s">
        <v>192</v>
      </c>
      <c r="D44" s="248"/>
      <c r="E44" s="251">
        <f>Dat_02!C43</f>
        <v>138.70278654671944</v>
      </c>
      <c r="F44" s="251">
        <f>Dat_02!D43</f>
        <v>104.08859355090497</v>
      </c>
      <c r="G44" s="251">
        <f>Dat_02!E43</f>
        <v>104.08859355090497</v>
      </c>
      <c r="I44" s="252">
        <f>Dat_02!G43</f>
        <v>0</v>
      </c>
      <c r="J44" s="264" t="str">
        <f>IF(Dat_02!H43=0,"",Dat_02!H43)</f>
        <v/>
      </c>
    </row>
    <row r="45" spans="2:10">
      <c r="B45" s="248"/>
      <c r="C45" s="249" t="s">
        <v>193</v>
      </c>
      <c r="D45" s="248"/>
      <c r="E45" s="251">
        <f>Dat_02!C44</f>
        <v>127.68308654672039</v>
      </c>
      <c r="F45" s="251">
        <f>Dat_02!D44</f>
        <v>104.08859355090497</v>
      </c>
      <c r="G45" s="251">
        <f>Dat_02!E44</f>
        <v>104.08859355090497</v>
      </c>
      <c r="I45" s="252">
        <f>Dat_02!G44</f>
        <v>0</v>
      </c>
      <c r="J45" s="264" t="str">
        <f>IF(Dat_02!H44=0,"",Dat_02!H44)</f>
        <v/>
      </c>
    </row>
    <row r="46" spans="2:10">
      <c r="B46" s="248"/>
      <c r="C46" s="249" t="s">
        <v>194</v>
      </c>
      <c r="D46" s="248"/>
      <c r="E46" s="251">
        <f>Dat_02!C45</f>
        <v>135.46618654671852</v>
      </c>
      <c r="F46" s="251">
        <f>Dat_02!D45</f>
        <v>104.08859355090497</v>
      </c>
      <c r="G46" s="251">
        <f>Dat_02!E45</f>
        <v>104.08859355090497</v>
      </c>
      <c r="I46" s="252">
        <f>Dat_02!G45</f>
        <v>0</v>
      </c>
      <c r="J46" s="264" t="str">
        <f>IF(Dat_02!H45=0,"",Dat_02!H45)</f>
        <v/>
      </c>
    </row>
    <row r="47" spans="2:10">
      <c r="B47" s="248"/>
      <c r="C47" s="249" t="s">
        <v>195</v>
      </c>
      <c r="D47" s="248"/>
      <c r="E47" s="251">
        <f>Dat_02!C46</f>
        <v>142.37948654671945</v>
      </c>
      <c r="F47" s="251">
        <f>Dat_02!D46</f>
        <v>104.08859355090497</v>
      </c>
      <c r="G47" s="251">
        <f>Dat_02!E46</f>
        <v>104.08859355090497</v>
      </c>
      <c r="I47" s="252">
        <f>Dat_02!G46</f>
        <v>0</v>
      </c>
      <c r="J47" s="264" t="str">
        <f>IF(Dat_02!H46=0,"",Dat_02!H46)</f>
        <v/>
      </c>
    </row>
    <row r="48" spans="2:10">
      <c r="B48" s="248"/>
      <c r="C48" s="249" t="s">
        <v>196</v>
      </c>
      <c r="D48" s="248"/>
      <c r="E48" s="251">
        <f>Dat_02!C47</f>
        <v>136.77508654672039</v>
      </c>
      <c r="F48" s="251">
        <f>Dat_02!D47</f>
        <v>104.08859355090497</v>
      </c>
      <c r="G48" s="251">
        <f>Dat_02!E47</f>
        <v>104.08859355090497</v>
      </c>
      <c r="I48" s="252">
        <f>Dat_02!G47</f>
        <v>104.08859355090497</v>
      </c>
      <c r="J48" s="264" t="str">
        <f>IF(Dat_02!H47=0,"",Dat_02!H47)</f>
        <v/>
      </c>
    </row>
    <row r="49" spans="2:10">
      <c r="B49" s="248"/>
      <c r="C49" s="249" t="s">
        <v>197</v>
      </c>
      <c r="D49" s="248"/>
      <c r="E49" s="251">
        <f>Dat_02!C48</f>
        <v>157.64818654672038</v>
      </c>
      <c r="F49" s="251">
        <f>Dat_02!D48</f>
        <v>104.08859355090497</v>
      </c>
      <c r="G49" s="251">
        <f>Dat_02!E48</f>
        <v>104.08859355090497</v>
      </c>
      <c r="I49" s="252">
        <f>Dat_02!G48</f>
        <v>0</v>
      </c>
      <c r="J49" s="264" t="str">
        <f>IF(Dat_02!H48=0,"",Dat_02!H48)</f>
        <v/>
      </c>
    </row>
    <row r="50" spans="2:10">
      <c r="B50" s="248"/>
      <c r="C50" s="249" t="s">
        <v>198</v>
      </c>
      <c r="D50" s="248"/>
      <c r="E50" s="251">
        <f>Dat_02!C49</f>
        <v>173.63738654671945</v>
      </c>
      <c r="F50" s="251">
        <f>Dat_02!D49</f>
        <v>104.08859355090497</v>
      </c>
      <c r="G50" s="251">
        <f>Dat_02!E49</f>
        <v>104.08859355090497</v>
      </c>
      <c r="I50" s="252">
        <f>Dat_02!G49</f>
        <v>0</v>
      </c>
      <c r="J50" s="264" t="str">
        <f>IF(Dat_02!H49=0,"",Dat_02!H49)</f>
        <v/>
      </c>
    </row>
    <row r="51" spans="2:10">
      <c r="B51" s="248"/>
      <c r="C51" s="249" t="s">
        <v>199</v>
      </c>
      <c r="D51" s="248"/>
      <c r="E51" s="251">
        <f>Dat_02!C50</f>
        <v>334.36363688784093</v>
      </c>
      <c r="F51" s="251">
        <f>Dat_02!D50</f>
        <v>104.08859355090497</v>
      </c>
      <c r="G51" s="251">
        <f>Dat_02!E50</f>
        <v>104.08859355090497</v>
      </c>
      <c r="I51" s="252">
        <f>Dat_02!G50</f>
        <v>0</v>
      </c>
      <c r="J51" s="264" t="str">
        <f>IF(Dat_02!H50=0,"",Dat_02!H50)</f>
        <v/>
      </c>
    </row>
    <row r="52" spans="2:10">
      <c r="B52" s="248"/>
      <c r="C52" s="249" t="s">
        <v>200</v>
      </c>
      <c r="D52" s="248"/>
      <c r="E52" s="251">
        <f>Dat_02!C51</f>
        <v>332.79693688784465</v>
      </c>
      <c r="F52" s="251">
        <f>Dat_02!D51</f>
        <v>104.08859355090497</v>
      </c>
      <c r="G52" s="251">
        <f>Dat_02!E51</f>
        <v>104.08859355090497</v>
      </c>
      <c r="I52" s="252">
        <f>Dat_02!G51</f>
        <v>0</v>
      </c>
      <c r="J52" s="264" t="str">
        <f>IF(Dat_02!H51=0,"",Dat_02!H51)</f>
        <v/>
      </c>
    </row>
    <row r="53" spans="2:10">
      <c r="B53" s="248"/>
      <c r="C53" s="249" t="s">
        <v>201</v>
      </c>
      <c r="D53" s="248"/>
      <c r="E53" s="251">
        <f>Dat_02!C52</f>
        <v>354.77393688784275</v>
      </c>
      <c r="F53" s="251">
        <f>Dat_02!D52</f>
        <v>104.08859355090497</v>
      </c>
      <c r="G53" s="251">
        <f>Dat_02!E52</f>
        <v>104.08859355090497</v>
      </c>
      <c r="I53" s="252">
        <f>Dat_02!G52</f>
        <v>0</v>
      </c>
      <c r="J53" s="264" t="str">
        <f>IF(Dat_02!H52=0,"",Dat_02!H52)</f>
        <v/>
      </c>
    </row>
    <row r="54" spans="2:10">
      <c r="B54" s="248"/>
      <c r="C54" s="249" t="s">
        <v>202</v>
      </c>
      <c r="D54" s="248"/>
      <c r="E54" s="251">
        <f>Dat_02!C53</f>
        <v>354.52443688784462</v>
      </c>
      <c r="F54" s="251">
        <f>Dat_02!D53</f>
        <v>104.08859355090497</v>
      </c>
      <c r="G54" s="251">
        <f>Dat_02!E53</f>
        <v>104.08859355090497</v>
      </c>
      <c r="I54" s="252">
        <f>Dat_02!G53</f>
        <v>0</v>
      </c>
      <c r="J54" s="264" t="str">
        <f>IF(Dat_02!H53=0,"",Dat_02!H53)</f>
        <v/>
      </c>
    </row>
    <row r="55" spans="2:10">
      <c r="B55" s="248"/>
      <c r="C55" s="249" t="s">
        <v>203</v>
      </c>
      <c r="D55" s="248"/>
      <c r="E55" s="251">
        <f>Dat_02!C54</f>
        <v>343.64063688784279</v>
      </c>
      <c r="F55" s="251">
        <f>Dat_02!D54</f>
        <v>104.08859355090497</v>
      </c>
      <c r="G55" s="251">
        <f>Dat_02!E54</f>
        <v>104.08859355090497</v>
      </c>
      <c r="I55" s="252">
        <f>Dat_02!G54</f>
        <v>0</v>
      </c>
      <c r="J55" s="264" t="str">
        <f>IF(Dat_02!H54=0,"",Dat_02!H54)</f>
        <v/>
      </c>
    </row>
    <row r="56" spans="2:10">
      <c r="B56" s="248"/>
      <c r="C56" s="249" t="s">
        <v>204</v>
      </c>
      <c r="D56" s="248"/>
      <c r="E56" s="251">
        <f>Dat_02!C55</f>
        <v>350.88903688784467</v>
      </c>
      <c r="F56" s="251">
        <f>Dat_02!D55</f>
        <v>104.08859355090497</v>
      </c>
      <c r="G56" s="251">
        <f>Dat_02!E55</f>
        <v>104.08859355090497</v>
      </c>
      <c r="I56" s="252">
        <f>Dat_02!G55</f>
        <v>0</v>
      </c>
      <c r="J56" s="264" t="str">
        <f>IF(Dat_02!H55=0,"",Dat_02!H55)</f>
        <v/>
      </c>
    </row>
    <row r="57" spans="2:10">
      <c r="B57" s="248"/>
      <c r="C57" s="249" t="s">
        <v>205</v>
      </c>
      <c r="D57" s="248"/>
      <c r="E57" s="251">
        <f>Dat_02!C56</f>
        <v>355.5973368878428</v>
      </c>
      <c r="F57" s="251">
        <f>Dat_02!D56</f>
        <v>104.08859355090497</v>
      </c>
      <c r="G57" s="251">
        <f>Dat_02!E56</f>
        <v>104.08859355090497</v>
      </c>
      <c r="I57" s="252">
        <f>Dat_02!G56</f>
        <v>0</v>
      </c>
      <c r="J57" s="264" t="str">
        <f>IF(Dat_02!H56=0,"",Dat_02!H56)</f>
        <v/>
      </c>
    </row>
    <row r="58" spans="2:10">
      <c r="B58" s="248"/>
      <c r="C58" s="249" t="s">
        <v>206</v>
      </c>
      <c r="D58" s="248"/>
      <c r="E58" s="251">
        <f>Dat_02!C57</f>
        <v>172.96803796917945</v>
      </c>
      <c r="F58" s="251">
        <f>Dat_02!D57</f>
        <v>104.08859355090497</v>
      </c>
      <c r="G58" s="251">
        <f>Dat_02!E57</f>
        <v>104.08859355090497</v>
      </c>
      <c r="I58" s="252">
        <f>Dat_02!G57</f>
        <v>0</v>
      </c>
      <c r="J58" s="264" t="str">
        <f>IF(Dat_02!H57=0,"",Dat_02!H57)</f>
        <v/>
      </c>
    </row>
    <row r="59" spans="2:10">
      <c r="B59" s="248"/>
      <c r="C59" s="249" t="s">
        <v>207</v>
      </c>
      <c r="D59" s="248"/>
      <c r="E59" s="251">
        <f>Dat_02!C58</f>
        <v>174.7728379691813</v>
      </c>
      <c r="F59" s="251">
        <f>Dat_02!D58</f>
        <v>104.08859355090497</v>
      </c>
      <c r="G59" s="251">
        <f>Dat_02!E58</f>
        <v>104.08859355090497</v>
      </c>
      <c r="I59" s="252">
        <f>Dat_02!G58</f>
        <v>0</v>
      </c>
      <c r="J59" s="264" t="str">
        <f>IF(Dat_02!H58=0,"",Dat_02!H58)</f>
        <v/>
      </c>
    </row>
    <row r="60" spans="2:10">
      <c r="B60" s="248"/>
      <c r="C60" s="249" t="s">
        <v>208</v>
      </c>
      <c r="D60" s="248"/>
      <c r="E60" s="251">
        <f>Dat_02!C59</f>
        <v>178.6237379691832</v>
      </c>
      <c r="F60" s="251">
        <f>Dat_02!D59</f>
        <v>104.08859355090497</v>
      </c>
      <c r="G60" s="251">
        <f>Dat_02!E59</f>
        <v>104.08859355090497</v>
      </c>
      <c r="I60" s="252">
        <f>Dat_02!G59</f>
        <v>0</v>
      </c>
      <c r="J60" s="264" t="str">
        <f>IF(Dat_02!H59=0,"",Dat_02!H59)</f>
        <v/>
      </c>
    </row>
    <row r="61" spans="2:10">
      <c r="B61" s="248"/>
      <c r="C61" s="249" t="s">
        <v>209</v>
      </c>
      <c r="D61" s="248"/>
      <c r="E61" s="251">
        <f>Dat_02!C60</f>
        <v>175.33903796917946</v>
      </c>
      <c r="F61" s="251">
        <f>Dat_02!D60</f>
        <v>104.08859355090497</v>
      </c>
      <c r="G61" s="251">
        <f>Dat_02!E60</f>
        <v>104.08859355090497</v>
      </c>
      <c r="I61" s="252">
        <f>Dat_02!G60</f>
        <v>0</v>
      </c>
      <c r="J61" s="264" t="str">
        <f>IF(Dat_02!H60=0,"",Dat_02!H60)</f>
        <v/>
      </c>
    </row>
    <row r="62" spans="2:10">
      <c r="B62" s="248"/>
      <c r="C62" s="249" t="s">
        <v>210</v>
      </c>
      <c r="D62" s="248"/>
      <c r="E62" s="251">
        <f>Dat_02!C61</f>
        <v>165.11513796918132</v>
      </c>
      <c r="F62" s="251">
        <f>Dat_02!D61</f>
        <v>104.08859355090497</v>
      </c>
      <c r="G62" s="251">
        <f>Dat_02!E61</f>
        <v>104.08859355090497</v>
      </c>
      <c r="I62" s="252">
        <f>Dat_02!G61</f>
        <v>0</v>
      </c>
      <c r="J62" s="264" t="str">
        <f>IF(Dat_02!H61=0,"",Dat_02!H61)</f>
        <v/>
      </c>
    </row>
    <row r="63" spans="2:10">
      <c r="B63" s="248"/>
      <c r="C63" s="249" t="s">
        <v>211</v>
      </c>
      <c r="D63" s="248"/>
      <c r="E63" s="251">
        <f>Dat_02!C62</f>
        <v>163.71783796918129</v>
      </c>
      <c r="F63" s="251">
        <f>Dat_02!D62</f>
        <v>104.08859355090497</v>
      </c>
      <c r="G63" s="251">
        <f>Dat_02!E62</f>
        <v>104.08859355090497</v>
      </c>
      <c r="I63" s="252">
        <f>Dat_02!G62</f>
        <v>0</v>
      </c>
      <c r="J63" s="264" t="str">
        <f>IF(Dat_02!H62=0,"",Dat_02!H62)</f>
        <v/>
      </c>
    </row>
    <row r="64" spans="2:10">
      <c r="B64" s="250"/>
      <c r="C64" s="255" t="s">
        <v>212</v>
      </c>
      <c r="D64" s="248"/>
      <c r="E64" s="251">
        <f>Dat_02!C63</f>
        <v>161.18603796918876</v>
      </c>
      <c r="F64" s="251">
        <f>Dat_02!D63</f>
        <v>104.08859355090497</v>
      </c>
      <c r="G64" s="251">
        <f>Dat_02!E63</f>
        <v>104.08859355090497</v>
      </c>
      <c r="I64" s="252">
        <f>Dat_02!G63</f>
        <v>0</v>
      </c>
      <c r="J64" s="264" t="str">
        <f>IF(Dat_02!H63=0,"",Dat_02!H63)</f>
        <v/>
      </c>
    </row>
    <row r="65" spans="2:10">
      <c r="B65" s="248" t="s">
        <v>213</v>
      </c>
      <c r="C65" s="249" t="s">
        <v>214</v>
      </c>
      <c r="D65" s="250"/>
      <c r="E65" s="251">
        <f>Dat_02!C64</f>
        <v>184.28364091592655</v>
      </c>
      <c r="F65" s="251">
        <f>Dat_02!D64</f>
        <v>120.61015823780208</v>
      </c>
      <c r="G65" s="251">
        <f>Dat_02!E64</f>
        <v>120.61015823780208</v>
      </c>
      <c r="I65" s="252">
        <f>Dat_02!G64</f>
        <v>0</v>
      </c>
      <c r="J65" s="264" t="str">
        <f>IF(Dat_02!H64=0,"",Dat_02!H64)</f>
        <v/>
      </c>
    </row>
    <row r="66" spans="2:10">
      <c r="B66" s="250"/>
      <c r="C66" s="249" t="s">
        <v>215</v>
      </c>
      <c r="D66" s="250"/>
      <c r="E66" s="251">
        <f>Dat_02!C65</f>
        <v>191.98454091592654</v>
      </c>
      <c r="F66" s="251">
        <f>Dat_02!D65</f>
        <v>120.61015823780208</v>
      </c>
      <c r="G66" s="251">
        <f>Dat_02!E65</f>
        <v>120.61015823780208</v>
      </c>
      <c r="I66" s="252">
        <f>Dat_02!G65</f>
        <v>0</v>
      </c>
      <c r="J66" s="264" t="str">
        <f>IF(Dat_02!H65=0,"",Dat_02!H65)</f>
        <v/>
      </c>
    </row>
    <row r="67" spans="2:10">
      <c r="B67" s="248"/>
      <c r="C67" s="249" t="s">
        <v>216</v>
      </c>
      <c r="D67" s="248"/>
      <c r="E67" s="251">
        <f>Dat_02!C66</f>
        <v>184.82194091592655</v>
      </c>
      <c r="F67" s="251">
        <f>Dat_02!D66</f>
        <v>120.61015823780208</v>
      </c>
      <c r="G67" s="251">
        <f>Dat_02!E66</f>
        <v>120.61015823780208</v>
      </c>
      <c r="I67" s="252">
        <f>Dat_02!G66</f>
        <v>0</v>
      </c>
      <c r="J67" s="264" t="str">
        <f>IF(Dat_02!H66=0,"",Dat_02!H66)</f>
        <v/>
      </c>
    </row>
    <row r="68" spans="2:10">
      <c r="B68" s="248"/>
      <c r="C68" s="249" t="s">
        <v>217</v>
      </c>
      <c r="D68" s="248"/>
      <c r="E68" s="251">
        <f>Dat_02!C67</f>
        <v>172.69454091592468</v>
      </c>
      <c r="F68" s="251">
        <f>Dat_02!D67</f>
        <v>120.61015823780208</v>
      </c>
      <c r="G68" s="251">
        <f>Dat_02!E67</f>
        <v>120.61015823780208</v>
      </c>
      <c r="I68" s="252">
        <f>Dat_02!G67</f>
        <v>0</v>
      </c>
      <c r="J68" s="264" t="str">
        <f>IF(Dat_02!H67=0,"",Dat_02!H67)</f>
        <v/>
      </c>
    </row>
    <row r="69" spans="2:10">
      <c r="B69" s="248"/>
      <c r="C69" s="249" t="s">
        <v>218</v>
      </c>
      <c r="D69" s="248"/>
      <c r="E69" s="251">
        <f>Dat_02!C68</f>
        <v>159.62764091592655</v>
      </c>
      <c r="F69" s="251">
        <f>Dat_02!D68</f>
        <v>120.61015823780208</v>
      </c>
      <c r="G69" s="251">
        <f>Dat_02!E68</f>
        <v>120.61015823780208</v>
      </c>
      <c r="I69" s="252">
        <f>Dat_02!G68</f>
        <v>0</v>
      </c>
      <c r="J69" s="264" t="str">
        <f>IF(Dat_02!H68=0,"",Dat_02!H68)</f>
        <v/>
      </c>
    </row>
    <row r="70" spans="2:10">
      <c r="B70" s="248"/>
      <c r="C70" s="249" t="s">
        <v>219</v>
      </c>
      <c r="D70" s="248"/>
      <c r="E70" s="251">
        <f>Dat_02!C69</f>
        <v>163.11084091592656</v>
      </c>
      <c r="F70" s="251">
        <f>Dat_02!D69</f>
        <v>120.61015823780208</v>
      </c>
      <c r="G70" s="251">
        <f>Dat_02!E69</f>
        <v>120.61015823780208</v>
      </c>
      <c r="I70" s="252">
        <f>Dat_02!G69</f>
        <v>0</v>
      </c>
      <c r="J70" s="264" t="str">
        <f>IF(Dat_02!H69=0,"",Dat_02!H69)</f>
        <v/>
      </c>
    </row>
    <row r="71" spans="2:10">
      <c r="B71" s="248"/>
      <c r="C71" s="249" t="s">
        <v>220</v>
      </c>
      <c r="D71" s="248"/>
      <c r="E71" s="251">
        <f>Dat_02!C70</f>
        <v>178.37934091592655</v>
      </c>
      <c r="F71" s="251">
        <f>Dat_02!D70</f>
        <v>120.61015823780208</v>
      </c>
      <c r="G71" s="251">
        <f>Dat_02!E70</f>
        <v>120.61015823780208</v>
      </c>
      <c r="I71" s="252">
        <f>Dat_02!G70</f>
        <v>0</v>
      </c>
      <c r="J71" s="264" t="str">
        <f>IF(Dat_02!H70=0,"",Dat_02!H70)</f>
        <v/>
      </c>
    </row>
    <row r="72" spans="2:10">
      <c r="B72" s="248"/>
      <c r="C72" s="249" t="s">
        <v>221</v>
      </c>
      <c r="D72" s="248"/>
      <c r="E72" s="251">
        <f>Dat_02!C71</f>
        <v>184.30429312520474</v>
      </c>
      <c r="F72" s="251">
        <f>Dat_02!D71</f>
        <v>120.61015823780208</v>
      </c>
      <c r="G72" s="251">
        <f>Dat_02!E71</f>
        <v>120.61015823780208</v>
      </c>
      <c r="I72" s="252">
        <f>Dat_02!G71</f>
        <v>0</v>
      </c>
      <c r="J72" s="264" t="str">
        <f>IF(Dat_02!H71=0,"",Dat_02!H71)</f>
        <v/>
      </c>
    </row>
    <row r="73" spans="2:10">
      <c r="B73" s="248"/>
      <c r="C73" s="249" t="s">
        <v>222</v>
      </c>
      <c r="D73" s="248"/>
      <c r="E73" s="251">
        <f>Dat_02!C72</f>
        <v>167.72469312520474</v>
      </c>
      <c r="F73" s="251">
        <f>Dat_02!D72</f>
        <v>120.61015823780208</v>
      </c>
      <c r="G73" s="251">
        <f>Dat_02!E72</f>
        <v>120.61015823780208</v>
      </c>
      <c r="I73" s="252">
        <f>Dat_02!G72</f>
        <v>0</v>
      </c>
      <c r="J73" s="264" t="str">
        <f>IF(Dat_02!H72=0,"",Dat_02!H72)</f>
        <v/>
      </c>
    </row>
    <row r="74" spans="2:10">
      <c r="B74" s="248"/>
      <c r="C74" s="249" t="s">
        <v>223</v>
      </c>
      <c r="D74" s="248"/>
      <c r="E74" s="251">
        <f>Dat_02!C73</f>
        <v>172.46919312520473</v>
      </c>
      <c r="F74" s="251">
        <f>Dat_02!D73</f>
        <v>120.61015823780208</v>
      </c>
      <c r="G74" s="251">
        <f>Dat_02!E73</f>
        <v>120.61015823780208</v>
      </c>
      <c r="I74" s="252">
        <f>Dat_02!G73</f>
        <v>0</v>
      </c>
      <c r="J74" s="264" t="str">
        <f>IF(Dat_02!H73=0,"",Dat_02!H73)</f>
        <v/>
      </c>
    </row>
    <row r="75" spans="2:10">
      <c r="B75" s="248"/>
      <c r="C75" s="249" t="s">
        <v>224</v>
      </c>
      <c r="D75" s="248"/>
      <c r="E75" s="251">
        <f>Dat_02!C74</f>
        <v>146.39959312520472</v>
      </c>
      <c r="F75" s="251">
        <f>Dat_02!D74</f>
        <v>120.61015823780208</v>
      </c>
      <c r="G75" s="251">
        <f>Dat_02!E74</f>
        <v>120.61015823780208</v>
      </c>
      <c r="I75" s="252">
        <f>Dat_02!G74</f>
        <v>0</v>
      </c>
      <c r="J75" s="264" t="str">
        <f>IF(Dat_02!H74=0,"",Dat_02!H74)</f>
        <v/>
      </c>
    </row>
    <row r="76" spans="2:10">
      <c r="B76" s="248"/>
      <c r="C76" s="249" t="s">
        <v>225</v>
      </c>
      <c r="D76" s="248"/>
      <c r="E76" s="251">
        <f>Dat_02!C75</f>
        <v>143.13519312520472</v>
      </c>
      <c r="F76" s="251">
        <f>Dat_02!D75</f>
        <v>120.61015823780208</v>
      </c>
      <c r="G76" s="251">
        <f>Dat_02!E75</f>
        <v>120.61015823780208</v>
      </c>
      <c r="I76" s="252">
        <f>Dat_02!G75</f>
        <v>0</v>
      </c>
      <c r="J76" s="264" t="str">
        <f>IF(Dat_02!H75=0,"",Dat_02!H75)</f>
        <v/>
      </c>
    </row>
    <row r="77" spans="2:10">
      <c r="B77" s="248"/>
      <c r="C77" s="249" t="s">
        <v>226</v>
      </c>
      <c r="D77" s="248"/>
      <c r="E77" s="251">
        <f>Dat_02!C76</f>
        <v>167.98059312520473</v>
      </c>
      <c r="F77" s="251">
        <f>Dat_02!D76</f>
        <v>120.61015823780208</v>
      </c>
      <c r="G77" s="251">
        <f>Dat_02!E76</f>
        <v>120.61015823780208</v>
      </c>
      <c r="I77" s="252">
        <f>Dat_02!G76</f>
        <v>0</v>
      </c>
      <c r="J77" s="264" t="str">
        <f>IF(Dat_02!H76=0,"",Dat_02!H76)</f>
        <v/>
      </c>
    </row>
    <row r="78" spans="2:10">
      <c r="B78" s="248"/>
      <c r="C78" s="249" t="s">
        <v>227</v>
      </c>
      <c r="D78" s="248"/>
      <c r="E78" s="251">
        <f>Dat_02!C77</f>
        <v>161.94979312520474</v>
      </c>
      <c r="F78" s="251">
        <f>Dat_02!D77</f>
        <v>120.61015823780208</v>
      </c>
      <c r="G78" s="251">
        <f>Dat_02!E77</f>
        <v>120.61015823780208</v>
      </c>
      <c r="I78" s="252">
        <f>Dat_02!G77</f>
        <v>0</v>
      </c>
      <c r="J78" s="264" t="str">
        <f>IF(Dat_02!H77=0,"",Dat_02!H77)</f>
        <v/>
      </c>
    </row>
    <row r="79" spans="2:10">
      <c r="B79" s="248"/>
      <c r="C79" s="249" t="s">
        <v>228</v>
      </c>
      <c r="D79" s="248"/>
      <c r="E79" s="251">
        <f>Dat_02!C78</f>
        <v>109.49860715492852</v>
      </c>
      <c r="F79" s="251">
        <f>Dat_02!D78</f>
        <v>120.61015823780208</v>
      </c>
      <c r="G79" s="251">
        <f>Dat_02!E78</f>
        <v>109.49860715492852</v>
      </c>
      <c r="I79" s="252">
        <f>Dat_02!G78</f>
        <v>120.61015823780208</v>
      </c>
      <c r="J79" s="264" t="str">
        <f>IF(Dat_02!H78=0,"",Dat_02!H78)</f>
        <v/>
      </c>
    </row>
    <row r="80" spans="2:10">
      <c r="B80" s="248"/>
      <c r="C80" s="249" t="s">
        <v>229</v>
      </c>
      <c r="D80" s="248"/>
      <c r="E80" s="251">
        <f>Dat_02!C79</f>
        <v>102.81940715493037</v>
      </c>
      <c r="F80" s="251">
        <f>Dat_02!D79</f>
        <v>120.61015823780208</v>
      </c>
      <c r="G80" s="251">
        <f>Dat_02!E79</f>
        <v>102.81940715493037</v>
      </c>
      <c r="I80" s="252">
        <f>Dat_02!G79</f>
        <v>0</v>
      </c>
      <c r="J80" s="264" t="str">
        <f>IF(Dat_02!H79=0,"",Dat_02!H79)</f>
        <v/>
      </c>
    </row>
    <row r="81" spans="2:10">
      <c r="B81" s="248"/>
      <c r="C81" s="249" t="s">
        <v>230</v>
      </c>
      <c r="D81" s="248"/>
      <c r="E81" s="251">
        <f>Dat_02!C80</f>
        <v>95.576007154928519</v>
      </c>
      <c r="F81" s="251">
        <f>Dat_02!D80</f>
        <v>120.61015823780208</v>
      </c>
      <c r="G81" s="251">
        <f>Dat_02!E80</f>
        <v>95.576007154928519</v>
      </c>
      <c r="I81" s="252">
        <f>Dat_02!G80</f>
        <v>0</v>
      </c>
      <c r="J81" s="264" t="str">
        <f>IF(Dat_02!H80=0,"",Dat_02!H80)</f>
        <v/>
      </c>
    </row>
    <row r="82" spans="2:10">
      <c r="B82" s="248"/>
      <c r="C82" s="249" t="s">
        <v>231</v>
      </c>
      <c r="D82" s="248"/>
      <c r="E82" s="251">
        <f>Dat_02!C81</f>
        <v>78.538607154930389</v>
      </c>
      <c r="F82" s="251">
        <f>Dat_02!D81</f>
        <v>120.61015823780208</v>
      </c>
      <c r="G82" s="251">
        <f>Dat_02!E81</f>
        <v>78.538607154930389</v>
      </c>
      <c r="I82" s="252">
        <f>Dat_02!G81</f>
        <v>0</v>
      </c>
      <c r="J82" s="264" t="str">
        <f>IF(Dat_02!H81=0,"",Dat_02!H81)</f>
        <v/>
      </c>
    </row>
    <row r="83" spans="2:10">
      <c r="B83" s="248"/>
      <c r="C83" s="249" t="s">
        <v>232</v>
      </c>
      <c r="D83" s="248"/>
      <c r="E83" s="251">
        <f>Dat_02!C82</f>
        <v>81.264607154928527</v>
      </c>
      <c r="F83" s="251">
        <f>Dat_02!D82</f>
        <v>120.61015823780208</v>
      </c>
      <c r="G83" s="251">
        <f>Dat_02!E82</f>
        <v>81.264607154928527</v>
      </c>
      <c r="I83" s="252">
        <f>Dat_02!G82</f>
        <v>0</v>
      </c>
      <c r="J83" s="264" t="str">
        <f>IF(Dat_02!H82=0,"",Dat_02!H82)</f>
        <v/>
      </c>
    </row>
    <row r="84" spans="2:10">
      <c r="B84" s="248"/>
      <c r="C84" s="249" t="s">
        <v>233</v>
      </c>
      <c r="D84" s="248"/>
      <c r="E84" s="251">
        <f>Dat_02!C83</f>
        <v>107.20760715493039</v>
      </c>
      <c r="F84" s="251">
        <f>Dat_02!D83</f>
        <v>120.61015823780208</v>
      </c>
      <c r="G84" s="251">
        <f>Dat_02!E83</f>
        <v>107.20760715493039</v>
      </c>
      <c r="I84" s="252">
        <f>Dat_02!G83</f>
        <v>0</v>
      </c>
      <c r="J84" s="264" t="str">
        <f>IF(Dat_02!H83=0,"",Dat_02!H83)</f>
        <v/>
      </c>
    </row>
    <row r="85" spans="2:10">
      <c r="B85" s="248"/>
      <c r="C85" s="249" t="s">
        <v>234</v>
      </c>
      <c r="D85" s="248"/>
      <c r="E85" s="251">
        <f>Dat_02!C84</f>
        <v>109.99690715492851</v>
      </c>
      <c r="F85" s="251">
        <f>Dat_02!D84</f>
        <v>120.61015823780208</v>
      </c>
      <c r="G85" s="251">
        <f>Dat_02!E84</f>
        <v>109.99690715492851</v>
      </c>
      <c r="I85" s="252">
        <f>Dat_02!G84</f>
        <v>0</v>
      </c>
      <c r="J85" s="264" t="str">
        <f>IF(Dat_02!H84=0,"",Dat_02!H84)</f>
        <v/>
      </c>
    </row>
    <row r="86" spans="2:10">
      <c r="B86" s="248"/>
      <c r="C86" s="249" t="s">
        <v>235</v>
      </c>
      <c r="D86" s="248"/>
      <c r="E86" s="251">
        <f>Dat_02!C85</f>
        <v>156.73273092885577</v>
      </c>
      <c r="F86" s="251">
        <f>Dat_02!D85</f>
        <v>120.61015823780208</v>
      </c>
      <c r="G86" s="251">
        <f>Dat_02!E85</f>
        <v>120.61015823780208</v>
      </c>
      <c r="I86" s="252">
        <f>Dat_02!G85</f>
        <v>0</v>
      </c>
      <c r="J86" s="264" t="str">
        <f>IF(Dat_02!H85=0,"",Dat_02!H85)</f>
        <v/>
      </c>
    </row>
    <row r="87" spans="2:10">
      <c r="B87" s="248"/>
      <c r="C87" s="249" t="s">
        <v>236</v>
      </c>
      <c r="D87" s="248"/>
      <c r="E87" s="251">
        <f>Dat_02!C86</f>
        <v>153.73723092885763</v>
      </c>
      <c r="F87" s="251">
        <f>Dat_02!D86</f>
        <v>120.61015823780208</v>
      </c>
      <c r="G87" s="251">
        <f>Dat_02!E86</f>
        <v>120.61015823780208</v>
      </c>
      <c r="I87" s="252">
        <f>Dat_02!G86</f>
        <v>0</v>
      </c>
      <c r="J87" s="264" t="str">
        <f>IF(Dat_02!H86=0,"",Dat_02!H86)</f>
        <v/>
      </c>
    </row>
    <row r="88" spans="2:10">
      <c r="B88" s="248"/>
      <c r="C88" s="249" t="s">
        <v>237</v>
      </c>
      <c r="D88" s="248"/>
      <c r="E88" s="251">
        <f>Dat_02!C87</f>
        <v>158.31193092885576</v>
      </c>
      <c r="F88" s="251">
        <f>Dat_02!D87</f>
        <v>120.61015823780208</v>
      </c>
      <c r="G88" s="251">
        <f>Dat_02!E87</f>
        <v>120.61015823780208</v>
      </c>
      <c r="I88" s="252">
        <f>Dat_02!G87</f>
        <v>0</v>
      </c>
      <c r="J88" s="264" t="str">
        <f>IF(Dat_02!H87=0,"",Dat_02!H87)</f>
        <v/>
      </c>
    </row>
    <row r="89" spans="2:10">
      <c r="B89" s="248"/>
      <c r="C89" s="249" t="s">
        <v>238</v>
      </c>
      <c r="D89" s="248"/>
      <c r="E89" s="251">
        <f>Dat_02!C88</f>
        <v>142.16853092885577</v>
      </c>
      <c r="F89" s="251">
        <f>Dat_02!D88</f>
        <v>120.61015823780208</v>
      </c>
      <c r="G89" s="251">
        <f>Dat_02!E88</f>
        <v>120.61015823780208</v>
      </c>
      <c r="I89" s="252">
        <f>Dat_02!G88</f>
        <v>0</v>
      </c>
      <c r="J89" s="264" t="str">
        <f>IF(Dat_02!H88=0,"",Dat_02!H88)</f>
        <v/>
      </c>
    </row>
    <row r="90" spans="2:10">
      <c r="B90" s="248"/>
      <c r="C90" s="249" t="s">
        <v>239</v>
      </c>
      <c r="D90" s="248"/>
      <c r="E90" s="251">
        <f>Dat_02!C89</f>
        <v>113.01793092885576</v>
      </c>
      <c r="F90" s="251">
        <f>Dat_02!D89</f>
        <v>120.61015823780208</v>
      </c>
      <c r="G90" s="251">
        <f>Dat_02!E89</f>
        <v>113.01793092885576</v>
      </c>
      <c r="I90" s="252">
        <f>Dat_02!G89</f>
        <v>0</v>
      </c>
      <c r="J90" s="264" t="str">
        <f>IF(Dat_02!H89=0,"",Dat_02!H89)</f>
        <v/>
      </c>
    </row>
    <row r="91" spans="2:10">
      <c r="B91" s="248"/>
      <c r="C91" s="249" t="s">
        <v>240</v>
      </c>
      <c r="D91" s="248"/>
      <c r="E91" s="251">
        <f>Dat_02!C90</f>
        <v>106.38223092885762</v>
      </c>
      <c r="F91" s="251">
        <f>Dat_02!D90</f>
        <v>120.61015823780208</v>
      </c>
      <c r="G91" s="251">
        <f>Dat_02!E90</f>
        <v>106.38223092885762</v>
      </c>
      <c r="I91" s="252">
        <f>Dat_02!G90</f>
        <v>0</v>
      </c>
      <c r="J91" s="264" t="str">
        <f>IF(Dat_02!H90=0,"",Dat_02!H90)</f>
        <v/>
      </c>
    </row>
    <row r="92" spans="2:10">
      <c r="B92" s="248"/>
      <c r="C92" s="249" t="s">
        <v>241</v>
      </c>
      <c r="D92" s="248"/>
      <c r="E92" s="251">
        <f>Dat_02!C91</f>
        <v>117.30713092885577</v>
      </c>
      <c r="F92" s="251">
        <f>Dat_02!D91</f>
        <v>120.61015823780208</v>
      </c>
      <c r="G92" s="251">
        <f>Dat_02!E91</f>
        <v>117.30713092885577</v>
      </c>
      <c r="I92" s="252">
        <f>Dat_02!G91</f>
        <v>0</v>
      </c>
      <c r="J92" s="264" t="str">
        <f>IF(Dat_02!H91=0,"",Dat_02!H91)</f>
        <v/>
      </c>
    </row>
    <row r="93" spans="2:10">
      <c r="B93" s="248"/>
      <c r="C93" s="249" t="s">
        <v>242</v>
      </c>
      <c r="D93" s="248"/>
      <c r="E93" s="251">
        <f>Dat_02!C92</f>
        <v>163.13593686418943</v>
      </c>
      <c r="F93" s="251">
        <f>Dat_02!D92</f>
        <v>120.61015823780208</v>
      </c>
      <c r="G93" s="251">
        <f>Dat_02!E92</f>
        <v>120.61015823780208</v>
      </c>
      <c r="I93" s="252">
        <f>Dat_02!G92</f>
        <v>0</v>
      </c>
      <c r="J93" s="264" t="str">
        <f>IF(Dat_02!H92=0,"",Dat_02!H92)</f>
        <v/>
      </c>
    </row>
    <row r="94" spans="2:10">
      <c r="B94" s="248"/>
      <c r="C94" s="249" t="s">
        <v>243</v>
      </c>
      <c r="D94" s="248"/>
      <c r="E94" s="251">
        <f>Dat_02!C93</f>
        <v>149.3266368641913</v>
      </c>
      <c r="F94" s="251">
        <f>Dat_02!D93</f>
        <v>120.61015823780208</v>
      </c>
      <c r="G94" s="251">
        <f>Dat_02!E93</f>
        <v>120.61015823780208</v>
      </c>
      <c r="I94" s="252">
        <f>Dat_02!G93</f>
        <v>0</v>
      </c>
      <c r="J94" s="264" t="str">
        <f>IF(Dat_02!H93=0,"",Dat_02!H93)</f>
        <v/>
      </c>
    </row>
    <row r="95" spans="2:10">
      <c r="B95" s="250"/>
      <c r="C95" s="255" t="s">
        <v>244</v>
      </c>
      <c r="D95" s="250"/>
      <c r="E95" s="251">
        <f>Dat_02!C94</f>
        <v>156.05203686418571</v>
      </c>
      <c r="F95" s="251">
        <f>Dat_02!D94</f>
        <v>120.61015823780208</v>
      </c>
      <c r="G95" s="251">
        <f>Dat_02!E94</f>
        <v>120.61015823780208</v>
      </c>
      <c r="I95" s="252">
        <f>Dat_02!G94</f>
        <v>0</v>
      </c>
      <c r="J95" s="264" t="str">
        <f>IF(Dat_02!H94=0,"",Dat_02!H94)</f>
        <v/>
      </c>
    </row>
    <row r="96" spans="2:10">
      <c r="B96" s="248" t="s">
        <v>245</v>
      </c>
      <c r="C96" s="249" t="s">
        <v>246</v>
      </c>
      <c r="D96" s="250"/>
      <c r="E96" s="251">
        <f>Dat_02!C95</f>
        <v>145.22593686419128</v>
      </c>
      <c r="F96" s="251">
        <f>Dat_02!D95</f>
        <v>123.04180331015149</v>
      </c>
      <c r="G96" s="251">
        <f>Dat_02!E95</f>
        <v>123.04180331015149</v>
      </c>
      <c r="I96" s="252">
        <f>Dat_02!G95</f>
        <v>0</v>
      </c>
      <c r="J96" s="264" t="str">
        <f>IF(Dat_02!H95=0,"",Dat_02!H95)</f>
        <v/>
      </c>
    </row>
    <row r="97" spans="2:10">
      <c r="B97" s="250"/>
      <c r="C97" s="249" t="s">
        <v>247</v>
      </c>
      <c r="D97" s="250"/>
      <c r="E97" s="251">
        <f>Dat_02!C96</f>
        <v>144.93633686419128</v>
      </c>
      <c r="F97" s="251">
        <f>Dat_02!D96</f>
        <v>123.04180331015149</v>
      </c>
      <c r="G97" s="251">
        <f>Dat_02!E96</f>
        <v>123.04180331015149</v>
      </c>
      <c r="I97" s="252">
        <f>Dat_02!G96</f>
        <v>0</v>
      </c>
      <c r="J97" s="264" t="str">
        <f>IF(Dat_02!H96=0,"",Dat_02!H96)</f>
        <v/>
      </c>
    </row>
    <row r="98" spans="2:10">
      <c r="B98" s="248"/>
      <c r="C98" s="249" t="s">
        <v>248</v>
      </c>
      <c r="D98" s="248"/>
      <c r="E98" s="251">
        <f>Dat_02!C97</f>
        <v>153.95463686418944</v>
      </c>
      <c r="F98" s="251">
        <f>Dat_02!D97</f>
        <v>123.04180331015149</v>
      </c>
      <c r="G98" s="251">
        <f>Dat_02!E97</f>
        <v>123.04180331015149</v>
      </c>
      <c r="I98" s="252">
        <f>Dat_02!G97</f>
        <v>0</v>
      </c>
      <c r="J98" s="264" t="str">
        <f>IF(Dat_02!H97=0,"",Dat_02!H97)</f>
        <v/>
      </c>
    </row>
    <row r="99" spans="2:10">
      <c r="B99" s="248"/>
      <c r="C99" s="249" t="s">
        <v>249</v>
      </c>
      <c r="D99" s="248"/>
      <c r="E99" s="251">
        <f>Dat_02!C98</f>
        <v>147.42883686419316</v>
      </c>
      <c r="F99" s="251">
        <f>Dat_02!D98</f>
        <v>123.04180331015149</v>
      </c>
      <c r="G99" s="251">
        <f>Dat_02!E98</f>
        <v>123.04180331015149</v>
      </c>
      <c r="I99" s="252">
        <f>Dat_02!G98</f>
        <v>0</v>
      </c>
      <c r="J99" s="264" t="str">
        <f>IF(Dat_02!H98=0,"",Dat_02!H98)</f>
        <v/>
      </c>
    </row>
    <row r="100" spans="2:10">
      <c r="B100" s="248"/>
      <c r="C100" s="249" t="s">
        <v>250</v>
      </c>
      <c r="D100" s="248"/>
      <c r="E100" s="251">
        <f>Dat_02!C99</f>
        <v>101.07637480868175</v>
      </c>
      <c r="F100" s="251">
        <f>Dat_02!D99</f>
        <v>123.04180331015149</v>
      </c>
      <c r="G100" s="251">
        <f>Dat_02!E99</f>
        <v>101.07637480868175</v>
      </c>
      <c r="I100" s="252">
        <f>Dat_02!G99</f>
        <v>0</v>
      </c>
      <c r="J100" s="264" t="str">
        <f>IF(Dat_02!H99=0,"",Dat_02!H99)</f>
        <v/>
      </c>
    </row>
    <row r="101" spans="2:10">
      <c r="B101" s="248"/>
      <c r="C101" s="249" t="s">
        <v>251</v>
      </c>
      <c r="D101" s="248"/>
      <c r="E101" s="251">
        <f>Dat_02!C100</f>
        <v>119.89337480868176</v>
      </c>
      <c r="F101" s="251">
        <f>Dat_02!D100</f>
        <v>123.04180331015149</v>
      </c>
      <c r="G101" s="251">
        <f>Dat_02!E100</f>
        <v>119.89337480868176</v>
      </c>
      <c r="I101" s="252">
        <f>Dat_02!G100</f>
        <v>0</v>
      </c>
      <c r="J101" s="264" t="str">
        <f>IF(Dat_02!H100=0,"",Dat_02!H100)</f>
        <v/>
      </c>
    </row>
    <row r="102" spans="2:10">
      <c r="B102" s="248"/>
      <c r="C102" s="249" t="s">
        <v>252</v>
      </c>
      <c r="D102" s="248"/>
      <c r="E102" s="251">
        <f>Dat_02!C101</f>
        <v>132.50547480868175</v>
      </c>
      <c r="F102" s="251">
        <f>Dat_02!D101</f>
        <v>123.04180331015149</v>
      </c>
      <c r="G102" s="251">
        <f>Dat_02!E101</f>
        <v>123.04180331015149</v>
      </c>
      <c r="I102" s="252">
        <f>Dat_02!G101</f>
        <v>0</v>
      </c>
      <c r="J102" s="264" t="str">
        <f>IF(Dat_02!H101=0,"",Dat_02!H101)</f>
        <v/>
      </c>
    </row>
    <row r="103" spans="2:10">
      <c r="B103" s="248"/>
      <c r="C103" s="249" t="s">
        <v>253</v>
      </c>
      <c r="D103" s="248"/>
      <c r="E103" s="251">
        <f>Dat_02!C102</f>
        <v>111.28487480868175</v>
      </c>
      <c r="F103" s="251">
        <f>Dat_02!D102</f>
        <v>123.04180331015149</v>
      </c>
      <c r="G103" s="251">
        <f>Dat_02!E102</f>
        <v>111.28487480868175</v>
      </c>
      <c r="I103" s="252">
        <f>Dat_02!G102</f>
        <v>0</v>
      </c>
      <c r="J103" s="264" t="str">
        <f>IF(Dat_02!H102=0,"",Dat_02!H102)</f>
        <v/>
      </c>
    </row>
    <row r="104" spans="2:10">
      <c r="B104" s="248"/>
      <c r="C104" s="249" t="s">
        <v>254</v>
      </c>
      <c r="D104" s="248"/>
      <c r="E104" s="251">
        <f>Dat_02!C103</f>
        <v>81.630574808679896</v>
      </c>
      <c r="F104" s="251">
        <f>Dat_02!D103</f>
        <v>123.04180331015149</v>
      </c>
      <c r="G104" s="251">
        <f>Dat_02!E103</f>
        <v>81.630574808679896</v>
      </c>
      <c r="I104" s="252">
        <f>Dat_02!G103</f>
        <v>0</v>
      </c>
      <c r="J104" s="264" t="str">
        <f>IF(Dat_02!H103=0,"",Dat_02!H103)</f>
        <v/>
      </c>
    </row>
    <row r="105" spans="2:10">
      <c r="B105" s="248"/>
      <c r="C105" s="249" t="s">
        <v>255</v>
      </c>
      <c r="D105" s="248"/>
      <c r="E105" s="251">
        <f>Dat_02!C104</f>
        <v>93.520274808683624</v>
      </c>
      <c r="F105" s="251">
        <f>Dat_02!D104</f>
        <v>123.04180331015149</v>
      </c>
      <c r="G105" s="251">
        <f>Dat_02!E104</f>
        <v>93.520274808683624</v>
      </c>
      <c r="I105" s="252">
        <f>Dat_02!G104</f>
        <v>0</v>
      </c>
      <c r="J105" s="264" t="str">
        <f>IF(Dat_02!H104=0,"",Dat_02!H104)</f>
        <v/>
      </c>
    </row>
    <row r="106" spans="2:10">
      <c r="B106" s="248"/>
      <c r="C106" s="249" t="s">
        <v>256</v>
      </c>
      <c r="D106" s="248"/>
      <c r="E106" s="251">
        <f>Dat_02!C105</f>
        <v>120.85797480868362</v>
      </c>
      <c r="F106" s="251">
        <f>Dat_02!D105</f>
        <v>123.04180331015149</v>
      </c>
      <c r="G106" s="251">
        <f>Dat_02!E105</f>
        <v>120.85797480868362</v>
      </c>
      <c r="I106" s="252">
        <f>Dat_02!G105</f>
        <v>0</v>
      </c>
      <c r="J106" s="264" t="str">
        <f>IF(Dat_02!H105=0,"",Dat_02!H105)</f>
        <v/>
      </c>
    </row>
    <row r="107" spans="2:10">
      <c r="B107" s="248"/>
      <c r="C107" s="249" t="s">
        <v>257</v>
      </c>
      <c r="D107" s="248"/>
      <c r="E107" s="251">
        <f>Dat_02!C106</f>
        <v>138.61622846951818</v>
      </c>
      <c r="F107" s="251">
        <f>Dat_02!D106</f>
        <v>123.04180331015149</v>
      </c>
      <c r="G107" s="251">
        <f>Dat_02!E106</f>
        <v>123.04180331015149</v>
      </c>
      <c r="I107" s="252">
        <f>Dat_02!G106</f>
        <v>0</v>
      </c>
      <c r="J107" s="264" t="str">
        <f>IF(Dat_02!H106=0,"",Dat_02!H106)</f>
        <v/>
      </c>
    </row>
    <row r="108" spans="2:10">
      <c r="B108" s="248"/>
      <c r="C108" s="249" t="s">
        <v>258</v>
      </c>
      <c r="D108" s="248"/>
      <c r="E108" s="251">
        <f>Dat_02!C107</f>
        <v>96.8228284695182</v>
      </c>
      <c r="F108" s="251">
        <f>Dat_02!D107</f>
        <v>123.04180331015149</v>
      </c>
      <c r="G108" s="251">
        <f>Dat_02!E107</f>
        <v>96.8228284695182</v>
      </c>
      <c r="I108" s="252">
        <f>Dat_02!G107</f>
        <v>0</v>
      </c>
      <c r="J108" s="264" t="str">
        <f>IF(Dat_02!H107=0,"",Dat_02!H107)</f>
        <v/>
      </c>
    </row>
    <row r="109" spans="2:10">
      <c r="B109" s="248"/>
      <c r="C109" s="249" t="s">
        <v>259</v>
      </c>
      <c r="D109" s="248"/>
      <c r="E109" s="251">
        <f>Dat_02!C108</f>
        <v>124.76382846952005</v>
      </c>
      <c r="F109" s="251">
        <f>Dat_02!D108</f>
        <v>123.04180331015149</v>
      </c>
      <c r="G109" s="251">
        <f>Dat_02!E108</f>
        <v>123.04180331015149</v>
      </c>
      <c r="I109" s="252">
        <f>Dat_02!G108</f>
        <v>0</v>
      </c>
      <c r="J109" s="264" t="str">
        <f>IF(Dat_02!H108=0,"",Dat_02!H108)</f>
        <v/>
      </c>
    </row>
    <row r="110" spans="2:10">
      <c r="B110" s="248"/>
      <c r="C110" s="249" t="s">
        <v>260</v>
      </c>
      <c r="D110" s="248"/>
      <c r="E110" s="251">
        <f>Dat_02!C109</f>
        <v>77.748528469514483</v>
      </c>
      <c r="F110" s="251">
        <f>Dat_02!D109</f>
        <v>123.04180331015149</v>
      </c>
      <c r="G110" s="251">
        <f>Dat_02!E109</f>
        <v>77.748528469514483</v>
      </c>
      <c r="I110" s="252">
        <f>Dat_02!G109</f>
        <v>123.04180331015149</v>
      </c>
      <c r="J110" s="264" t="str">
        <f>IF(Dat_02!H109=0,"",Dat_02!H109)</f>
        <v/>
      </c>
    </row>
    <row r="111" spans="2:10">
      <c r="B111" s="248"/>
      <c r="C111" s="249" t="s">
        <v>261</v>
      </c>
      <c r="D111" s="248"/>
      <c r="E111" s="251">
        <f>Dat_02!C110</f>
        <v>60.013928469521922</v>
      </c>
      <c r="F111" s="251">
        <f>Dat_02!D110</f>
        <v>123.04180331015149</v>
      </c>
      <c r="G111" s="251">
        <f>Dat_02!E110</f>
        <v>60.013928469521922</v>
      </c>
      <c r="I111" s="252">
        <f>Dat_02!G110</f>
        <v>0</v>
      </c>
      <c r="J111" s="264" t="str">
        <f>IF(Dat_02!H110=0,"",Dat_02!H110)</f>
        <v/>
      </c>
    </row>
    <row r="112" spans="2:10">
      <c r="B112" s="248"/>
      <c r="C112" s="249" t="s">
        <v>262</v>
      </c>
      <c r="D112" s="248"/>
      <c r="E112" s="251">
        <f>Dat_02!C111</f>
        <v>83.613828469518197</v>
      </c>
      <c r="F112" s="251">
        <f>Dat_02!D111</f>
        <v>123.04180331015149</v>
      </c>
      <c r="G112" s="251">
        <f>Dat_02!E111</f>
        <v>83.613828469518197</v>
      </c>
      <c r="I112" s="252">
        <f>Dat_02!G111</f>
        <v>0</v>
      </c>
      <c r="J112" s="264" t="str">
        <f>IF(Dat_02!H111=0,"",Dat_02!H111)</f>
        <v/>
      </c>
    </row>
    <row r="113" spans="2:10">
      <c r="B113" s="248"/>
      <c r="C113" s="249" t="s">
        <v>263</v>
      </c>
      <c r="D113" s="248"/>
      <c r="E113" s="251">
        <f>Dat_02!C112</f>
        <v>108.04012846952006</v>
      </c>
      <c r="F113" s="251">
        <f>Dat_02!D112</f>
        <v>123.04180331015149</v>
      </c>
      <c r="G113" s="251">
        <f>Dat_02!E112</f>
        <v>108.04012846952006</v>
      </c>
      <c r="I113" s="252">
        <f>Dat_02!G112</f>
        <v>0</v>
      </c>
      <c r="J113" s="264" t="str">
        <f>IF(Dat_02!H112=0,"",Dat_02!H112)</f>
        <v/>
      </c>
    </row>
    <row r="114" spans="2:10">
      <c r="B114" s="248"/>
      <c r="C114" s="249" t="s">
        <v>264</v>
      </c>
      <c r="D114" s="248"/>
      <c r="E114" s="251">
        <f>Dat_02!C113</f>
        <v>106.5020102428887</v>
      </c>
      <c r="F114" s="251">
        <f>Dat_02!D113</f>
        <v>123.04180331015149</v>
      </c>
      <c r="G114" s="251">
        <f>Dat_02!E113</f>
        <v>106.5020102428887</v>
      </c>
      <c r="I114" s="252">
        <f>Dat_02!G113</f>
        <v>0</v>
      </c>
      <c r="J114" s="264" t="str">
        <f>IF(Dat_02!H113=0,"",Dat_02!H113)</f>
        <v/>
      </c>
    </row>
    <row r="115" spans="2:10">
      <c r="B115" s="248"/>
      <c r="C115" s="249" t="s">
        <v>265</v>
      </c>
      <c r="D115" s="248"/>
      <c r="E115" s="251">
        <f>Dat_02!C114</f>
        <v>108.2354102428887</v>
      </c>
      <c r="F115" s="251">
        <f>Dat_02!D114</f>
        <v>123.04180331015149</v>
      </c>
      <c r="G115" s="251">
        <f>Dat_02!E114</f>
        <v>108.2354102428887</v>
      </c>
      <c r="I115" s="252">
        <f>Dat_02!G114</f>
        <v>0</v>
      </c>
      <c r="J115" s="264" t="str">
        <f>IF(Dat_02!H114=0,"",Dat_02!H114)</f>
        <v/>
      </c>
    </row>
    <row r="116" spans="2:10">
      <c r="B116" s="248"/>
      <c r="C116" s="249" t="s">
        <v>266</v>
      </c>
      <c r="D116" s="248"/>
      <c r="E116" s="251">
        <f>Dat_02!C115</f>
        <v>96.361410242890557</v>
      </c>
      <c r="F116" s="251">
        <f>Dat_02!D115</f>
        <v>123.04180331015149</v>
      </c>
      <c r="G116" s="251">
        <f>Dat_02!E115</f>
        <v>96.361410242890557</v>
      </c>
      <c r="I116" s="252">
        <f>Dat_02!G115</f>
        <v>0</v>
      </c>
      <c r="J116" s="264" t="str">
        <f>IF(Dat_02!H115=0,"",Dat_02!H115)</f>
        <v/>
      </c>
    </row>
    <row r="117" spans="2:10">
      <c r="B117" s="248"/>
      <c r="C117" s="249" t="s">
        <v>267</v>
      </c>
      <c r="D117" s="248"/>
      <c r="E117" s="251">
        <f>Dat_02!C116</f>
        <v>87.22831024288871</v>
      </c>
      <c r="F117" s="251">
        <f>Dat_02!D116</f>
        <v>123.04180331015149</v>
      </c>
      <c r="G117" s="251">
        <f>Dat_02!E116</f>
        <v>87.22831024288871</v>
      </c>
      <c r="I117" s="252">
        <f>Dat_02!G116</f>
        <v>0</v>
      </c>
      <c r="J117" s="264" t="str">
        <f>IF(Dat_02!H116=0,"",Dat_02!H116)</f>
        <v/>
      </c>
    </row>
    <row r="118" spans="2:10">
      <c r="B118" s="248"/>
      <c r="C118" s="249" t="s">
        <v>268</v>
      </c>
      <c r="D118" s="248"/>
      <c r="E118" s="251">
        <f>Dat_02!C117</f>
        <v>70.260710242890568</v>
      </c>
      <c r="F118" s="251">
        <f>Dat_02!D117</f>
        <v>123.04180331015149</v>
      </c>
      <c r="G118" s="251">
        <f>Dat_02!E117</f>
        <v>70.260710242890568</v>
      </c>
      <c r="I118" s="252">
        <f>Dat_02!G117</f>
        <v>0</v>
      </c>
      <c r="J118" s="264" t="str">
        <f>IF(Dat_02!H117=0,"",Dat_02!H117)</f>
        <v/>
      </c>
    </row>
    <row r="119" spans="2:10">
      <c r="B119" s="248"/>
      <c r="C119" s="249" t="s">
        <v>269</v>
      </c>
      <c r="D119" s="248"/>
      <c r="E119" s="251">
        <f>Dat_02!C118</f>
        <v>100.42171024288871</v>
      </c>
      <c r="F119" s="251">
        <f>Dat_02!D118</f>
        <v>123.04180331015149</v>
      </c>
      <c r="G119" s="251">
        <f>Dat_02!E118</f>
        <v>100.42171024288871</v>
      </c>
      <c r="I119" s="252">
        <f>Dat_02!G118</f>
        <v>0</v>
      </c>
      <c r="J119" s="264" t="str">
        <f>IF(Dat_02!H118=0,"",Dat_02!H118)</f>
        <v/>
      </c>
    </row>
    <row r="120" spans="2:10">
      <c r="B120" s="248"/>
      <c r="C120" s="249" t="s">
        <v>270</v>
      </c>
      <c r="D120" s="248"/>
      <c r="E120" s="251">
        <f>Dat_02!C119</f>
        <v>64.319710242890565</v>
      </c>
      <c r="F120" s="251">
        <f>Dat_02!D119</f>
        <v>123.04180331015149</v>
      </c>
      <c r="G120" s="251">
        <f>Dat_02!E119</f>
        <v>64.319710242890565</v>
      </c>
      <c r="I120" s="252">
        <f>Dat_02!G119</f>
        <v>0</v>
      </c>
      <c r="J120" s="264" t="str">
        <f>IF(Dat_02!H119=0,"",Dat_02!H119)</f>
        <v/>
      </c>
    </row>
    <row r="121" spans="2:10">
      <c r="B121" s="248"/>
      <c r="C121" s="249" t="s">
        <v>271</v>
      </c>
      <c r="D121" s="248"/>
      <c r="E121" s="251">
        <f>Dat_02!C120</f>
        <v>73.959059217030187</v>
      </c>
      <c r="F121" s="251">
        <f>Dat_02!D120</f>
        <v>123.04180331015149</v>
      </c>
      <c r="G121" s="251">
        <f>Dat_02!E120</f>
        <v>73.959059217030187</v>
      </c>
      <c r="I121" s="252">
        <f>Dat_02!G120</f>
        <v>0</v>
      </c>
      <c r="J121" s="264" t="str">
        <f>IF(Dat_02!H120=0,"",Dat_02!H120)</f>
        <v/>
      </c>
    </row>
    <row r="122" spans="2:10">
      <c r="B122" s="248"/>
      <c r="C122" s="249" t="s">
        <v>272</v>
      </c>
      <c r="D122" s="248"/>
      <c r="E122" s="251">
        <f>Dat_02!C121</f>
        <v>62.859059217033909</v>
      </c>
      <c r="F122" s="251">
        <f>Dat_02!D121</f>
        <v>123.04180331015149</v>
      </c>
      <c r="G122" s="251">
        <f>Dat_02!E121</f>
        <v>62.859059217033909</v>
      </c>
      <c r="I122" s="252">
        <f>Dat_02!G121</f>
        <v>0</v>
      </c>
      <c r="J122" s="264" t="str">
        <f>IF(Dat_02!H121=0,"",Dat_02!H121)</f>
        <v/>
      </c>
    </row>
    <row r="123" spans="2:10">
      <c r="B123" s="248"/>
      <c r="C123" s="249" t="s">
        <v>273</v>
      </c>
      <c r="D123" s="248"/>
      <c r="E123" s="251">
        <f>Dat_02!C122</f>
        <v>77.919359217033914</v>
      </c>
      <c r="F123" s="251">
        <f>Dat_02!D122</f>
        <v>123.04180331015149</v>
      </c>
      <c r="G123" s="251">
        <f>Dat_02!E122</f>
        <v>77.919359217033914</v>
      </c>
      <c r="I123" s="252">
        <f>Dat_02!G122</f>
        <v>0</v>
      </c>
      <c r="J123" s="264" t="str">
        <f>IF(Dat_02!H122=0,"",Dat_02!H122)</f>
        <v/>
      </c>
    </row>
    <row r="124" spans="2:10">
      <c r="B124" s="248"/>
      <c r="C124" s="249" t="s">
        <v>274</v>
      </c>
      <c r="D124" s="248"/>
      <c r="E124" s="251">
        <f>Dat_02!C123</f>
        <v>37.53485921703205</v>
      </c>
      <c r="F124" s="251">
        <f>Dat_02!D123</f>
        <v>123.04180331015149</v>
      </c>
      <c r="G124" s="251">
        <f>Dat_02!E123</f>
        <v>37.53485921703205</v>
      </c>
      <c r="I124" s="252">
        <f>Dat_02!G123</f>
        <v>0</v>
      </c>
      <c r="J124" s="264" t="str">
        <f>IF(Dat_02!H123=0,"",Dat_02!H123)</f>
        <v/>
      </c>
    </row>
    <row r="125" spans="2:10">
      <c r="B125" s="250"/>
      <c r="C125" s="255" t="s">
        <v>275</v>
      </c>
      <c r="D125" s="248"/>
      <c r="E125" s="251">
        <f>Dat_02!C124</f>
        <v>43.078659217033909</v>
      </c>
      <c r="F125" s="251">
        <f>Dat_02!D124</f>
        <v>132.5377482022528</v>
      </c>
      <c r="G125" s="251">
        <f>Dat_02!E124</f>
        <v>43.078659217033909</v>
      </c>
      <c r="I125" s="252">
        <f>Dat_02!G124</f>
        <v>0</v>
      </c>
      <c r="J125" s="264" t="str">
        <f>IF(Dat_02!H124=0,"",Dat_02!H124)</f>
        <v/>
      </c>
    </row>
    <row r="126" spans="2:10">
      <c r="B126" s="248" t="s">
        <v>276</v>
      </c>
      <c r="C126" s="249" t="s">
        <v>277</v>
      </c>
      <c r="D126" s="250"/>
      <c r="E126" s="251">
        <f>Dat_02!C125</f>
        <v>76.267359217032052</v>
      </c>
      <c r="F126" s="251">
        <f>Dat_02!D125</f>
        <v>132.5377482022528</v>
      </c>
      <c r="G126" s="251">
        <f>Dat_02!E125</f>
        <v>76.267359217032052</v>
      </c>
      <c r="I126" s="252">
        <f>Dat_02!G125</f>
        <v>0</v>
      </c>
      <c r="J126" s="264" t="str">
        <f>IF(Dat_02!H125=0,"",Dat_02!H125)</f>
        <v/>
      </c>
    </row>
    <row r="127" spans="2:10">
      <c r="B127" s="250"/>
      <c r="C127" s="249" t="s">
        <v>278</v>
      </c>
      <c r="D127" s="250"/>
      <c r="E127" s="251">
        <f>Dat_02!C126</f>
        <v>77.871559217033905</v>
      </c>
      <c r="F127" s="251">
        <f>Dat_02!D126</f>
        <v>132.5377482022528</v>
      </c>
      <c r="G127" s="251">
        <f>Dat_02!E126</f>
        <v>77.871559217033905</v>
      </c>
      <c r="I127" s="252">
        <f>Dat_02!G126</f>
        <v>0</v>
      </c>
      <c r="J127" s="264" t="str">
        <f>IF(Dat_02!H126=0,"",Dat_02!H126)</f>
        <v/>
      </c>
    </row>
    <row r="128" spans="2:10">
      <c r="B128" s="248"/>
      <c r="C128" s="249" t="s">
        <v>279</v>
      </c>
      <c r="D128" s="250"/>
      <c r="E128" s="251">
        <f>Dat_02!C127</f>
        <v>163.08137888084127</v>
      </c>
      <c r="F128" s="251">
        <f>Dat_02!D127</f>
        <v>132.5377482022528</v>
      </c>
      <c r="G128" s="251">
        <f>Dat_02!E127</f>
        <v>132.5377482022528</v>
      </c>
      <c r="I128" s="252">
        <f>Dat_02!G127</f>
        <v>0</v>
      </c>
      <c r="J128" s="264" t="str">
        <f>IF(Dat_02!H127=0,"",Dat_02!H127)</f>
        <v/>
      </c>
    </row>
    <row r="129" spans="2:10">
      <c r="B129" s="248"/>
      <c r="C129" s="249" t="s">
        <v>280</v>
      </c>
      <c r="D129" s="248"/>
      <c r="E129" s="251">
        <f>Dat_02!C128</f>
        <v>152.79087888084314</v>
      </c>
      <c r="F129" s="251">
        <f>Dat_02!D128</f>
        <v>132.5377482022528</v>
      </c>
      <c r="G129" s="251">
        <f>Dat_02!E128</f>
        <v>132.5377482022528</v>
      </c>
      <c r="I129" s="252">
        <f>Dat_02!G128</f>
        <v>0</v>
      </c>
      <c r="J129" s="264" t="str">
        <f>IF(Dat_02!H128=0,"",Dat_02!H128)</f>
        <v/>
      </c>
    </row>
    <row r="130" spans="2:10">
      <c r="B130" s="248"/>
      <c r="C130" s="249" t="s">
        <v>281</v>
      </c>
      <c r="D130" s="248"/>
      <c r="E130" s="251">
        <f>Dat_02!C129</f>
        <v>160.08117888083945</v>
      </c>
      <c r="F130" s="251">
        <f>Dat_02!D129</f>
        <v>132.5377482022528</v>
      </c>
      <c r="G130" s="251">
        <f>Dat_02!E129</f>
        <v>132.5377482022528</v>
      </c>
      <c r="I130" s="252">
        <f>Dat_02!G129</f>
        <v>0</v>
      </c>
      <c r="J130" s="264" t="str">
        <f>IF(Dat_02!H129=0,"",Dat_02!H129)</f>
        <v/>
      </c>
    </row>
    <row r="131" spans="2:10">
      <c r="B131" s="248"/>
      <c r="C131" s="249" t="s">
        <v>282</v>
      </c>
      <c r="D131" s="248"/>
      <c r="E131" s="251">
        <f>Dat_02!C130</f>
        <v>163.19277888084315</v>
      </c>
      <c r="F131" s="251">
        <f>Dat_02!D130</f>
        <v>132.5377482022528</v>
      </c>
      <c r="G131" s="251">
        <f>Dat_02!E130</f>
        <v>132.5377482022528</v>
      </c>
      <c r="I131" s="252">
        <f>Dat_02!G130</f>
        <v>0</v>
      </c>
      <c r="J131" s="264" t="str">
        <f>IF(Dat_02!H130=0,"",Dat_02!H130)</f>
        <v/>
      </c>
    </row>
    <row r="132" spans="2:10">
      <c r="B132" s="248"/>
      <c r="C132" s="249" t="s">
        <v>283</v>
      </c>
      <c r="D132" s="248"/>
      <c r="E132" s="251">
        <f>Dat_02!C131</f>
        <v>160.10027888084127</v>
      </c>
      <c r="F132" s="251">
        <f>Dat_02!D131</f>
        <v>132.5377482022528</v>
      </c>
      <c r="G132" s="251">
        <f>Dat_02!E131</f>
        <v>132.5377482022528</v>
      </c>
      <c r="I132" s="252">
        <f>Dat_02!G131</f>
        <v>0</v>
      </c>
      <c r="J132" s="264" t="str">
        <f>IF(Dat_02!H131=0,"",Dat_02!H131)</f>
        <v/>
      </c>
    </row>
    <row r="133" spans="2:10">
      <c r="B133" s="248"/>
      <c r="C133" s="249" t="s">
        <v>284</v>
      </c>
      <c r="D133" s="248"/>
      <c r="E133" s="251">
        <f>Dat_02!C132</f>
        <v>178.97097888083943</v>
      </c>
      <c r="F133" s="251">
        <f>Dat_02!D132</f>
        <v>132.5377482022528</v>
      </c>
      <c r="G133" s="251">
        <f>Dat_02!E132</f>
        <v>132.5377482022528</v>
      </c>
      <c r="I133" s="252">
        <f>Dat_02!G132</f>
        <v>0</v>
      </c>
      <c r="J133" s="264" t="str">
        <f>IF(Dat_02!H132=0,"",Dat_02!H132)</f>
        <v/>
      </c>
    </row>
    <row r="134" spans="2:10">
      <c r="B134" s="248"/>
      <c r="C134" s="249" t="s">
        <v>285</v>
      </c>
      <c r="D134" s="248"/>
      <c r="E134" s="251">
        <f>Dat_02!C133</f>
        <v>190.54627888084315</v>
      </c>
      <c r="F134" s="251">
        <f>Dat_02!D133</f>
        <v>132.5377482022528</v>
      </c>
      <c r="G134" s="251">
        <f>Dat_02!E133</f>
        <v>132.5377482022528</v>
      </c>
      <c r="I134" s="252">
        <f>Dat_02!G133</f>
        <v>0</v>
      </c>
      <c r="J134" s="264" t="str">
        <f>IF(Dat_02!H133=0,"",Dat_02!H133)</f>
        <v/>
      </c>
    </row>
    <row r="135" spans="2:10">
      <c r="B135" s="248"/>
      <c r="C135" s="249" t="s">
        <v>286</v>
      </c>
      <c r="D135" s="248"/>
      <c r="E135" s="251">
        <f>Dat_02!C134</f>
        <v>136.73492045660987</v>
      </c>
      <c r="F135" s="251">
        <f>Dat_02!D134</f>
        <v>132.5377482022528</v>
      </c>
      <c r="G135" s="251">
        <f>Dat_02!E134</f>
        <v>132.5377482022528</v>
      </c>
      <c r="I135" s="252">
        <f>Dat_02!G134</f>
        <v>0</v>
      </c>
      <c r="J135" s="264" t="str">
        <f>IF(Dat_02!H134=0,"",Dat_02!H134)</f>
        <v/>
      </c>
    </row>
    <row r="136" spans="2:10">
      <c r="B136" s="248"/>
      <c r="C136" s="249" t="s">
        <v>287</v>
      </c>
      <c r="D136" s="248"/>
      <c r="E136" s="251">
        <f>Dat_02!C135</f>
        <v>137.07152045660987</v>
      </c>
      <c r="F136" s="251">
        <f>Dat_02!D135</f>
        <v>132.5377482022528</v>
      </c>
      <c r="G136" s="251">
        <f>Dat_02!E135</f>
        <v>132.5377482022528</v>
      </c>
      <c r="I136" s="252">
        <f>Dat_02!G135</f>
        <v>0</v>
      </c>
      <c r="J136" s="264" t="str">
        <f>IF(Dat_02!H135=0,"",Dat_02!H135)</f>
        <v/>
      </c>
    </row>
    <row r="137" spans="2:10">
      <c r="B137" s="248"/>
      <c r="C137" s="249" t="s">
        <v>288</v>
      </c>
      <c r="D137" s="248"/>
      <c r="E137" s="251">
        <f>Dat_02!C136</f>
        <v>118.60192045660988</v>
      </c>
      <c r="F137" s="251">
        <f>Dat_02!D136</f>
        <v>132.5377482022528</v>
      </c>
      <c r="G137" s="251">
        <f>Dat_02!E136</f>
        <v>118.60192045660988</v>
      </c>
      <c r="I137" s="252">
        <f>Dat_02!G136</f>
        <v>0</v>
      </c>
      <c r="J137" s="264" t="str">
        <f>IF(Dat_02!H136=0,"",Dat_02!H136)</f>
        <v/>
      </c>
    </row>
    <row r="138" spans="2:10">
      <c r="B138" s="248"/>
      <c r="C138" s="249" t="s">
        <v>289</v>
      </c>
      <c r="D138" s="248"/>
      <c r="E138" s="251">
        <f>Dat_02!C137</f>
        <v>117.30392045660801</v>
      </c>
      <c r="F138" s="251">
        <f>Dat_02!D137</f>
        <v>132.5377482022528</v>
      </c>
      <c r="G138" s="251">
        <f>Dat_02!E137</f>
        <v>117.30392045660801</v>
      </c>
      <c r="I138" s="252">
        <f>Dat_02!G137</f>
        <v>0</v>
      </c>
      <c r="J138" s="264" t="str">
        <f>IF(Dat_02!H137=0,"",Dat_02!H137)</f>
        <v/>
      </c>
    </row>
    <row r="139" spans="2:10">
      <c r="B139" s="248"/>
      <c r="C139" s="249" t="s">
        <v>290</v>
      </c>
      <c r="D139" s="248"/>
      <c r="E139" s="251">
        <f>Dat_02!C138</f>
        <v>86.369520456609862</v>
      </c>
      <c r="F139" s="251">
        <f>Dat_02!D138</f>
        <v>132.5377482022528</v>
      </c>
      <c r="G139" s="251">
        <f>Dat_02!E138</f>
        <v>86.369520456609862</v>
      </c>
      <c r="I139" s="252">
        <f>Dat_02!G138</f>
        <v>132.5377482022528</v>
      </c>
      <c r="J139" s="264" t="str">
        <f>IF(Dat_02!H138=0,"",Dat_02!H138)</f>
        <v/>
      </c>
    </row>
    <row r="140" spans="2:10">
      <c r="B140" s="248"/>
      <c r="C140" s="249" t="s">
        <v>291</v>
      </c>
      <c r="D140" s="248"/>
      <c r="E140" s="251">
        <f>Dat_02!C139</f>
        <v>108.84542045660987</v>
      </c>
      <c r="F140" s="251">
        <f>Dat_02!D139</f>
        <v>132.5377482022528</v>
      </c>
      <c r="G140" s="251">
        <f>Dat_02!E139</f>
        <v>108.84542045660987</v>
      </c>
      <c r="I140" s="252">
        <f>Dat_02!G139</f>
        <v>0</v>
      </c>
      <c r="J140" s="264" t="str">
        <f>IF(Dat_02!H139=0,"",Dat_02!H139)</f>
        <v/>
      </c>
    </row>
    <row r="141" spans="2:10">
      <c r="B141" s="248"/>
      <c r="C141" s="249" t="s">
        <v>292</v>
      </c>
      <c r="D141" s="248"/>
      <c r="E141" s="251">
        <f>Dat_02!C140</f>
        <v>108.86742045660802</v>
      </c>
      <c r="F141" s="251">
        <f>Dat_02!D140</f>
        <v>132.5377482022528</v>
      </c>
      <c r="G141" s="251">
        <f>Dat_02!E140</f>
        <v>108.86742045660802</v>
      </c>
      <c r="I141" s="252">
        <f>Dat_02!G140</f>
        <v>0</v>
      </c>
      <c r="J141" s="264" t="str">
        <f>IF(Dat_02!H140=0,"",Dat_02!H140)</f>
        <v/>
      </c>
    </row>
    <row r="142" spans="2:10">
      <c r="B142" s="248"/>
      <c r="C142" s="249" t="s">
        <v>293</v>
      </c>
      <c r="D142" s="248"/>
      <c r="E142" s="251">
        <f>Dat_02!C141</f>
        <v>170.3784249703441</v>
      </c>
      <c r="F142" s="251">
        <f>Dat_02!D141</f>
        <v>132.5377482022528</v>
      </c>
      <c r="G142" s="251">
        <f>Dat_02!E141</f>
        <v>132.5377482022528</v>
      </c>
      <c r="I142" s="252">
        <f>Dat_02!G141</f>
        <v>0</v>
      </c>
      <c r="J142" s="264" t="str">
        <f>IF(Dat_02!H141=0,"",Dat_02!H141)</f>
        <v/>
      </c>
    </row>
    <row r="143" spans="2:10">
      <c r="B143" s="248"/>
      <c r="C143" s="249" t="s">
        <v>294</v>
      </c>
      <c r="D143" s="248"/>
      <c r="E143" s="251">
        <f>Dat_02!C142</f>
        <v>160.06522497034595</v>
      </c>
      <c r="F143" s="251">
        <f>Dat_02!D142</f>
        <v>132.5377482022528</v>
      </c>
      <c r="G143" s="251">
        <f>Dat_02!E142</f>
        <v>132.5377482022528</v>
      </c>
      <c r="I143" s="252">
        <f>Dat_02!G142</f>
        <v>0</v>
      </c>
      <c r="J143" s="264" t="str">
        <f>IF(Dat_02!H142=0,"",Dat_02!H142)</f>
        <v/>
      </c>
    </row>
    <row r="144" spans="2:10">
      <c r="B144" s="248"/>
      <c r="C144" s="249" t="s">
        <v>295</v>
      </c>
      <c r="D144" s="248"/>
      <c r="E144" s="251">
        <f>Dat_02!C143</f>
        <v>155.51932497034221</v>
      </c>
      <c r="F144" s="251">
        <f>Dat_02!D143</f>
        <v>132.5377482022528</v>
      </c>
      <c r="G144" s="251">
        <f>Dat_02!E143</f>
        <v>132.5377482022528</v>
      </c>
      <c r="I144" s="252">
        <f>Dat_02!G143</f>
        <v>0</v>
      </c>
      <c r="J144" s="264" t="str">
        <f>IF(Dat_02!H143=0,"",Dat_02!H143)</f>
        <v/>
      </c>
    </row>
    <row r="145" spans="2:10">
      <c r="B145" s="248"/>
      <c r="C145" s="249" t="s">
        <v>296</v>
      </c>
      <c r="D145" s="248"/>
      <c r="E145" s="251">
        <f>Dat_02!C144</f>
        <v>145.0455249703441</v>
      </c>
      <c r="F145" s="251">
        <f>Dat_02!D144</f>
        <v>132.5377482022528</v>
      </c>
      <c r="G145" s="251">
        <f>Dat_02!E144</f>
        <v>132.5377482022528</v>
      </c>
      <c r="I145" s="252">
        <f>Dat_02!G144</f>
        <v>0</v>
      </c>
      <c r="J145" s="264" t="str">
        <f>IF(Dat_02!H144=0,"",Dat_02!H144)</f>
        <v/>
      </c>
    </row>
    <row r="146" spans="2:10">
      <c r="B146" s="248"/>
      <c r="C146" s="249" t="s">
        <v>297</v>
      </c>
      <c r="D146" s="248"/>
      <c r="E146" s="251">
        <f>Dat_02!C145</f>
        <v>137.97682497034407</v>
      </c>
      <c r="F146" s="251">
        <f>Dat_02!D145</f>
        <v>132.5377482022528</v>
      </c>
      <c r="G146" s="251">
        <f>Dat_02!E145</f>
        <v>132.5377482022528</v>
      </c>
      <c r="I146" s="252">
        <f>Dat_02!G145</f>
        <v>0</v>
      </c>
      <c r="J146" s="264" t="str">
        <f>IF(Dat_02!H145=0,"",Dat_02!H145)</f>
        <v/>
      </c>
    </row>
    <row r="147" spans="2:10">
      <c r="B147" s="248"/>
      <c r="C147" s="249" t="s">
        <v>298</v>
      </c>
      <c r="D147" s="248"/>
      <c r="E147" s="251">
        <f>Dat_02!C146</f>
        <v>145.83512497034593</v>
      </c>
      <c r="F147" s="251">
        <f>Dat_02!D146</f>
        <v>132.5377482022528</v>
      </c>
      <c r="G147" s="251">
        <f>Dat_02!E146</f>
        <v>132.5377482022528</v>
      </c>
      <c r="I147" s="252">
        <f>Dat_02!G146</f>
        <v>0</v>
      </c>
      <c r="J147" s="264" t="str">
        <f>IF(Dat_02!H146=0,"",Dat_02!H146)</f>
        <v/>
      </c>
    </row>
    <row r="148" spans="2:10">
      <c r="B148" s="248"/>
      <c r="C148" s="249" t="s">
        <v>299</v>
      </c>
      <c r="D148" s="248"/>
      <c r="E148" s="251">
        <f>Dat_02!C147</f>
        <v>140.25812497034221</v>
      </c>
      <c r="F148" s="251">
        <f>Dat_02!D147</f>
        <v>132.5377482022528</v>
      </c>
      <c r="G148" s="251">
        <f>Dat_02!E147</f>
        <v>132.5377482022528</v>
      </c>
      <c r="I148" s="252">
        <f>Dat_02!G147</f>
        <v>0</v>
      </c>
      <c r="J148" s="264" t="str">
        <f>IF(Dat_02!H147=0,"",Dat_02!H147)</f>
        <v/>
      </c>
    </row>
    <row r="149" spans="2:10">
      <c r="B149" s="248"/>
      <c r="C149" s="249" t="s">
        <v>300</v>
      </c>
      <c r="D149" s="248"/>
      <c r="E149" s="251">
        <f>Dat_02!C148</f>
        <v>113.15580534969642</v>
      </c>
      <c r="F149" s="251">
        <f>Dat_02!D148</f>
        <v>132.5377482022528</v>
      </c>
      <c r="G149" s="251">
        <f>Dat_02!E148</f>
        <v>113.15580534969642</v>
      </c>
      <c r="I149" s="252">
        <f>Dat_02!G148</f>
        <v>0</v>
      </c>
      <c r="J149" s="264" t="str">
        <f>IF(Dat_02!H148=0,"",Dat_02!H148)</f>
        <v/>
      </c>
    </row>
    <row r="150" spans="2:10">
      <c r="B150" s="248"/>
      <c r="C150" s="249" t="s">
        <v>301</v>
      </c>
      <c r="D150" s="248"/>
      <c r="E150" s="251">
        <f>Dat_02!C149</f>
        <v>71.520605349694563</v>
      </c>
      <c r="F150" s="251">
        <f>Dat_02!D149</f>
        <v>132.5377482022528</v>
      </c>
      <c r="G150" s="251">
        <f>Dat_02!E149</f>
        <v>71.520605349694563</v>
      </c>
      <c r="I150" s="252">
        <f>Dat_02!G149</f>
        <v>0</v>
      </c>
      <c r="J150" s="264" t="str">
        <f>IF(Dat_02!H149=0,"",Dat_02!H149)</f>
        <v/>
      </c>
    </row>
    <row r="151" spans="2:10">
      <c r="B151" s="248"/>
      <c r="C151" s="249" t="s">
        <v>302</v>
      </c>
      <c r="D151" s="248"/>
      <c r="E151" s="251">
        <f>Dat_02!C150</f>
        <v>92.584205349694557</v>
      </c>
      <c r="F151" s="251">
        <f>Dat_02!D150</f>
        <v>132.5377482022528</v>
      </c>
      <c r="G151" s="251">
        <f>Dat_02!E150</f>
        <v>92.584205349694557</v>
      </c>
      <c r="I151" s="252">
        <f>Dat_02!G150</f>
        <v>0</v>
      </c>
      <c r="J151" s="264" t="str">
        <f>IF(Dat_02!H150=0,"",Dat_02!H150)</f>
        <v/>
      </c>
    </row>
    <row r="152" spans="2:10">
      <c r="B152" s="248"/>
      <c r="C152" s="249" t="s">
        <v>303</v>
      </c>
      <c r="D152" s="248"/>
      <c r="E152" s="251">
        <f>Dat_02!C151</f>
        <v>92.001505349692692</v>
      </c>
      <c r="F152" s="251">
        <f>Dat_02!D151</f>
        <v>132.5377482022528</v>
      </c>
      <c r="G152" s="251">
        <f>Dat_02!E151</f>
        <v>92.001505349692692</v>
      </c>
      <c r="I152" s="252">
        <f>Dat_02!G151</f>
        <v>0</v>
      </c>
      <c r="J152" s="264" t="str">
        <f>IF(Dat_02!H151=0,"",Dat_02!H151)</f>
        <v/>
      </c>
    </row>
    <row r="153" spans="2:10">
      <c r="B153" s="248"/>
      <c r="C153" s="249" t="s">
        <v>304</v>
      </c>
      <c r="D153" s="248"/>
      <c r="E153" s="251">
        <f>Dat_02!C152</f>
        <v>39.350705349696426</v>
      </c>
      <c r="F153" s="251">
        <f>Dat_02!D152</f>
        <v>132.5377482022528</v>
      </c>
      <c r="G153" s="251">
        <f>Dat_02!E152</f>
        <v>39.350705349696426</v>
      </c>
      <c r="I153" s="252">
        <f>Dat_02!G152</f>
        <v>0</v>
      </c>
      <c r="J153" s="264" t="str">
        <f>IF(Dat_02!H152=0,"",Dat_02!H152)</f>
        <v/>
      </c>
    </row>
    <row r="154" spans="2:10">
      <c r="B154" s="248"/>
      <c r="C154" s="249" t="s">
        <v>305</v>
      </c>
      <c r="D154" s="248"/>
      <c r="E154" s="251">
        <f>Dat_02!C153</f>
        <v>46.330505349694562</v>
      </c>
      <c r="F154" s="251">
        <f>Dat_02!D153</f>
        <v>132.5377482022528</v>
      </c>
      <c r="G154" s="251">
        <f>Dat_02!E153</f>
        <v>46.330505349694562</v>
      </c>
      <c r="I154" s="252">
        <f>Dat_02!G153</f>
        <v>0</v>
      </c>
      <c r="J154" s="264" t="str">
        <f>IF(Dat_02!H153=0,"",Dat_02!H153)</f>
        <v/>
      </c>
    </row>
    <row r="155" spans="2:10">
      <c r="B155" s="248"/>
      <c r="C155" s="249" t="s">
        <v>306</v>
      </c>
      <c r="D155" s="248"/>
      <c r="E155" s="251">
        <f>Dat_02!C154</f>
        <v>51.606705349692703</v>
      </c>
      <c r="F155" s="251">
        <f>Dat_02!D154</f>
        <v>132.5377482022528</v>
      </c>
      <c r="G155" s="251">
        <f>Dat_02!E154</f>
        <v>51.606705349692703</v>
      </c>
      <c r="I155" s="252">
        <f>Dat_02!G154</f>
        <v>0</v>
      </c>
      <c r="J155" s="264" t="str">
        <f>IF(Dat_02!H154=0,"",Dat_02!H154)</f>
        <v/>
      </c>
    </row>
    <row r="156" spans="2:10">
      <c r="B156" s="250"/>
      <c r="C156" s="255" t="s">
        <v>307</v>
      </c>
      <c r="D156" s="250"/>
      <c r="E156" s="251">
        <f>Dat_02!C155</f>
        <v>134.40447783593535</v>
      </c>
      <c r="F156" s="251">
        <f>Dat_02!D155</f>
        <v>129.30997561700028</v>
      </c>
      <c r="G156" s="251">
        <f>Dat_02!E155</f>
        <v>129.30997561700028</v>
      </c>
      <c r="I156" s="252">
        <f>Dat_02!G155</f>
        <v>0</v>
      </c>
      <c r="J156" s="264" t="str">
        <f>IF(Dat_02!H155=0,"",Dat_02!H155)</f>
        <v/>
      </c>
    </row>
    <row r="157" spans="2:10">
      <c r="B157" s="248" t="s">
        <v>308</v>
      </c>
      <c r="C157" s="249" t="s">
        <v>309</v>
      </c>
      <c r="D157" s="250"/>
      <c r="E157" s="251">
        <f>Dat_02!C156</f>
        <v>122.02307783593349</v>
      </c>
      <c r="F157" s="251">
        <f>Dat_02!D156</f>
        <v>129.30997561700028</v>
      </c>
      <c r="G157" s="251">
        <f>Dat_02!E156</f>
        <v>122.02307783593349</v>
      </c>
      <c r="I157" s="252">
        <f>Dat_02!G156</f>
        <v>0</v>
      </c>
      <c r="J157" s="264" t="str">
        <f>IF(Dat_02!H156=0,"",Dat_02!H156)</f>
        <v/>
      </c>
    </row>
    <row r="158" spans="2:10">
      <c r="B158" s="250"/>
      <c r="C158" s="249" t="s">
        <v>310</v>
      </c>
      <c r="D158" s="250"/>
      <c r="E158" s="251">
        <f>Dat_02!C157</f>
        <v>126.27587783593164</v>
      </c>
      <c r="F158" s="251">
        <f>Dat_02!D157</f>
        <v>129.30997561700028</v>
      </c>
      <c r="G158" s="251">
        <f>Dat_02!E157</f>
        <v>126.27587783593164</v>
      </c>
      <c r="I158" s="252">
        <f>Dat_02!G157</f>
        <v>0</v>
      </c>
      <c r="J158" s="264" t="str">
        <f>IF(Dat_02!H157=0,"",Dat_02!H157)</f>
        <v/>
      </c>
    </row>
    <row r="159" spans="2:10">
      <c r="B159" s="248"/>
      <c r="C159" s="249" t="s">
        <v>311</v>
      </c>
      <c r="D159" s="248"/>
      <c r="E159" s="251">
        <f>Dat_02!C158</f>
        <v>94.506777835935353</v>
      </c>
      <c r="F159" s="251">
        <f>Dat_02!D158</f>
        <v>129.30997561700028</v>
      </c>
      <c r="G159" s="251">
        <f>Dat_02!E158</f>
        <v>94.506777835935353</v>
      </c>
      <c r="I159" s="252">
        <f>Dat_02!G158</f>
        <v>0</v>
      </c>
      <c r="J159" s="264" t="str">
        <f>IF(Dat_02!H158=0,"",Dat_02!H158)</f>
        <v/>
      </c>
    </row>
    <row r="160" spans="2:10">
      <c r="B160" s="248"/>
      <c r="C160" s="249" t="s">
        <v>312</v>
      </c>
      <c r="D160" s="248"/>
      <c r="E160" s="251">
        <f>Dat_02!C159</f>
        <v>96.542077835933497</v>
      </c>
      <c r="F160" s="251">
        <f>Dat_02!D159</f>
        <v>129.30997561700028</v>
      </c>
      <c r="G160" s="251">
        <f>Dat_02!E159</f>
        <v>96.542077835933497</v>
      </c>
      <c r="I160" s="252">
        <f>Dat_02!G159</f>
        <v>0</v>
      </c>
      <c r="J160" s="264" t="str">
        <f>IF(Dat_02!H159=0,"",Dat_02!H159)</f>
        <v/>
      </c>
    </row>
    <row r="161" spans="2:10">
      <c r="B161" s="248"/>
      <c r="C161" s="249" t="s">
        <v>313</v>
      </c>
      <c r="D161" s="248"/>
      <c r="E161" s="251">
        <f>Dat_02!C160</f>
        <v>126.34327783593535</v>
      </c>
      <c r="F161" s="251">
        <f>Dat_02!D160</f>
        <v>129.30997561700028</v>
      </c>
      <c r="G161" s="251">
        <f>Dat_02!E160</f>
        <v>126.34327783593535</v>
      </c>
      <c r="I161" s="252">
        <f>Dat_02!G160</f>
        <v>0</v>
      </c>
      <c r="J161" s="264" t="str">
        <f>IF(Dat_02!H160=0,"",Dat_02!H160)</f>
        <v/>
      </c>
    </row>
    <row r="162" spans="2:10">
      <c r="B162" s="248"/>
      <c r="C162" s="249" t="s">
        <v>314</v>
      </c>
      <c r="D162" s="248"/>
      <c r="E162" s="251">
        <f>Dat_02!C161</f>
        <v>128.90007783592978</v>
      </c>
      <c r="F162" s="251">
        <f>Dat_02!D161</f>
        <v>129.30997561700028</v>
      </c>
      <c r="G162" s="251">
        <f>Dat_02!E161</f>
        <v>128.90007783592978</v>
      </c>
      <c r="I162" s="252">
        <f>Dat_02!G161</f>
        <v>0</v>
      </c>
      <c r="J162" s="264" t="str">
        <f>IF(Dat_02!H161=0,"",Dat_02!H161)</f>
        <v/>
      </c>
    </row>
    <row r="163" spans="2:10">
      <c r="B163" s="248"/>
      <c r="C163" s="249" t="s">
        <v>315</v>
      </c>
      <c r="D163" s="248"/>
      <c r="E163" s="251">
        <f>Dat_02!C162</f>
        <v>113.33062023510224</v>
      </c>
      <c r="F163" s="251">
        <f>Dat_02!D162</f>
        <v>129.30997561700028</v>
      </c>
      <c r="G163" s="251">
        <f>Dat_02!E162</f>
        <v>113.33062023510224</v>
      </c>
      <c r="I163" s="252">
        <f>Dat_02!G162</f>
        <v>0</v>
      </c>
      <c r="J163" s="264" t="str">
        <f>IF(Dat_02!H162=0,"",Dat_02!H162)</f>
        <v/>
      </c>
    </row>
    <row r="164" spans="2:10">
      <c r="B164" s="248"/>
      <c r="C164" s="249" t="s">
        <v>316</v>
      </c>
      <c r="D164" s="248"/>
      <c r="E164" s="251">
        <f>Dat_02!C163</f>
        <v>102.35942023509853</v>
      </c>
      <c r="F164" s="251">
        <f>Dat_02!D163</f>
        <v>129.30997561700028</v>
      </c>
      <c r="G164" s="251">
        <f>Dat_02!E163</f>
        <v>102.35942023509853</v>
      </c>
      <c r="I164" s="252">
        <f>Dat_02!G163</f>
        <v>0</v>
      </c>
      <c r="J164" s="264" t="str">
        <f>IF(Dat_02!H163=0,"",Dat_02!H163)</f>
        <v/>
      </c>
    </row>
    <row r="165" spans="2:10">
      <c r="B165" s="248"/>
      <c r="C165" s="249" t="s">
        <v>317</v>
      </c>
      <c r="D165" s="248"/>
      <c r="E165" s="251">
        <f>Dat_02!C164</f>
        <v>100.01672023510039</v>
      </c>
      <c r="F165" s="251">
        <f>Dat_02!D164</f>
        <v>129.30997561700028</v>
      </c>
      <c r="G165" s="251">
        <f>Dat_02!E164</f>
        <v>100.01672023510039</v>
      </c>
      <c r="I165" s="252">
        <f>Dat_02!G164</f>
        <v>0</v>
      </c>
      <c r="J165" s="264" t="str">
        <f>IF(Dat_02!H164=0,"",Dat_02!H164)</f>
        <v/>
      </c>
    </row>
    <row r="166" spans="2:10">
      <c r="B166" s="248"/>
      <c r="C166" s="249" t="s">
        <v>318</v>
      </c>
      <c r="D166" s="248"/>
      <c r="E166" s="251">
        <f>Dat_02!C165</f>
        <v>104.57982023510039</v>
      </c>
      <c r="F166" s="251">
        <f>Dat_02!D165</f>
        <v>129.30997561700028</v>
      </c>
      <c r="G166" s="251">
        <f>Dat_02!E165</f>
        <v>104.57982023510039</v>
      </c>
      <c r="I166" s="252">
        <f>Dat_02!G165</f>
        <v>0</v>
      </c>
      <c r="J166" s="264" t="str">
        <f>IF(Dat_02!H165=0,"",Dat_02!H165)</f>
        <v/>
      </c>
    </row>
    <row r="167" spans="2:10">
      <c r="B167" s="248"/>
      <c r="C167" s="249" t="s">
        <v>319</v>
      </c>
      <c r="D167" s="248"/>
      <c r="E167" s="251">
        <f>Dat_02!C166</f>
        <v>94.163720235100399</v>
      </c>
      <c r="F167" s="251">
        <f>Dat_02!D166</f>
        <v>129.30997561700028</v>
      </c>
      <c r="G167" s="251">
        <f>Dat_02!E166</f>
        <v>94.163720235100399</v>
      </c>
      <c r="I167" s="252">
        <f>Dat_02!G166</f>
        <v>0</v>
      </c>
      <c r="J167" s="264" t="str">
        <f>IF(Dat_02!H166=0,"",Dat_02!H166)</f>
        <v/>
      </c>
    </row>
    <row r="168" spans="2:10">
      <c r="B168" s="248"/>
      <c r="C168" s="249" t="s">
        <v>320</v>
      </c>
      <c r="D168" s="248"/>
      <c r="E168" s="251">
        <f>Dat_02!C167</f>
        <v>102.59432023509852</v>
      </c>
      <c r="F168" s="251">
        <f>Dat_02!D167</f>
        <v>129.30997561700028</v>
      </c>
      <c r="G168" s="251">
        <f>Dat_02!E167</f>
        <v>102.59432023509852</v>
      </c>
      <c r="I168" s="252">
        <f>Dat_02!G167</f>
        <v>0</v>
      </c>
      <c r="J168" s="264" t="str">
        <f>IF(Dat_02!H167=0,"",Dat_02!H167)</f>
        <v/>
      </c>
    </row>
    <row r="169" spans="2:10">
      <c r="B169" s="248"/>
      <c r="C169" s="249" t="s">
        <v>321</v>
      </c>
      <c r="D169" s="248"/>
      <c r="E169" s="251">
        <f>Dat_02!C168</f>
        <v>114.42222023509854</v>
      </c>
      <c r="F169" s="251">
        <f>Dat_02!D168</f>
        <v>129.30997561700028</v>
      </c>
      <c r="G169" s="251">
        <f>Dat_02!E168</f>
        <v>114.42222023509854</v>
      </c>
      <c r="I169" s="252">
        <f>Dat_02!G168</f>
        <v>0</v>
      </c>
      <c r="J169" s="264" t="str">
        <f>IF(Dat_02!H168=0,"",Dat_02!H168)</f>
        <v/>
      </c>
    </row>
    <row r="170" spans="2:10">
      <c r="B170" s="248"/>
      <c r="C170" s="249" t="s">
        <v>322</v>
      </c>
      <c r="D170" s="248"/>
      <c r="E170" s="251">
        <f>Dat_02!C169</f>
        <v>158.30298560191989</v>
      </c>
      <c r="F170" s="251">
        <f>Dat_02!D169</f>
        <v>129.30997561700028</v>
      </c>
      <c r="G170" s="251">
        <f>Dat_02!E169</f>
        <v>129.30997561700028</v>
      </c>
      <c r="I170" s="252">
        <f>Dat_02!G169</f>
        <v>129.30997561700028</v>
      </c>
      <c r="J170" s="264" t="str">
        <f>IF(Dat_02!H169=0,"",Dat_02!H169)</f>
        <v/>
      </c>
    </row>
    <row r="171" spans="2:10">
      <c r="B171" s="248"/>
      <c r="C171" s="249" t="s">
        <v>323</v>
      </c>
      <c r="D171" s="248"/>
      <c r="E171" s="251">
        <f>Dat_02!C170</f>
        <v>162.35648560191242</v>
      </c>
      <c r="F171" s="251">
        <f>Dat_02!D170</f>
        <v>129.30997561700028</v>
      </c>
      <c r="G171" s="251">
        <f>Dat_02!E170</f>
        <v>129.30997561700028</v>
      </c>
      <c r="I171" s="252">
        <f>Dat_02!G170</f>
        <v>0</v>
      </c>
      <c r="J171" s="264" t="str">
        <f>IF(Dat_02!H170=0,"",Dat_02!H170)</f>
        <v/>
      </c>
    </row>
    <row r="172" spans="2:10">
      <c r="B172" s="248"/>
      <c r="C172" s="249" t="s">
        <v>324</v>
      </c>
      <c r="D172" s="248"/>
      <c r="E172" s="251">
        <f>Dat_02!C171</f>
        <v>181.2441856019143</v>
      </c>
      <c r="F172" s="251">
        <f>Dat_02!D171</f>
        <v>129.30997561700028</v>
      </c>
      <c r="G172" s="251">
        <f>Dat_02!E171</f>
        <v>129.30997561700028</v>
      </c>
      <c r="I172" s="252">
        <f>Dat_02!G171</f>
        <v>0</v>
      </c>
      <c r="J172" s="264" t="str">
        <f>IF(Dat_02!H171=0,"",Dat_02!H171)</f>
        <v/>
      </c>
    </row>
    <row r="173" spans="2:10">
      <c r="B173" s="248"/>
      <c r="C173" s="249" t="s">
        <v>325</v>
      </c>
      <c r="D173" s="248"/>
      <c r="E173" s="251">
        <f>Dat_02!C172</f>
        <v>189.8460856019143</v>
      </c>
      <c r="F173" s="251">
        <f>Dat_02!D172</f>
        <v>129.30997561700028</v>
      </c>
      <c r="G173" s="251">
        <f>Dat_02!E172</f>
        <v>129.30997561700028</v>
      </c>
      <c r="I173" s="252">
        <f>Dat_02!G172</f>
        <v>0</v>
      </c>
      <c r="J173" s="264" t="str">
        <f>IF(Dat_02!H172=0,"",Dat_02!H172)</f>
        <v/>
      </c>
    </row>
    <row r="174" spans="2:10">
      <c r="B174" s="248"/>
      <c r="C174" s="249" t="s">
        <v>326</v>
      </c>
      <c r="D174" s="248"/>
      <c r="E174" s="251">
        <f>Dat_02!C173</f>
        <v>186.59238560191616</v>
      </c>
      <c r="F174" s="251">
        <f>Dat_02!D173</f>
        <v>129.30997561700028</v>
      </c>
      <c r="G174" s="251">
        <f>Dat_02!E173</f>
        <v>129.30997561700028</v>
      </c>
      <c r="I174" s="252">
        <f>Dat_02!G173</f>
        <v>0</v>
      </c>
      <c r="J174" s="264" t="str">
        <f>IF(Dat_02!H173=0,"",Dat_02!H173)</f>
        <v/>
      </c>
    </row>
    <row r="175" spans="2:10">
      <c r="B175" s="248"/>
      <c r="C175" s="249" t="s">
        <v>327</v>
      </c>
      <c r="D175" s="248"/>
      <c r="E175" s="251">
        <f>Dat_02!C174</f>
        <v>187.58548560191429</v>
      </c>
      <c r="F175" s="251">
        <f>Dat_02!D174</f>
        <v>129.30997561700028</v>
      </c>
      <c r="G175" s="251">
        <f>Dat_02!E174</f>
        <v>129.30997561700028</v>
      </c>
      <c r="I175" s="252">
        <f>Dat_02!G174</f>
        <v>0</v>
      </c>
      <c r="J175" s="264" t="str">
        <f>IF(Dat_02!H174=0,"",Dat_02!H174)</f>
        <v/>
      </c>
    </row>
    <row r="176" spans="2:10">
      <c r="B176" s="248"/>
      <c r="C176" s="249" t="s">
        <v>328</v>
      </c>
      <c r="D176" s="248"/>
      <c r="E176" s="251">
        <f>Dat_02!C175</f>
        <v>201.50998560191428</v>
      </c>
      <c r="F176" s="251">
        <f>Dat_02!D175</f>
        <v>129.30997561700028</v>
      </c>
      <c r="G176" s="251">
        <f>Dat_02!E175</f>
        <v>129.30997561700028</v>
      </c>
      <c r="I176" s="252">
        <f>Dat_02!G175</f>
        <v>0</v>
      </c>
      <c r="J176" s="264" t="str">
        <f>IF(Dat_02!H175=0,"",Dat_02!H175)</f>
        <v/>
      </c>
    </row>
    <row r="177" spans="2:10">
      <c r="B177" s="248"/>
      <c r="C177" s="249" t="s">
        <v>329</v>
      </c>
      <c r="D177" s="248"/>
      <c r="E177" s="251">
        <f>Dat_02!C176</f>
        <v>163.15151164440064</v>
      </c>
      <c r="F177" s="251">
        <f>Dat_02!D176</f>
        <v>129.30997561700028</v>
      </c>
      <c r="G177" s="251">
        <f>Dat_02!E176</f>
        <v>129.30997561700028</v>
      </c>
      <c r="I177" s="252">
        <f>Dat_02!G176</f>
        <v>0</v>
      </c>
      <c r="J177" s="264" t="str">
        <f>IF(Dat_02!H176=0,"",Dat_02!H176)</f>
        <v/>
      </c>
    </row>
    <row r="178" spans="2:10">
      <c r="B178" s="248"/>
      <c r="C178" s="249" t="s">
        <v>330</v>
      </c>
      <c r="D178" s="248"/>
      <c r="E178" s="251">
        <f>Dat_02!C177</f>
        <v>191.00541164440438</v>
      </c>
      <c r="F178" s="251">
        <f>Dat_02!D177</f>
        <v>129.30997561700028</v>
      </c>
      <c r="G178" s="251">
        <f>Dat_02!E177</f>
        <v>129.30997561700028</v>
      </c>
      <c r="I178" s="252">
        <f>Dat_02!G177</f>
        <v>0</v>
      </c>
      <c r="J178" s="264" t="str">
        <f>IF(Dat_02!H177=0,"",Dat_02!H177)</f>
        <v/>
      </c>
    </row>
    <row r="179" spans="2:10">
      <c r="B179" s="248"/>
      <c r="C179" s="249" t="s">
        <v>331</v>
      </c>
      <c r="D179" s="248"/>
      <c r="E179" s="251">
        <f>Dat_02!C178</f>
        <v>187.46851164440253</v>
      </c>
      <c r="F179" s="251">
        <f>Dat_02!D178</f>
        <v>129.30997561700028</v>
      </c>
      <c r="G179" s="251">
        <f>Dat_02!E178</f>
        <v>129.30997561700028</v>
      </c>
      <c r="I179" s="252">
        <f>Dat_02!G178</f>
        <v>0</v>
      </c>
      <c r="J179" s="264" t="str">
        <f>IF(Dat_02!H178=0,"",Dat_02!H178)</f>
        <v/>
      </c>
    </row>
    <row r="180" spans="2:10">
      <c r="B180" s="248"/>
      <c r="C180" s="249" t="s">
        <v>332</v>
      </c>
      <c r="D180" s="248"/>
      <c r="E180" s="251">
        <f>Dat_02!C179</f>
        <v>176.51871164440254</v>
      </c>
      <c r="F180" s="251">
        <f>Dat_02!D179</f>
        <v>129.30997561700028</v>
      </c>
      <c r="G180" s="251">
        <f>Dat_02!E179</f>
        <v>129.30997561700028</v>
      </c>
      <c r="I180" s="252">
        <f>Dat_02!G179</f>
        <v>0</v>
      </c>
      <c r="J180" s="264" t="str">
        <f>IF(Dat_02!H179=0,"",Dat_02!H179)</f>
        <v/>
      </c>
    </row>
    <row r="181" spans="2:10">
      <c r="B181" s="248"/>
      <c r="C181" s="249" t="s">
        <v>333</v>
      </c>
      <c r="D181" s="248"/>
      <c r="E181" s="251">
        <f>Dat_02!C180</f>
        <v>173.53591164440252</v>
      </c>
      <c r="F181" s="251">
        <f>Dat_02!D180</f>
        <v>129.30997561700028</v>
      </c>
      <c r="G181" s="251">
        <f>Dat_02!E180</f>
        <v>129.30997561700028</v>
      </c>
      <c r="I181" s="252">
        <f>Dat_02!G180</f>
        <v>0</v>
      </c>
      <c r="J181" s="264" t="str">
        <f>IF(Dat_02!H180=0,"",Dat_02!H180)</f>
        <v/>
      </c>
    </row>
    <row r="182" spans="2:10">
      <c r="B182" s="248"/>
      <c r="C182" s="249" t="s">
        <v>334</v>
      </c>
      <c r="D182" s="248"/>
      <c r="E182" s="251">
        <f>Dat_02!C181</f>
        <v>187.58451164440439</v>
      </c>
      <c r="F182" s="251">
        <f>Dat_02!D181</f>
        <v>129.30997561700028</v>
      </c>
      <c r="G182" s="251">
        <f>Dat_02!E181</f>
        <v>129.30997561700028</v>
      </c>
      <c r="I182" s="252">
        <f>Dat_02!G181</f>
        <v>0</v>
      </c>
      <c r="J182" s="264" t="str">
        <f>IF(Dat_02!H181=0,"",Dat_02!H181)</f>
        <v/>
      </c>
    </row>
    <row r="183" spans="2:10">
      <c r="B183" s="248"/>
      <c r="C183" s="249" t="s">
        <v>335</v>
      </c>
      <c r="D183" s="248"/>
      <c r="E183" s="251">
        <f>Dat_02!C182</f>
        <v>175.34141164440251</v>
      </c>
      <c r="F183" s="251">
        <f>Dat_02!D182</f>
        <v>129.30997561700028</v>
      </c>
      <c r="G183" s="251">
        <f>Dat_02!E182</f>
        <v>129.30997561700028</v>
      </c>
      <c r="I183" s="252">
        <f>Dat_02!G182</f>
        <v>0</v>
      </c>
      <c r="J183" s="264" t="str">
        <f>IF(Dat_02!H182=0,"",Dat_02!H182)</f>
        <v/>
      </c>
    </row>
    <row r="184" spans="2:10">
      <c r="B184" s="248"/>
      <c r="C184" s="249" t="s">
        <v>336</v>
      </c>
      <c r="D184" s="248"/>
      <c r="E184" s="251">
        <f>Dat_02!C183</f>
        <v>179.67674334770666</v>
      </c>
      <c r="F184" s="251">
        <f>Dat_02!D183</f>
        <v>129.30997561700028</v>
      </c>
      <c r="G184" s="251">
        <f>Dat_02!E183</f>
        <v>129.30997561700028</v>
      </c>
      <c r="I184" s="252">
        <f>Dat_02!G183</f>
        <v>0</v>
      </c>
      <c r="J184" s="264" t="str">
        <f>IF(Dat_02!H183=0,"",Dat_02!H183)</f>
        <v/>
      </c>
    </row>
    <row r="185" spans="2:10">
      <c r="B185" s="248"/>
      <c r="C185" s="249" t="s">
        <v>337</v>
      </c>
      <c r="D185" s="248"/>
      <c r="E185" s="251">
        <f>Dat_02!C184</f>
        <v>159.46004334771035</v>
      </c>
      <c r="F185" s="251">
        <f>Dat_02!D184</f>
        <v>129.30997561700028</v>
      </c>
      <c r="G185" s="251">
        <f>Dat_02!E184</f>
        <v>129.30997561700028</v>
      </c>
      <c r="I185" s="252">
        <f>Dat_02!G184</f>
        <v>0</v>
      </c>
      <c r="J185" s="264" t="str">
        <f>IF(Dat_02!H184=0,"",Dat_02!H184)</f>
        <v/>
      </c>
    </row>
    <row r="186" spans="2:10">
      <c r="B186" s="250"/>
      <c r="C186" s="255" t="s">
        <v>338</v>
      </c>
      <c r="D186" s="248"/>
      <c r="E186" s="251">
        <f>Dat_02!C185</f>
        <v>141.94044334770851</v>
      </c>
      <c r="F186" s="251">
        <f>Dat_02!D185</f>
        <v>104.0249711788601</v>
      </c>
      <c r="G186" s="251">
        <f>Dat_02!E185</f>
        <v>104.0249711788601</v>
      </c>
      <c r="I186" s="252">
        <f>Dat_02!G185</f>
        <v>0</v>
      </c>
      <c r="J186" s="264" t="str">
        <f>IF(Dat_02!H185=0,"",Dat_02!H185)</f>
        <v/>
      </c>
    </row>
    <row r="187" spans="2:10">
      <c r="B187" s="250"/>
      <c r="C187" s="255" t="s">
        <v>339</v>
      </c>
      <c r="D187" s="250"/>
      <c r="E187" s="251">
        <f>Dat_02!C186</f>
        <v>162.45604334770476</v>
      </c>
      <c r="F187" s="251">
        <f>Dat_02!D186</f>
        <v>104.0249711788601</v>
      </c>
      <c r="G187" s="251">
        <f>Dat_02!E186</f>
        <v>104.0249711788601</v>
      </c>
      <c r="I187" s="252">
        <f>Dat_02!G186</f>
        <v>0</v>
      </c>
      <c r="J187" s="264" t="str">
        <f>IF(Dat_02!H186=0,"",Dat_02!H186)</f>
        <v/>
      </c>
    </row>
    <row r="188" spans="2:10">
      <c r="B188" s="248" t="s">
        <v>340</v>
      </c>
      <c r="C188" s="249" t="s">
        <v>341</v>
      </c>
      <c r="D188" s="250"/>
      <c r="E188" s="251">
        <f>Dat_02!C187</f>
        <v>156.22704334771038</v>
      </c>
      <c r="F188" s="251">
        <f>Dat_02!D187</f>
        <v>104.0249711788601</v>
      </c>
      <c r="G188" s="251">
        <f>Dat_02!E187</f>
        <v>104.0249711788601</v>
      </c>
      <c r="I188" s="252">
        <f>Dat_02!G187</f>
        <v>0</v>
      </c>
      <c r="J188" s="264" t="str">
        <f>IF(Dat_02!H187=0,"",Dat_02!H187)</f>
        <v/>
      </c>
    </row>
    <row r="189" spans="2:10">
      <c r="B189" s="250"/>
      <c r="C189" s="249" t="s">
        <v>342</v>
      </c>
      <c r="D189" s="250"/>
      <c r="E189" s="251">
        <f>Dat_02!C188</f>
        <v>150.44364334770665</v>
      </c>
      <c r="F189" s="251">
        <f>Dat_02!D188</f>
        <v>104.0249711788601</v>
      </c>
      <c r="G189" s="251">
        <f>Dat_02!E188</f>
        <v>104.0249711788601</v>
      </c>
      <c r="I189" s="252">
        <f>Dat_02!G188</f>
        <v>0</v>
      </c>
      <c r="J189" s="264" t="str">
        <f>IF(Dat_02!H188=0,"",Dat_02!H188)</f>
        <v/>
      </c>
    </row>
    <row r="190" spans="2:10">
      <c r="B190" s="248"/>
      <c r="C190" s="249" t="s">
        <v>343</v>
      </c>
      <c r="D190" s="248"/>
      <c r="E190" s="251">
        <f>Dat_02!C189</f>
        <v>195.05914334770665</v>
      </c>
      <c r="F190" s="251">
        <f>Dat_02!D189</f>
        <v>104.0249711788601</v>
      </c>
      <c r="G190" s="251">
        <f>Dat_02!E189</f>
        <v>104.0249711788601</v>
      </c>
      <c r="I190" s="252">
        <f>Dat_02!G189</f>
        <v>0</v>
      </c>
      <c r="J190" s="264" t="str">
        <f>IF(Dat_02!H189=0,"",Dat_02!H189)</f>
        <v/>
      </c>
    </row>
    <row r="191" spans="2:10">
      <c r="B191" s="248"/>
      <c r="C191" s="249" t="s">
        <v>344</v>
      </c>
      <c r="D191" s="248"/>
      <c r="E191" s="251">
        <f>Dat_02!C190</f>
        <v>136.12816014253497</v>
      </c>
      <c r="F191" s="251">
        <f>Dat_02!D190</f>
        <v>104.0249711788601</v>
      </c>
      <c r="G191" s="251">
        <f>Dat_02!E190</f>
        <v>104.0249711788601</v>
      </c>
      <c r="I191" s="252">
        <f>Dat_02!G190</f>
        <v>0</v>
      </c>
      <c r="J191" s="264" t="str">
        <f>IF(Dat_02!H190=0,"",Dat_02!H190)</f>
        <v/>
      </c>
    </row>
    <row r="192" spans="2:10">
      <c r="B192" s="248"/>
      <c r="C192" s="249" t="s">
        <v>345</v>
      </c>
      <c r="D192" s="248"/>
      <c r="E192" s="251">
        <f>Dat_02!C191</f>
        <v>121.61546014253311</v>
      </c>
      <c r="F192" s="251">
        <f>Dat_02!D191</f>
        <v>104.0249711788601</v>
      </c>
      <c r="G192" s="251">
        <f>Dat_02!E191</f>
        <v>104.0249711788601</v>
      </c>
      <c r="I192" s="252">
        <f>Dat_02!G191</f>
        <v>0</v>
      </c>
      <c r="J192" s="264" t="str">
        <f>IF(Dat_02!H191=0,"",Dat_02!H191)</f>
        <v/>
      </c>
    </row>
    <row r="193" spans="2:10">
      <c r="B193" s="248"/>
      <c r="C193" s="249" t="s">
        <v>346</v>
      </c>
      <c r="D193" s="248"/>
      <c r="E193" s="251">
        <f>Dat_02!C192</f>
        <v>112.48296014253124</v>
      </c>
      <c r="F193" s="251">
        <f>Dat_02!D192</f>
        <v>104.0249711788601</v>
      </c>
      <c r="G193" s="251">
        <f>Dat_02!E192</f>
        <v>104.0249711788601</v>
      </c>
      <c r="I193" s="252">
        <f>Dat_02!G192</f>
        <v>0</v>
      </c>
      <c r="J193" s="264" t="str">
        <f>IF(Dat_02!H192=0,"",Dat_02!H192)</f>
        <v/>
      </c>
    </row>
    <row r="194" spans="2:10">
      <c r="B194" s="248"/>
      <c r="C194" s="249" t="s">
        <v>347</v>
      </c>
      <c r="D194" s="248"/>
      <c r="E194" s="251">
        <f>Dat_02!C193</f>
        <v>99.332860142533121</v>
      </c>
      <c r="F194" s="251">
        <f>Dat_02!D193</f>
        <v>104.0249711788601</v>
      </c>
      <c r="G194" s="251">
        <f>Dat_02!E193</f>
        <v>99.332860142533121</v>
      </c>
      <c r="I194" s="252">
        <f>Dat_02!G193</f>
        <v>0</v>
      </c>
      <c r="J194" s="264" t="str">
        <f>IF(Dat_02!H193=0,"",Dat_02!H193)</f>
        <v/>
      </c>
    </row>
    <row r="195" spans="2:10">
      <c r="B195" s="248"/>
      <c r="C195" s="249" t="s">
        <v>348</v>
      </c>
      <c r="D195" s="248"/>
      <c r="E195" s="251">
        <f>Dat_02!C194</f>
        <v>88.647960142533108</v>
      </c>
      <c r="F195" s="251">
        <f>Dat_02!D194</f>
        <v>104.0249711788601</v>
      </c>
      <c r="G195" s="251">
        <f>Dat_02!E194</f>
        <v>88.647960142533108</v>
      </c>
      <c r="I195" s="252">
        <f>Dat_02!G194</f>
        <v>0</v>
      </c>
      <c r="J195" s="264" t="str">
        <f>IF(Dat_02!H194=0,"",Dat_02!H194)</f>
        <v/>
      </c>
    </row>
    <row r="196" spans="2:10">
      <c r="B196" s="248"/>
      <c r="C196" s="249" t="s">
        <v>349</v>
      </c>
      <c r="D196" s="248"/>
      <c r="E196" s="251">
        <f>Dat_02!C195</f>
        <v>98.173560142531244</v>
      </c>
      <c r="F196" s="251">
        <f>Dat_02!D195</f>
        <v>104.0249711788601</v>
      </c>
      <c r="G196" s="251">
        <f>Dat_02!E195</f>
        <v>98.173560142531244</v>
      </c>
      <c r="I196" s="252">
        <f>Dat_02!G195</f>
        <v>0</v>
      </c>
      <c r="J196" s="264" t="str">
        <f>IF(Dat_02!H195=0,"",Dat_02!H195)</f>
        <v/>
      </c>
    </row>
    <row r="197" spans="2:10">
      <c r="B197" s="248"/>
      <c r="C197" s="249" t="s">
        <v>350</v>
      </c>
      <c r="D197" s="248"/>
      <c r="E197" s="251">
        <f>Dat_02!C196</f>
        <v>143.88616014253498</v>
      </c>
      <c r="F197" s="251">
        <f>Dat_02!D196</f>
        <v>104.0249711788601</v>
      </c>
      <c r="G197" s="251">
        <f>Dat_02!E196</f>
        <v>104.0249711788601</v>
      </c>
      <c r="I197" s="252">
        <f>Dat_02!G196</f>
        <v>0</v>
      </c>
      <c r="J197" s="264" t="str">
        <f>IF(Dat_02!H196=0,"",Dat_02!H196)</f>
        <v/>
      </c>
    </row>
    <row r="198" spans="2:10">
      <c r="B198" s="248"/>
      <c r="C198" s="249" t="s">
        <v>351</v>
      </c>
      <c r="D198" s="248"/>
      <c r="E198" s="251">
        <f>Dat_02!C197</f>
        <v>150.43729215595312</v>
      </c>
      <c r="F198" s="251">
        <f>Dat_02!D197</f>
        <v>104.0249711788601</v>
      </c>
      <c r="G198" s="251">
        <f>Dat_02!E197</f>
        <v>104.0249711788601</v>
      </c>
      <c r="I198" s="252">
        <f>Dat_02!G197</f>
        <v>0</v>
      </c>
      <c r="J198" s="264" t="str">
        <f>IF(Dat_02!H197=0,"",Dat_02!H197)</f>
        <v/>
      </c>
    </row>
    <row r="199" spans="2:10">
      <c r="B199" s="248"/>
      <c r="C199" s="249" t="s">
        <v>352</v>
      </c>
      <c r="D199" s="248"/>
      <c r="E199" s="251">
        <f>Dat_02!C198</f>
        <v>121.29869215595498</v>
      </c>
      <c r="F199" s="251">
        <f>Dat_02!D198</f>
        <v>104.0249711788601</v>
      </c>
      <c r="G199" s="251">
        <f>Dat_02!E198</f>
        <v>104.0249711788601</v>
      </c>
      <c r="I199" s="252">
        <f>Dat_02!G198</f>
        <v>0</v>
      </c>
      <c r="J199" s="264" t="str">
        <f>IF(Dat_02!H198=0,"",Dat_02!H198)</f>
        <v/>
      </c>
    </row>
    <row r="200" spans="2:10">
      <c r="B200" s="248"/>
      <c r="C200" s="249" t="s">
        <v>353</v>
      </c>
      <c r="D200" s="248"/>
      <c r="E200" s="251">
        <f>Dat_02!C199</f>
        <v>119.889892155955</v>
      </c>
      <c r="F200" s="251">
        <f>Dat_02!D199</f>
        <v>104.0249711788601</v>
      </c>
      <c r="G200" s="251">
        <f>Dat_02!E199</f>
        <v>104.0249711788601</v>
      </c>
      <c r="I200" s="252">
        <f>Dat_02!G199</f>
        <v>104.0249711788601</v>
      </c>
      <c r="J200" s="264" t="str">
        <f>IF(Dat_02!H199=0,"",Dat_02!H199)</f>
        <v/>
      </c>
    </row>
    <row r="201" spans="2:10">
      <c r="B201" s="248"/>
      <c r="C201" s="249" t="s">
        <v>354</v>
      </c>
      <c r="D201" s="248"/>
      <c r="E201" s="251">
        <f>Dat_02!C200</f>
        <v>107.10919215595871</v>
      </c>
      <c r="F201" s="251">
        <f>Dat_02!D200</f>
        <v>104.0249711788601</v>
      </c>
      <c r="G201" s="251">
        <f>Dat_02!E200</f>
        <v>104.0249711788601</v>
      </c>
      <c r="I201" s="252">
        <f>Dat_02!G200</f>
        <v>0</v>
      </c>
      <c r="J201" s="264" t="str">
        <f>IF(Dat_02!H200=0,"",Dat_02!H200)</f>
        <v/>
      </c>
    </row>
    <row r="202" spans="2:10">
      <c r="B202" s="248"/>
      <c r="C202" s="249" t="s">
        <v>355</v>
      </c>
      <c r="D202" s="248"/>
      <c r="E202" s="251">
        <f>Dat_02!C201</f>
        <v>98.103592155951262</v>
      </c>
      <c r="F202" s="251">
        <f>Dat_02!D201</f>
        <v>104.0249711788601</v>
      </c>
      <c r="G202" s="251">
        <f>Dat_02!E201</f>
        <v>98.103592155951262</v>
      </c>
      <c r="I202" s="252">
        <f>Dat_02!G201</f>
        <v>0</v>
      </c>
      <c r="J202" s="264" t="str">
        <f>IF(Dat_02!H201=0,"",Dat_02!H201)</f>
        <v/>
      </c>
    </row>
    <row r="203" spans="2:10">
      <c r="B203" s="248"/>
      <c r="C203" s="249" t="s">
        <v>356</v>
      </c>
      <c r="D203" s="248"/>
      <c r="E203" s="251">
        <f>Dat_02!C202</f>
        <v>106.96159215595685</v>
      </c>
      <c r="F203" s="251">
        <f>Dat_02!D202</f>
        <v>104.0249711788601</v>
      </c>
      <c r="G203" s="251">
        <f>Dat_02!E202</f>
        <v>104.0249711788601</v>
      </c>
      <c r="I203" s="252">
        <f>Dat_02!G202</f>
        <v>0</v>
      </c>
      <c r="J203" s="264" t="str">
        <f>IF(Dat_02!H202=0,"",Dat_02!H202)</f>
        <v/>
      </c>
    </row>
    <row r="204" spans="2:10">
      <c r="B204" s="248"/>
      <c r="C204" s="249" t="s">
        <v>357</v>
      </c>
      <c r="D204" s="248"/>
      <c r="E204" s="251">
        <f>Dat_02!C203</f>
        <v>96.202492155954985</v>
      </c>
      <c r="F204" s="251">
        <f>Dat_02!D203</f>
        <v>104.0249711788601</v>
      </c>
      <c r="G204" s="251">
        <f>Dat_02!E203</f>
        <v>96.202492155954985</v>
      </c>
      <c r="I204" s="252">
        <f>Dat_02!G203</f>
        <v>0</v>
      </c>
      <c r="J204" s="264" t="str">
        <f>IF(Dat_02!H203=0,"",Dat_02!H203)</f>
        <v/>
      </c>
    </row>
    <row r="205" spans="2:10">
      <c r="B205" s="248"/>
      <c r="C205" s="249" t="s">
        <v>358</v>
      </c>
      <c r="D205" s="248"/>
      <c r="E205" s="251">
        <f>Dat_02!C204</f>
        <v>88.739219824280596</v>
      </c>
      <c r="F205" s="251">
        <f>Dat_02!D204</f>
        <v>104.0249711788601</v>
      </c>
      <c r="G205" s="251">
        <f>Dat_02!E204</f>
        <v>88.739219824280596</v>
      </c>
      <c r="I205" s="252">
        <f>Dat_02!G204</f>
        <v>0</v>
      </c>
      <c r="J205" s="264" t="str">
        <f>IF(Dat_02!H204=0,"",Dat_02!H204)</f>
        <v/>
      </c>
    </row>
    <row r="206" spans="2:10">
      <c r="B206" s="248"/>
      <c r="C206" s="249" t="s">
        <v>359</v>
      </c>
      <c r="D206" s="248"/>
      <c r="E206" s="251">
        <f>Dat_02!C205</f>
        <v>99.634619824282453</v>
      </c>
      <c r="F206" s="251">
        <f>Dat_02!D205</f>
        <v>104.0249711788601</v>
      </c>
      <c r="G206" s="251">
        <f>Dat_02!E205</f>
        <v>99.634619824282453</v>
      </c>
      <c r="I206" s="252">
        <f>Dat_02!G205</f>
        <v>0</v>
      </c>
      <c r="J206" s="264" t="str">
        <f>IF(Dat_02!H205=0,"",Dat_02!H205)</f>
        <v/>
      </c>
    </row>
    <row r="207" spans="2:10">
      <c r="B207" s="248"/>
      <c r="C207" s="249" t="s">
        <v>360</v>
      </c>
      <c r="D207" s="248"/>
      <c r="E207" s="251">
        <f>Dat_02!C206</f>
        <v>110.96651982428432</v>
      </c>
      <c r="F207" s="251">
        <f>Dat_02!D206</f>
        <v>104.0249711788601</v>
      </c>
      <c r="G207" s="251">
        <f>Dat_02!E206</f>
        <v>104.0249711788601</v>
      </c>
      <c r="I207" s="252">
        <f>Dat_02!G206</f>
        <v>0</v>
      </c>
      <c r="J207" s="264" t="str">
        <f>IF(Dat_02!H206=0,"",Dat_02!H206)</f>
        <v/>
      </c>
    </row>
    <row r="208" spans="2:10">
      <c r="B208" s="248"/>
      <c r="C208" s="249" t="s">
        <v>361</v>
      </c>
      <c r="D208" s="248"/>
      <c r="E208" s="251">
        <f>Dat_02!C207</f>
        <v>75.814719824276864</v>
      </c>
      <c r="F208" s="251">
        <f>Dat_02!D207</f>
        <v>104.0249711788601</v>
      </c>
      <c r="G208" s="251">
        <f>Dat_02!E207</f>
        <v>75.814719824276864</v>
      </c>
      <c r="I208" s="252">
        <f>Dat_02!G207</f>
        <v>0</v>
      </c>
      <c r="J208" s="264" t="str">
        <f>IF(Dat_02!H207=0,"",Dat_02!H207)</f>
        <v/>
      </c>
    </row>
    <row r="209" spans="2:10">
      <c r="B209" s="248"/>
      <c r="C209" s="249" t="s">
        <v>362</v>
      </c>
      <c r="D209" s="248"/>
      <c r="E209" s="251">
        <f>Dat_02!C208</f>
        <v>73.434619824284312</v>
      </c>
      <c r="F209" s="251">
        <f>Dat_02!D208</f>
        <v>104.0249711788601</v>
      </c>
      <c r="G209" s="251">
        <f>Dat_02!E208</f>
        <v>73.434619824284312</v>
      </c>
      <c r="I209" s="252">
        <f>Dat_02!G208</f>
        <v>0</v>
      </c>
      <c r="J209" s="264" t="str">
        <f>IF(Dat_02!H208=0,"",Dat_02!H208)</f>
        <v/>
      </c>
    </row>
    <row r="210" spans="2:10">
      <c r="B210" s="248"/>
      <c r="C210" s="249" t="s">
        <v>363</v>
      </c>
      <c r="D210" s="248"/>
      <c r="E210" s="251">
        <f>Dat_02!C209</f>
        <v>79.599919824282452</v>
      </c>
      <c r="F210" s="251">
        <f>Dat_02!D209</f>
        <v>104.0249711788601</v>
      </c>
      <c r="G210" s="251">
        <f>Dat_02!E209</f>
        <v>79.599919824282452</v>
      </c>
      <c r="I210" s="252">
        <f>Dat_02!G209</f>
        <v>0</v>
      </c>
      <c r="J210" s="264" t="str">
        <f>IF(Dat_02!H209=0,"",Dat_02!H209)</f>
        <v/>
      </c>
    </row>
    <row r="211" spans="2:10">
      <c r="B211" s="248"/>
      <c r="C211" s="249" t="s">
        <v>364</v>
      </c>
      <c r="D211" s="248"/>
      <c r="E211" s="251">
        <f>Dat_02!C210</f>
        <v>71.389319824278729</v>
      </c>
      <c r="F211" s="251">
        <f>Dat_02!D210</f>
        <v>104.0249711788601</v>
      </c>
      <c r="G211" s="251">
        <f>Dat_02!E210</f>
        <v>71.389319824278729</v>
      </c>
      <c r="I211" s="252">
        <f>Dat_02!G210</f>
        <v>0</v>
      </c>
      <c r="J211" s="264" t="str">
        <f>IF(Dat_02!H210=0,"",Dat_02!H210)</f>
        <v/>
      </c>
    </row>
    <row r="212" spans="2:10">
      <c r="B212" s="248"/>
      <c r="C212" s="249" t="s">
        <v>365</v>
      </c>
      <c r="D212" s="248"/>
      <c r="E212" s="251">
        <f>Dat_02!C211</f>
        <v>56.780297967005524</v>
      </c>
      <c r="F212" s="251">
        <f>Dat_02!D211</f>
        <v>104.0249711788601</v>
      </c>
      <c r="G212" s="251">
        <f>Dat_02!E211</f>
        <v>56.780297967005524</v>
      </c>
      <c r="I212" s="252">
        <f>Dat_02!G211</f>
        <v>0</v>
      </c>
      <c r="J212" s="264" t="str">
        <f>IF(Dat_02!H211=0,"",Dat_02!H211)</f>
        <v/>
      </c>
    </row>
    <row r="213" spans="2:10">
      <c r="B213" s="248"/>
      <c r="C213" s="249" t="s">
        <v>366</v>
      </c>
      <c r="D213" s="248"/>
      <c r="E213" s="251">
        <f>Dat_02!C212</f>
        <v>68.078397967005529</v>
      </c>
      <c r="F213" s="251">
        <f>Dat_02!D212</f>
        <v>104.0249711788601</v>
      </c>
      <c r="G213" s="251">
        <f>Dat_02!E212</f>
        <v>68.078397967005529</v>
      </c>
      <c r="I213" s="252">
        <f>Dat_02!G212</f>
        <v>0</v>
      </c>
      <c r="J213" s="264" t="str">
        <f>IF(Dat_02!H212=0,"",Dat_02!H212)</f>
        <v/>
      </c>
    </row>
    <row r="214" spans="2:10">
      <c r="B214" s="248"/>
      <c r="C214" s="249" t="s">
        <v>367</v>
      </c>
      <c r="D214" s="248"/>
      <c r="E214" s="251">
        <f>Dat_02!C213</f>
        <v>87.433897967001798</v>
      </c>
      <c r="F214" s="251">
        <f>Dat_02!D213</f>
        <v>104.0249711788601</v>
      </c>
      <c r="G214" s="251">
        <f>Dat_02!E213</f>
        <v>87.433897967001798</v>
      </c>
      <c r="I214" s="252">
        <f>Dat_02!G213</f>
        <v>0</v>
      </c>
      <c r="J214" s="264" t="str">
        <f>IF(Dat_02!H213=0,"",Dat_02!H213)</f>
        <v/>
      </c>
    </row>
    <row r="215" spans="2:10">
      <c r="B215" s="248"/>
      <c r="C215" s="249" t="s">
        <v>368</v>
      </c>
      <c r="D215" s="248"/>
      <c r="E215" s="251">
        <f>Dat_02!C214</f>
        <v>65.949397967003662</v>
      </c>
      <c r="F215" s="251">
        <f>Dat_02!D214</f>
        <v>104.0249711788601</v>
      </c>
      <c r="G215" s="251">
        <f>Dat_02!E214</f>
        <v>65.949397967003662</v>
      </c>
      <c r="I215" s="252">
        <f>Dat_02!G214</f>
        <v>0</v>
      </c>
      <c r="J215" s="264" t="str">
        <f>IF(Dat_02!H214=0,"",Dat_02!H214)</f>
        <v/>
      </c>
    </row>
    <row r="216" spans="2:10">
      <c r="B216" s="248" t="s">
        <v>369</v>
      </c>
      <c r="C216" s="249" t="s">
        <v>370</v>
      </c>
      <c r="D216" s="248"/>
      <c r="E216" s="251">
        <f>Dat_02!C215</f>
        <v>59.973997967001793</v>
      </c>
      <c r="F216" s="251">
        <f>Dat_02!D215</f>
        <v>104.0249711788601</v>
      </c>
      <c r="G216" s="251">
        <f>Dat_02!E215</f>
        <v>59.973997967001793</v>
      </c>
      <c r="I216" s="252">
        <f>Dat_02!G215</f>
        <v>0</v>
      </c>
      <c r="J216" s="264" t="str">
        <f>IF(Dat_02!H215=0,"",Dat_02!H215)</f>
        <v/>
      </c>
    </row>
    <row r="217" spans="2:10">
      <c r="B217" s="250"/>
      <c r="C217" s="255" t="s">
        <v>371</v>
      </c>
      <c r="D217" s="250"/>
      <c r="E217" s="251">
        <f>Dat_02!C216</f>
        <v>92.190697967007381</v>
      </c>
      <c r="F217" s="251">
        <f>Dat_02!D216</f>
        <v>64.512028542813908</v>
      </c>
      <c r="G217" s="251">
        <f>Dat_02!E216</f>
        <v>64.512028542813908</v>
      </c>
      <c r="I217" s="252">
        <f>Dat_02!G216</f>
        <v>0</v>
      </c>
      <c r="J217" s="264" t="str">
        <f>IF(Dat_02!H216=0,"",Dat_02!H216)</f>
        <v/>
      </c>
    </row>
    <row r="218" spans="2:10">
      <c r="B218" s="250"/>
      <c r="C218" s="255" t="s">
        <v>372</v>
      </c>
      <c r="D218" s="250"/>
      <c r="E218" s="251">
        <f>Dat_02!C217</f>
        <v>98.260597967005523</v>
      </c>
      <c r="F218" s="251">
        <f>Dat_02!D217</f>
        <v>64.512028542813908</v>
      </c>
      <c r="G218" s="251">
        <f>Dat_02!E217</f>
        <v>64.512028542813908</v>
      </c>
      <c r="I218" s="252">
        <f>Dat_02!G217</f>
        <v>0</v>
      </c>
      <c r="J218" s="264" t="str">
        <f>IF(Dat_02!H217=0,"",Dat_02!H217)</f>
        <v/>
      </c>
    </row>
    <row r="219" spans="2:10">
      <c r="B219" s="248"/>
      <c r="C219" s="249" t="s">
        <v>373</v>
      </c>
      <c r="D219" s="250"/>
      <c r="E219" s="251">
        <f>Dat_02!C218</f>
        <v>61.905344371254742</v>
      </c>
      <c r="F219" s="251">
        <f>Dat_02!D218</f>
        <v>64.512028542813908</v>
      </c>
      <c r="G219" s="251">
        <f>Dat_02!E218</f>
        <v>61.905344371254742</v>
      </c>
      <c r="I219" s="252">
        <f>Dat_02!G218</f>
        <v>0</v>
      </c>
      <c r="J219" s="264" t="str">
        <f>IF(Dat_02!H218=0,"",Dat_02!H218)</f>
        <v/>
      </c>
    </row>
    <row r="220" spans="2:10">
      <c r="B220" s="250"/>
      <c r="C220" s="249" t="s">
        <v>374</v>
      </c>
      <c r="D220" s="250"/>
      <c r="E220" s="251">
        <f>Dat_02!C219</f>
        <v>55.473644371258473</v>
      </c>
      <c r="F220" s="251">
        <f>Dat_02!D219</f>
        <v>64.512028542813908</v>
      </c>
      <c r="G220" s="251">
        <f>Dat_02!E219</f>
        <v>55.473644371258473</v>
      </c>
      <c r="I220" s="252">
        <f>Dat_02!G219</f>
        <v>0</v>
      </c>
      <c r="J220" s="264" t="str">
        <f>IF(Dat_02!H219=0,"",Dat_02!H219)</f>
        <v/>
      </c>
    </row>
    <row r="221" spans="2:10">
      <c r="B221" s="248"/>
      <c r="C221" s="249" t="s">
        <v>375</v>
      </c>
      <c r="D221" s="248"/>
      <c r="E221" s="251">
        <f>Dat_02!C220</f>
        <v>55.85604437125847</v>
      </c>
      <c r="F221" s="251">
        <f>Dat_02!D220</f>
        <v>64.512028542813908</v>
      </c>
      <c r="G221" s="251">
        <f>Dat_02!E220</f>
        <v>55.85604437125847</v>
      </c>
      <c r="I221" s="252">
        <f>Dat_02!G220</f>
        <v>0</v>
      </c>
      <c r="J221" s="264" t="str">
        <f>IF(Dat_02!H220=0,"",Dat_02!H220)</f>
        <v/>
      </c>
    </row>
    <row r="222" spans="2:10">
      <c r="B222" s="248"/>
      <c r="C222" s="249" t="s">
        <v>376</v>
      </c>
      <c r="D222" s="248"/>
      <c r="E222" s="251">
        <f>Dat_02!C221</f>
        <v>38.13264437125661</v>
      </c>
      <c r="F222" s="251">
        <f>Dat_02!D221</f>
        <v>64.512028542813908</v>
      </c>
      <c r="G222" s="251">
        <f>Dat_02!E221</f>
        <v>38.13264437125661</v>
      </c>
      <c r="I222" s="252">
        <f>Dat_02!G221</f>
        <v>0</v>
      </c>
      <c r="J222" s="264" t="str">
        <f>IF(Dat_02!H221=0,"",Dat_02!H221)</f>
        <v/>
      </c>
    </row>
    <row r="223" spans="2:10">
      <c r="B223" s="248"/>
      <c r="C223" s="249" t="s">
        <v>377</v>
      </c>
      <c r="D223" s="248"/>
      <c r="E223" s="251">
        <f>Dat_02!C222</f>
        <v>32.878044371254745</v>
      </c>
      <c r="F223" s="251">
        <f>Dat_02!D222</f>
        <v>64.512028542813908</v>
      </c>
      <c r="G223" s="251">
        <f>Dat_02!E222</f>
        <v>32.878044371254745</v>
      </c>
      <c r="I223" s="252">
        <f>Dat_02!G222</f>
        <v>0</v>
      </c>
      <c r="J223" s="264" t="str">
        <f>IF(Dat_02!H222=0,"",Dat_02!H222)</f>
        <v/>
      </c>
    </row>
    <row r="224" spans="2:10">
      <c r="B224" s="248"/>
      <c r="C224" s="249" t="s">
        <v>378</v>
      </c>
      <c r="D224" s="248"/>
      <c r="E224" s="251">
        <f>Dat_02!C223</f>
        <v>34.727844371256609</v>
      </c>
      <c r="F224" s="251">
        <f>Dat_02!D223</f>
        <v>64.512028542813908</v>
      </c>
      <c r="G224" s="251">
        <f>Dat_02!E223</f>
        <v>34.727844371256609</v>
      </c>
      <c r="I224" s="252">
        <f>Dat_02!G223</f>
        <v>0</v>
      </c>
      <c r="J224" s="264" t="str">
        <f>IF(Dat_02!H223=0,"",Dat_02!H223)</f>
        <v/>
      </c>
    </row>
    <row r="225" spans="2:10">
      <c r="B225" s="248"/>
      <c r="C225" s="249" t="s">
        <v>379</v>
      </c>
      <c r="D225" s="248"/>
      <c r="E225" s="251">
        <f>Dat_02!C224</f>
        <v>44.663944371258459</v>
      </c>
      <c r="F225" s="251">
        <f>Dat_02!D224</f>
        <v>64.512028542813908</v>
      </c>
      <c r="G225" s="251">
        <f>Dat_02!E224</f>
        <v>44.663944371258459</v>
      </c>
      <c r="I225" s="252">
        <f>Dat_02!G224</f>
        <v>0</v>
      </c>
      <c r="J225" s="264" t="str">
        <f>IF(Dat_02!H224=0,"",Dat_02!H224)</f>
        <v/>
      </c>
    </row>
    <row r="226" spans="2:10">
      <c r="B226" s="248"/>
      <c r="C226" s="249" t="s">
        <v>380</v>
      </c>
      <c r="D226" s="248"/>
      <c r="E226" s="251">
        <f>Dat_02!C225</f>
        <v>71.323262023906778</v>
      </c>
      <c r="F226" s="251">
        <f>Dat_02!D225</f>
        <v>64.512028542813908</v>
      </c>
      <c r="G226" s="251">
        <f>Dat_02!E225</f>
        <v>64.512028542813908</v>
      </c>
      <c r="I226" s="252">
        <f>Dat_02!G225</f>
        <v>0</v>
      </c>
      <c r="J226" s="264" t="str">
        <f>IF(Dat_02!H225=0,"",Dat_02!H225)</f>
        <v/>
      </c>
    </row>
    <row r="227" spans="2:10">
      <c r="B227" s="248"/>
      <c r="C227" s="249" t="s">
        <v>381</v>
      </c>
      <c r="D227" s="248"/>
      <c r="E227" s="251">
        <f>Dat_02!C226</f>
        <v>55.397262023908645</v>
      </c>
      <c r="F227" s="251">
        <f>Dat_02!D226</f>
        <v>64.512028542813908</v>
      </c>
      <c r="G227" s="251">
        <f>Dat_02!E226</f>
        <v>55.397262023908645</v>
      </c>
      <c r="I227" s="252">
        <f>Dat_02!G226</f>
        <v>0</v>
      </c>
      <c r="J227" s="264" t="str">
        <f>IF(Dat_02!H226=0,"",Dat_02!H226)</f>
        <v/>
      </c>
    </row>
    <row r="228" spans="2:10">
      <c r="B228" s="248"/>
      <c r="C228" s="249" t="s">
        <v>382</v>
      </c>
      <c r="D228" s="248"/>
      <c r="E228" s="251">
        <f>Dat_02!C227</f>
        <v>61.927462023908653</v>
      </c>
      <c r="F228" s="251">
        <f>Dat_02!D227</f>
        <v>64.512028542813908</v>
      </c>
      <c r="G228" s="251">
        <f>Dat_02!E227</f>
        <v>61.927462023908653</v>
      </c>
      <c r="I228" s="252">
        <f>Dat_02!G227</f>
        <v>0</v>
      </c>
      <c r="J228" s="264" t="str">
        <f>IF(Dat_02!H227=0,"",Dat_02!H227)</f>
        <v/>
      </c>
    </row>
    <row r="229" spans="2:10">
      <c r="B229" s="248"/>
      <c r="C229" s="249" t="s">
        <v>383</v>
      </c>
      <c r="D229" s="248"/>
      <c r="E229" s="251">
        <f>Dat_02!C228</f>
        <v>56.816062023908643</v>
      </c>
      <c r="F229" s="251">
        <f>Dat_02!D228</f>
        <v>64.512028542813908</v>
      </c>
      <c r="G229" s="251">
        <f>Dat_02!E228</f>
        <v>56.816062023908643</v>
      </c>
      <c r="I229" s="252">
        <f>Dat_02!G228</f>
        <v>0</v>
      </c>
      <c r="J229" s="264" t="str">
        <f>IF(Dat_02!H228=0,"",Dat_02!H228)</f>
        <v/>
      </c>
    </row>
    <row r="230" spans="2:10">
      <c r="B230" s="248"/>
      <c r="C230" s="249" t="s">
        <v>384</v>
      </c>
      <c r="D230" s="248"/>
      <c r="E230" s="251">
        <f>Dat_02!C229</f>
        <v>53.090462023908643</v>
      </c>
      <c r="F230" s="251">
        <f>Dat_02!D229</f>
        <v>64.512028542813908</v>
      </c>
      <c r="G230" s="251">
        <f>Dat_02!E229</f>
        <v>53.090462023908643</v>
      </c>
      <c r="I230" s="252">
        <f>Dat_02!G229</f>
        <v>0</v>
      </c>
      <c r="J230" s="264" t="str">
        <f>IF(Dat_02!H229=0,"",Dat_02!H229)</f>
        <v/>
      </c>
    </row>
    <row r="231" spans="2:10">
      <c r="B231" s="248"/>
      <c r="C231" s="249" t="s">
        <v>385</v>
      </c>
      <c r="D231" s="248"/>
      <c r="E231" s="251">
        <f>Dat_02!C230</f>
        <v>65.941062023908643</v>
      </c>
      <c r="F231" s="251">
        <f>Dat_02!D230</f>
        <v>64.512028542813908</v>
      </c>
      <c r="G231" s="251">
        <f>Dat_02!E230</f>
        <v>64.512028542813908</v>
      </c>
      <c r="I231" s="252">
        <f>Dat_02!G230</f>
        <v>64.512028542813908</v>
      </c>
      <c r="J231" s="264" t="str">
        <f>IF(Dat_02!H230=0,"",Dat_02!H230)</f>
        <v/>
      </c>
    </row>
    <row r="232" spans="2:10">
      <c r="B232" s="248"/>
      <c r="C232" s="249" t="s">
        <v>386</v>
      </c>
      <c r="D232" s="248"/>
      <c r="E232" s="251">
        <f>Dat_02!C231</f>
        <v>68.063362023908638</v>
      </c>
      <c r="F232" s="251">
        <f>Dat_02!D231</f>
        <v>64.512028542813908</v>
      </c>
      <c r="G232" s="251">
        <f>Dat_02!E231</f>
        <v>64.512028542813908</v>
      </c>
      <c r="I232" s="252">
        <f>Dat_02!G231</f>
        <v>0</v>
      </c>
      <c r="J232" s="264" t="str">
        <f>IF(Dat_02!H231=0,"",Dat_02!H231)</f>
        <v/>
      </c>
    </row>
    <row r="233" spans="2:10">
      <c r="B233" s="248"/>
      <c r="C233" s="249" t="s">
        <v>387</v>
      </c>
      <c r="D233" s="248"/>
      <c r="E233" s="251">
        <f>Dat_02!C232</f>
        <v>57.908673730405049</v>
      </c>
      <c r="F233" s="251">
        <f>Dat_02!D232</f>
        <v>64.512028542813908</v>
      </c>
      <c r="G233" s="251">
        <f>Dat_02!E232</f>
        <v>57.908673730405049</v>
      </c>
      <c r="I233" s="252">
        <f>Dat_02!G232</f>
        <v>0</v>
      </c>
      <c r="J233" s="264" t="str">
        <f>IF(Dat_02!H232=0,"",Dat_02!H232)</f>
        <v/>
      </c>
    </row>
    <row r="234" spans="2:10">
      <c r="B234" s="248"/>
      <c r="C234" s="249" t="s">
        <v>388</v>
      </c>
      <c r="D234" s="248"/>
      <c r="E234" s="251">
        <f>Dat_02!C233</f>
        <v>51.14037373041063</v>
      </c>
      <c r="F234" s="251">
        <f>Dat_02!D233</f>
        <v>64.512028542813908</v>
      </c>
      <c r="G234" s="251">
        <f>Dat_02!E233</f>
        <v>51.14037373041063</v>
      </c>
      <c r="I234" s="252">
        <f>Dat_02!G233</f>
        <v>0</v>
      </c>
      <c r="J234" s="264" t="str">
        <f>IF(Dat_02!H233=0,"",Dat_02!H233)</f>
        <v/>
      </c>
    </row>
    <row r="235" spans="2:10">
      <c r="B235" s="248"/>
      <c r="C235" s="249" t="s">
        <v>389</v>
      </c>
      <c r="D235" s="248"/>
      <c r="E235" s="251">
        <f>Dat_02!C234</f>
        <v>48.942373730403183</v>
      </c>
      <c r="F235" s="251">
        <f>Dat_02!D234</f>
        <v>64.512028542813908</v>
      </c>
      <c r="G235" s="251">
        <f>Dat_02!E234</f>
        <v>48.942373730403183</v>
      </c>
      <c r="I235" s="252">
        <f>Dat_02!G234</f>
        <v>0</v>
      </c>
      <c r="J235" s="264" t="str">
        <f>IF(Dat_02!H234=0,"",Dat_02!H234)</f>
        <v/>
      </c>
    </row>
    <row r="236" spans="2:10">
      <c r="B236" s="248"/>
      <c r="C236" s="249" t="s">
        <v>390</v>
      </c>
      <c r="D236" s="248"/>
      <c r="E236" s="251">
        <f>Dat_02!C235</f>
        <v>32.105273730408769</v>
      </c>
      <c r="F236" s="251">
        <f>Dat_02!D235</f>
        <v>64.512028542813908</v>
      </c>
      <c r="G236" s="251">
        <f>Dat_02!E235</f>
        <v>32.105273730408769</v>
      </c>
      <c r="I236" s="252">
        <f>Dat_02!G235</f>
        <v>0</v>
      </c>
      <c r="J236" s="264" t="str">
        <f>IF(Dat_02!H235=0,"",Dat_02!H235)</f>
        <v/>
      </c>
    </row>
    <row r="237" spans="2:10">
      <c r="B237" s="248"/>
      <c r="C237" s="249" t="s">
        <v>391</v>
      </c>
      <c r="D237" s="248"/>
      <c r="E237" s="251">
        <f>Dat_02!C236</f>
        <v>26.652473730408776</v>
      </c>
      <c r="F237" s="251">
        <f>Dat_02!D236</f>
        <v>64.512028542813908</v>
      </c>
      <c r="G237" s="251">
        <f>Dat_02!E236</f>
        <v>26.652473730408776</v>
      </c>
      <c r="I237" s="252">
        <f>Dat_02!G236</f>
        <v>0</v>
      </c>
      <c r="J237" s="264" t="str">
        <f>IF(Dat_02!H236=0,"",Dat_02!H236)</f>
        <v/>
      </c>
    </row>
    <row r="238" spans="2:10">
      <c r="B238" s="248"/>
      <c r="C238" s="249" t="s">
        <v>392</v>
      </c>
      <c r="D238" s="248"/>
      <c r="E238" s="251">
        <f>Dat_02!C237</f>
        <v>45.374773730406915</v>
      </c>
      <c r="F238" s="251">
        <f>Dat_02!D237</f>
        <v>64.512028542813908</v>
      </c>
      <c r="G238" s="251">
        <f>Dat_02!E237</f>
        <v>45.374773730406915</v>
      </c>
      <c r="I238" s="252">
        <f>Dat_02!G237</f>
        <v>0</v>
      </c>
      <c r="J238" s="264" t="str">
        <f>IF(Dat_02!H237=0,"",Dat_02!H237)</f>
        <v/>
      </c>
    </row>
    <row r="239" spans="2:10">
      <c r="B239" s="248"/>
      <c r="C239" s="249" t="s">
        <v>393</v>
      </c>
      <c r="D239" s="248"/>
      <c r="E239" s="251">
        <f>Dat_02!C238</f>
        <v>63.074573730406904</v>
      </c>
      <c r="F239" s="251">
        <f>Dat_02!D238</f>
        <v>64.512028542813908</v>
      </c>
      <c r="G239" s="251">
        <f>Dat_02!E238</f>
        <v>63.074573730406904</v>
      </c>
      <c r="I239" s="252">
        <f>Dat_02!G238</f>
        <v>0</v>
      </c>
      <c r="J239" s="264" t="str">
        <f>IF(Dat_02!H238=0,"",Dat_02!H238)</f>
        <v/>
      </c>
    </row>
    <row r="240" spans="2:10">
      <c r="B240" s="248"/>
      <c r="C240" s="249" t="s">
        <v>394</v>
      </c>
      <c r="D240" s="248"/>
      <c r="E240" s="251">
        <f>Dat_02!C239</f>
        <v>38.710998386582361</v>
      </c>
      <c r="F240" s="251">
        <f>Dat_02!D239</f>
        <v>64.512028542813908</v>
      </c>
      <c r="G240" s="251">
        <f>Dat_02!E239</f>
        <v>38.710998386582361</v>
      </c>
      <c r="I240" s="252">
        <f>Dat_02!G239</f>
        <v>0</v>
      </c>
      <c r="J240" s="264" t="str">
        <f>IF(Dat_02!H239=0,"",Dat_02!H239)</f>
        <v/>
      </c>
    </row>
    <row r="241" spans="2:10">
      <c r="B241" s="248"/>
      <c r="C241" s="249" t="s">
        <v>395</v>
      </c>
      <c r="D241" s="248"/>
      <c r="E241" s="251">
        <f>Dat_02!C240</f>
        <v>49.306998386587949</v>
      </c>
      <c r="F241" s="251">
        <f>Dat_02!D240</f>
        <v>64.512028542813908</v>
      </c>
      <c r="G241" s="251">
        <f>Dat_02!E240</f>
        <v>49.306998386587949</v>
      </c>
      <c r="I241" s="252">
        <f>Dat_02!G240</f>
        <v>0</v>
      </c>
      <c r="J241" s="264" t="str">
        <f>IF(Dat_02!H240=0,"",Dat_02!H240)</f>
        <v/>
      </c>
    </row>
    <row r="242" spans="2:10">
      <c r="B242" s="248"/>
      <c r="C242" s="249" t="s">
        <v>396</v>
      </c>
      <c r="D242" s="248"/>
      <c r="E242" s="251">
        <f>Dat_02!C241</f>
        <v>49.329998386584222</v>
      </c>
      <c r="F242" s="251">
        <f>Dat_02!D241</f>
        <v>64.512028542813908</v>
      </c>
      <c r="G242" s="251">
        <f>Dat_02!E241</f>
        <v>49.329998386584222</v>
      </c>
      <c r="I242" s="252">
        <f>Dat_02!G241</f>
        <v>0</v>
      </c>
      <c r="J242" s="264" t="str">
        <f>IF(Dat_02!H241=0,"",Dat_02!H241)</f>
        <v/>
      </c>
    </row>
    <row r="243" spans="2:10">
      <c r="B243" s="248"/>
      <c r="C243" s="249" t="s">
        <v>397</v>
      </c>
      <c r="D243" s="248"/>
      <c r="E243" s="251">
        <f>Dat_02!C242</f>
        <v>34.305298386582365</v>
      </c>
      <c r="F243" s="251">
        <f>Dat_02!D242</f>
        <v>64.512028542813908</v>
      </c>
      <c r="G243" s="251">
        <f>Dat_02!E242</f>
        <v>34.305298386582365</v>
      </c>
      <c r="I243" s="252">
        <f>Dat_02!G242</f>
        <v>0</v>
      </c>
      <c r="J243" s="264" t="str">
        <f>IF(Dat_02!H242=0,"",Dat_02!H242)</f>
        <v/>
      </c>
    </row>
    <row r="244" spans="2:10">
      <c r="B244" s="248"/>
      <c r="C244" s="249" t="s">
        <v>398</v>
      </c>
      <c r="D244" s="248"/>
      <c r="E244" s="251">
        <f>Dat_02!C243</f>
        <v>30.354798386584225</v>
      </c>
      <c r="F244" s="251">
        <f>Dat_02!D243</f>
        <v>64.512028542813908</v>
      </c>
      <c r="G244" s="251">
        <f>Dat_02!E243</f>
        <v>30.354798386584225</v>
      </c>
      <c r="I244" s="252">
        <f>Dat_02!G243</f>
        <v>0</v>
      </c>
      <c r="J244" s="264" t="str">
        <f>IF(Dat_02!H243=0,"",Dat_02!H243)</f>
        <v/>
      </c>
    </row>
    <row r="245" spans="2:10">
      <c r="B245" s="248"/>
      <c r="C245" s="249" t="s">
        <v>399</v>
      </c>
      <c r="D245" s="248"/>
      <c r="E245" s="251">
        <f>Dat_02!C244</f>
        <v>45.563998386586086</v>
      </c>
      <c r="F245" s="251">
        <f>Dat_02!D244</f>
        <v>64.512028542813908</v>
      </c>
      <c r="G245" s="251">
        <f>Dat_02!E244</f>
        <v>45.563998386586086</v>
      </c>
      <c r="I245" s="252">
        <f>Dat_02!G244</f>
        <v>0</v>
      </c>
      <c r="J245" s="264" t="str">
        <f>IF(Dat_02!H244=0,"",Dat_02!H244)</f>
        <v/>
      </c>
    </row>
    <row r="246" spans="2:10">
      <c r="B246" s="248"/>
      <c r="C246" s="249" t="s">
        <v>400</v>
      </c>
      <c r="D246" s="248"/>
      <c r="E246" s="251">
        <f>Dat_02!C245</f>
        <v>58.461398386580491</v>
      </c>
      <c r="F246" s="251">
        <f>Dat_02!D245</f>
        <v>64.512028542813908</v>
      </c>
      <c r="G246" s="251">
        <f>Dat_02!E245</f>
        <v>58.461398386580491</v>
      </c>
      <c r="I246" s="252">
        <f>Dat_02!G245</f>
        <v>0</v>
      </c>
      <c r="J246" s="264" t="str">
        <f>IF(Dat_02!H245=0,"",Dat_02!H245)</f>
        <v/>
      </c>
    </row>
    <row r="247" spans="2:10">
      <c r="B247" s="250" t="s">
        <v>401</v>
      </c>
      <c r="C247" s="255" t="s">
        <v>402</v>
      </c>
      <c r="D247" s="248"/>
      <c r="E247" s="251">
        <f>Dat_02!C246</f>
        <v>51.952441889485343</v>
      </c>
      <c r="F247" s="251">
        <f>Dat_02!D246</f>
        <v>28.410222830287367</v>
      </c>
      <c r="G247" s="251">
        <f>Dat_02!E246</f>
        <v>28.410222830287367</v>
      </c>
      <c r="I247" s="252">
        <f>Dat_02!G246</f>
        <v>0</v>
      </c>
      <c r="J247" s="264" t="str">
        <f>IF(Dat_02!H246=0,"",Dat_02!H246)</f>
        <v/>
      </c>
    </row>
    <row r="248" spans="2:10">
      <c r="B248" s="248"/>
      <c r="C248" s="249" t="s">
        <v>403</v>
      </c>
      <c r="D248" s="250"/>
      <c r="E248" s="251">
        <f>Dat_02!C247</f>
        <v>37.132841889485341</v>
      </c>
      <c r="F248" s="251">
        <f>Dat_02!D247</f>
        <v>28.410222830287367</v>
      </c>
      <c r="G248" s="251">
        <f>Dat_02!E247</f>
        <v>28.410222830287367</v>
      </c>
      <c r="I248" s="252">
        <f>Dat_02!G247</f>
        <v>0</v>
      </c>
      <c r="J248" s="264" t="str">
        <f>IF(Dat_02!H247=0,"",Dat_02!H247)</f>
        <v/>
      </c>
    </row>
    <row r="249" spans="2:10">
      <c r="B249" s="248"/>
      <c r="C249" s="249" t="s">
        <v>404</v>
      </c>
      <c r="D249" s="250"/>
      <c r="E249" s="251">
        <f>Dat_02!C248</f>
        <v>14.066841889485346</v>
      </c>
      <c r="F249" s="251">
        <f>Dat_02!D248</f>
        <v>28.410222830287367</v>
      </c>
      <c r="G249" s="251">
        <f>Dat_02!E248</f>
        <v>14.066841889485346</v>
      </c>
      <c r="I249" s="252">
        <f>Dat_02!G248</f>
        <v>0</v>
      </c>
      <c r="J249" s="264" t="str">
        <f>IF(Dat_02!H248=0,"",Dat_02!H248)</f>
        <v/>
      </c>
    </row>
    <row r="250" spans="2:10">
      <c r="B250" s="248"/>
      <c r="C250" s="249" t="s">
        <v>405</v>
      </c>
      <c r="D250" s="250"/>
      <c r="E250" s="251">
        <f>Dat_02!C249</f>
        <v>8.3983418894853461</v>
      </c>
      <c r="F250" s="251">
        <f>Dat_02!D249</f>
        <v>28.410222830287367</v>
      </c>
      <c r="G250" s="251">
        <f>Dat_02!E249</f>
        <v>8.3983418894853461</v>
      </c>
      <c r="I250" s="252">
        <f>Dat_02!G249</f>
        <v>0</v>
      </c>
      <c r="J250" s="264" t="str">
        <f>IF(Dat_02!H249=0,"",Dat_02!H249)</f>
        <v/>
      </c>
    </row>
    <row r="251" spans="2:10">
      <c r="B251" s="248"/>
      <c r="C251" s="249" t="s">
        <v>406</v>
      </c>
      <c r="D251" s="250"/>
      <c r="E251" s="251">
        <f>Dat_02!C250</f>
        <v>8.0012418894834845</v>
      </c>
      <c r="F251" s="251">
        <f>Dat_02!D250</f>
        <v>28.410222830287367</v>
      </c>
      <c r="G251" s="251">
        <f>Dat_02!E250</f>
        <v>8.0012418894834845</v>
      </c>
      <c r="I251" s="252">
        <f>Dat_02!G250</f>
        <v>0</v>
      </c>
      <c r="J251" s="264" t="str">
        <f>IF(Dat_02!H250=0,"",Dat_02!H250)</f>
        <v/>
      </c>
    </row>
    <row r="252" spans="2:10">
      <c r="B252" s="248"/>
      <c r="C252" s="249" t="s">
        <v>407</v>
      </c>
      <c r="D252" s="248"/>
      <c r="E252" s="251">
        <f>Dat_02!C251</f>
        <v>17.791341889485345</v>
      </c>
      <c r="F252" s="251">
        <f>Dat_02!D251</f>
        <v>28.410222830287367</v>
      </c>
      <c r="G252" s="251">
        <f>Dat_02!E251</f>
        <v>17.791341889485345</v>
      </c>
      <c r="I252" s="252">
        <f>Dat_02!G251</f>
        <v>0</v>
      </c>
      <c r="J252" s="264" t="str">
        <f>IF(Dat_02!H251=0,"",Dat_02!H251)</f>
        <v/>
      </c>
    </row>
    <row r="253" spans="2:10">
      <c r="B253" s="248"/>
      <c r="C253" s="249" t="s">
        <v>408</v>
      </c>
      <c r="D253" s="248"/>
      <c r="E253" s="251">
        <f>Dat_02!C252</f>
        <v>25.094941889481618</v>
      </c>
      <c r="F253" s="251">
        <f>Dat_02!D252</f>
        <v>28.410222830287367</v>
      </c>
      <c r="G253" s="251">
        <f>Dat_02!E252</f>
        <v>25.094941889481618</v>
      </c>
      <c r="I253" s="252">
        <f>Dat_02!G252</f>
        <v>0</v>
      </c>
      <c r="J253" s="264" t="str">
        <f>IF(Dat_02!H252=0,"",Dat_02!H252)</f>
        <v/>
      </c>
    </row>
    <row r="254" spans="2:10">
      <c r="B254" s="248"/>
      <c r="C254" s="249" t="s">
        <v>409</v>
      </c>
      <c r="D254" s="248"/>
      <c r="E254" s="251">
        <f>Dat_02!C253</f>
        <v>31.865014404026791</v>
      </c>
      <c r="F254" s="251">
        <f>Dat_02!D253</f>
        <v>28.410222830287367</v>
      </c>
      <c r="G254" s="251">
        <f>Dat_02!E253</f>
        <v>28.410222830287367</v>
      </c>
      <c r="I254" s="252">
        <f>Dat_02!G253</f>
        <v>0</v>
      </c>
      <c r="J254" s="264" t="str">
        <f>IF(Dat_02!H253=0,"",Dat_02!H253)</f>
        <v/>
      </c>
    </row>
    <row r="255" spans="2:10">
      <c r="B255" s="248"/>
      <c r="C255" s="249" t="s">
        <v>410</v>
      </c>
      <c r="D255" s="248"/>
      <c r="E255" s="251">
        <f>Dat_02!C254</f>
        <v>27.082214404023063</v>
      </c>
      <c r="F255" s="251">
        <f>Dat_02!D254</f>
        <v>28.410222830287367</v>
      </c>
      <c r="G255" s="251">
        <f>Dat_02!E254</f>
        <v>27.082214404023063</v>
      </c>
      <c r="I255" s="252">
        <f>Dat_02!G254</f>
        <v>0</v>
      </c>
      <c r="J255" s="264" t="str">
        <f>IF(Dat_02!H254=0,"",Dat_02!H254)</f>
        <v/>
      </c>
    </row>
    <row r="256" spans="2:10">
      <c r="B256" s="248"/>
      <c r="C256" s="249" t="s">
        <v>411</v>
      </c>
      <c r="D256" s="248"/>
      <c r="E256" s="251">
        <f>Dat_02!C255</f>
        <v>21.241714404026787</v>
      </c>
      <c r="F256" s="251">
        <f>Dat_02!D255</f>
        <v>28.410222830287367</v>
      </c>
      <c r="G256" s="251">
        <f>Dat_02!E255</f>
        <v>21.241714404026787</v>
      </c>
      <c r="I256" s="252">
        <f>Dat_02!G255</f>
        <v>0</v>
      </c>
      <c r="J256" s="264" t="str">
        <f>IF(Dat_02!H255=0,"",Dat_02!H255)</f>
        <v/>
      </c>
    </row>
    <row r="257" spans="2:10">
      <c r="B257" s="248"/>
      <c r="C257" s="249" t="s">
        <v>412</v>
      </c>
      <c r="D257" s="248"/>
      <c r="E257" s="251">
        <f>Dat_02!C256</f>
        <v>17.792714404021201</v>
      </c>
      <c r="F257" s="251">
        <f>Dat_02!D256</f>
        <v>28.410222830287367</v>
      </c>
      <c r="G257" s="251">
        <f>Dat_02!E256</f>
        <v>17.792714404021201</v>
      </c>
      <c r="I257" s="252">
        <f>Dat_02!G256</f>
        <v>0</v>
      </c>
      <c r="J257" s="264" t="str">
        <f>IF(Dat_02!H256=0,"",Dat_02!H256)</f>
        <v/>
      </c>
    </row>
    <row r="258" spans="2:10">
      <c r="B258" s="248"/>
      <c r="C258" s="249" t="s">
        <v>413</v>
      </c>
      <c r="D258" s="248"/>
      <c r="E258" s="251">
        <f>Dat_02!C257</f>
        <v>8.9562144040249265</v>
      </c>
      <c r="F258" s="251">
        <f>Dat_02!D257</f>
        <v>28.410222830287367</v>
      </c>
      <c r="G258" s="251">
        <f>Dat_02!E257</f>
        <v>8.9562144040249265</v>
      </c>
      <c r="I258" s="252">
        <f>Dat_02!G257</f>
        <v>0</v>
      </c>
      <c r="J258" s="264" t="str">
        <f>IF(Dat_02!H257=0,"",Dat_02!H257)</f>
        <v/>
      </c>
    </row>
    <row r="259" spans="2:10">
      <c r="B259" s="248"/>
      <c r="C259" s="249" t="s">
        <v>414</v>
      </c>
      <c r="D259" s="248"/>
      <c r="E259" s="251">
        <f>Dat_02!C258</f>
        <v>23.02581440402307</v>
      </c>
      <c r="F259" s="251">
        <f>Dat_02!D258</f>
        <v>28.410222830287367</v>
      </c>
      <c r="G259" s="251">
        <f>Dat_02!E258</f>
        <v>23.02581440402307</v>
      </c>
      <c r="I259" s="252">
        <f>Dat_02!G258</f>
        <v>0</v>
      </c>
      <c r="J259" s="264" t="str">
        <f>IF(Dat_02!H258=0,"",Dat_02!H258)</f>
        <v/>
      </c>
    </row>
    <row r="260" spans="2:10">
      <c r="B260" s="248"/>
      <c r="C260" s="249" t="s">
        <v>415</v>
      </c>
      <c r="D260" s="248"/>
      <c r="E260" s="251">
        <f>Dat_02!C259</f>
        <v>22.195214404024927</v>
      </c>
      <c r="F260" s="251">
        <f>Dat_02!D259</f>
        <v>28.410222830287367</v>
      </c>
      <c r="G260" s="251">
        <f>Dat_02!E259</f>
        <v>22.195214404024927</v>
      </c>
      <c r="I260" s="252">
        <f>Dat_02!G259</f>
        <v>0</v>
      </c>
      <c r="J260" s="264" t="str">
        <f>IF(Dat_02!H259=0,"",Dat_02!H259)</f>
        <v/>
      </c>
    </row>
    <row r="261" spans="2:10">
      <c r="B261" s="248"/>
      <c r="C261" s="249" t="s">
        <v>416</v>
      </c>
      <c r="D261" s="248"/>
      <c r="E261" s="251">
        <f>Dat_02!C260</f>
        <v>21.587164615732057</v>
      </c>
      <c r="F261" s="251">
        <f>Dat_02!D260</f>
        <v>28.410222830287367</v>
      </c>
      <c r="G261" s="251">
        <f>Dat_02!E260</f>
        <v>21.587164615732057</v>
      </c>
      <c r="I261" s="252">
        <f>Dat_02!G260</f>
        <v>28.410222830287367</v>
      </c>
      <c r="J261" s="264" t="str">
        <f>IF(Dat_02!H260=0,"",Dat_02!H260)</f>
        <v/>
      </c>
    </row>
    <row r="262" spans="2:10">
      <c r="B262" s="248"/>
      <c r="C262" s="249" t="s">
        <v>417</v>
      </c>
      <c r="D262" s="248"/>
      <c r="E262" s="251">
        <f>Dat_02!C261</f>
        <v>22.25656461573206</v>
      </c>
      <c r="F262" s="251">
        <f>Dat_02!D261</f>
        <v>28.410222830287367</v>
      </c>
      <c r="G262" s="251">
        <f>Dat_02!E261</f>
        <v>22.25656461573206</v>
      </c>
      <c r="I262" s="252">
        <f>Dat_02!G261</f>
        <v>0</v>
      </c>
      <c r="J262" s="264" t="str">
        <f>IF(Dat_02!H261=0,"",Dat_02!H261)</f>
        <v/>
      </c>
    </row>
    <row r="263" spans="2:10">
      <c r="B263" s="248"/>
      <c r="C263" s="249" t="s">
        <v>418</v>
      </c>
      <c r="D263" s="248"/>
      <c r="E263" s="251">
        <f>Dat_02!C262</f>
        <v>24.386564615732059</v>
      </c>
      <c r="F263" s="251">
        <f>Dat_02!D262</f>
        <v>28.410222830287367</v>
      </c>
      <c r="G263" s="251">
        <f>Dat_02!E262</f>
        <v>24.386564615732059</v>
      </c>
      <c r="I263" s="252">
        <f>Dat_02!G262</f>
        <v>0</v>
      </c>
      <c r="J263" s="264" t="str">
        <f>IF(Dat_02!H262=0,"",Dat_02!H262)</f>
        <v/>
      </c>
    </row>
    <row r="264" spans="2:10">
      <c r="B264" s="248"/>
      <c r="C264" s="249" t="s">
        <v>419</v>
      </c>
      <c r="D264" s="248"/>
      <c r="E264" s="251">
        <f>Dat_02!C263</f>
        <v>19.524964615733921</v>
      </c>
      <c r="F264" s="251">
        <f>Dat_02!D263</f>
        <v>28.410222830287367</v>
      </c>
      <c r="G264" s="251">
        <f>Dat_02!E263</f>
        <v>19.524964615733921</v>
      </c>
      <c r="I264" s="252">
        <f>Dat_02!G263</f>
        <v>0</v>
      </c>
      <c r="J264" s="264" t="str">
        <f>IF(Dat_02!H263=0,"",Dat_02!H263)</f>
        <v/>
      </c>
    </row>
    <row r="265" spans="2:10">
      <c r="B265" s="248"/>
      <c r="C265" s="249" t="s">
        <v>420</v>
      </c>
      <c r="D265" s="248"/>
      <c r="E265" s="251">
        <f>Dat_02!C264</f>
        <v>12.476364615733925</v>
      </c>
      <c r="F265" s="251">
        <f>Dat_02!D264</f>
        <v>28.410222830287367</v>
      </c>
      <c r="G265" s="251">
        <f>Dat_02!E264</f>
        <v>12.476364615733925</v>
      </c>
      <c r="I265" s="252">
        <f>Dat_02!G264</f>
        <v>0</v>
      </c>
      <c r="J265" s="264" t="str">
        <f>IF(Dat_02!H264=0,"",Dat_02!H264)</f>
        <v/>
      </c>
    </row>
    <row r="266" spans="2:10">
      <c r="B266" s="248"/>
      <c r="C266" s="249" t="s">
        <v>421</v>
      </c>
      <c r="D266" s="248"/>
      <c r="E266" s="251">
        <f>Dat_02!C265</f>
        <v>27.044864615730198</v>
      </c>
      <c r="F266" s="251">
        <f>Dat_02!D265</f>
        <v>28.410222830287367</v>
      </c>
      <c r="G266" s="251">
        <f>Dat_02!E265</f>
        <v>27.044864615730198</v>
      </c>
      <c r="I266" s="252">
        <f>Dat_02!G265</f>
        <v>0</v>
      </c>
      <c r="J266" s="264" t="str">
        <f>IF(Dat_02!H265=0,"",Dat_02!H265)</f>
        <v/>
      </c>
    </row>
    <row r="267" spans="2:10">
      <c r="B267" s="248"/>
      <c r="C267" s="249" t="s">
        <v>422</v>
      </c>
      <c r="D267" s="248"/>
      <c r="E267" s="251">
        <f>Dat_02!C266</f>
        <v>19.316464615733924</v>
      </c>
      <c r="F267" s="251">
        <f>Dat_02!D266</f>
        <v>28.410222830287367</v>
      </c>
      <c r="G267" s="251">
        <f>Dat_02!E266</f>
        <v>19.316464615733924</v>
      </c>
      <c r="I267" s="252">
        <f>Dat_02!G266</f>
        <v>0</v>
      </c>
      <c r="J267" s="264" t="str">
        <f>IF(Dat_02!H266=0,"",Dat_02!H266)</f>
        <v/>
      </c>
    </row>
    <row r="268" spans="2:10">
      <c r="B268" s="248"/>
      <c r="C268" s="249" t="s">
        <v>423</v>
      </c>
      <c r="D268" s="248"/>
      <c r="E268" s="251">
        <f>Dat_02!C267</f>
        <v>13.504691299972313</v>
      </c>
      <c r="F268" s="251">
        <f>Dat_02!D267</f>
        <v>28.410222830287367</v>
      </c>
      <c r="G268" s="251">
        <f>Dat_02!E267</f>
        <v>13.504691299972313</v>
      </c>
      <c r="I268" s="252">
        <f>Dat_02!G267</f>
        <v>0</v>
      </c>
      <c r="J268" s="264" t="str">
        <f>IF(Dat_02!H267=0,"",Dat_02!H267)</f>
        <v/>
      </c>
    </row>
    <row r="269" spans="2:10">
      <c r="B269" s="248"/>
      <c r="C269" s="249" t="s">
        <v>424</v>
      </c>
      <c r="D269" s="248"/>
      <c r="E269" s="251">
        <f>Dat_02!C268</f>
        <v>17.08589129997231</v>
      </c>
      <c r="F269" s="251">
        <f>Dat_02!D268</f>
        <v>28.410222830287367</v>
      </c>
      <c r="G269" s="251">
        <f>Dat_02!E268</f>
        <v>17.08589129997231</v>
      </c>
      <c r="I269" s="252">
        <f>Dat_02!G268</f>
        <v>0</v>
      </c>
      <c r="J269" s="264" t="str">
        <f>IF(Dat_02!H268=0,"",Dat_02!H268)</f>
        <v/>
      </c>
    </row>
    <row r="270" spans="2:10">
      <c r="B270" s="248"/>
      <c r="C270" s="249" t="s">
        <v>425</v>
      </c>
      <c r="D270" s="248"/>
      <c r="E270" s="251">
        <f>Dat_02!C269</f>
        <v>13.806591299974171</v>
      </c>
      <c r="F270" s="251">
        <f>Dat_02!D269</f>
        <v>28.410222830287367</v>
      </c>
      <c r="G270" s="251">
        <f>Dat_02!E269</f>
        <v>13.806591299974171</v>
      </c>
      <c r="I270" s="252">
        <f>Dat_02!G269</f>
        <v>0</v>
      </c>
      <c r="J270" s="264" t="str">
        <f>IF(Dat_02!H269=0,"",Dat_02!H269)</f>
        <v/>
      </c>
    </row>
    <row r="271" spans="2:10">
      <c r="B271" s="248"/>
      <c r="C271" s="249" t="s">
        <v>426</v>
      </c>
      <c r="D271" s="248"/>
      <c r="E271" s="251">
        <f>Dat_02!C270</f>
        <v>5.5891912999723132</v>
      </c>
      <c r="F271" s="251">
        <f>Dat_02!D270</f>
        <v>28.410222830287367</v>
      </c>
      <c r="G271" s="251">
        <f>Dat_02!E270</f>
        <v>5.5891912999723132</v>
      </c>
      <c r="I271" s="252">
        <f>Dat_02!G270</f>
        <v>0</v>
      </c>
      <c r="J271" s="264" t="str">
        <f>IF(Dat_02!H270=0,"",Dat_02!H270)</f>
        <v/>
      </c>
    </row>
    <row r="272" spans="2:10">
      <c r="B272" s="248"/>
      <c r="C272" s="249" t="s">
        <v>427</v>
      </c>
      <c r="D272" s="248"/>
      <c r="E272" s="251">
        <f>Dat_02!C271</f>
        <v>4.0950912999760334</v>
      </c>
      <c r="F272" s="251">
        <f>Dat_02!D271</f>
        <v>28.410222830287367</v>
      </c>
      <c r="G272" s="251">
        <f>Dat_02!E271</f>
        <v>4.0950912999760334</v>
      </c>
      <c r="I272" s="252">
        <f>Dat_02!G271</f>
        <v>0</v>
      </c>
      <c r="J272" s="264" t="str">
        <f>IF(Dat_02!H271=0,"",Dat_02!H271)</f>
        <v/>
      </c>
    </row>
    <row r="273" spans="2:10">
      <c r="B273" s="248"/>
      <c r="C273" s="249" t="s">
        <v>428</v>
      </c>
      <c r="D273" s="248"/>
      <c r="E273" s="251">
        <f>Dat_02!C272</f>
        <v>27.26549129997418</v>
      </c>
      <c r="F273" s="251">
        <f>Dat_02!D272</f>
        <v>28.410222830287367</v>
      </c>
      <c r="G273" s="251">
        <f>Dat_02!E272</f>
        <v>27.26549129997418</v>
      </c>
      <c r="I273" s="252">
        <f>Dat_02!G272</f>
        <v>0</v>
      </c>
      <c r="J273" s="264" t="str">
        <f>IF(Dat_02!H272=0,"",Dat_02!H272)</f>
        <v/>
      </c>
    </row>
    <row r="274" spans="2:10">
      <c r="B274" s="248"/>
      <c r="C274" s="249" t="s">
        <v>429</v>
      </c>
      <c r="D274" s="248"/>
      <c r="E274" s="251">
        <f>Dat_02!C273</f>
        <v>30.291691299972314</v>
      </c>
      <c r="F274" s="251">
        <f>Dat_02!D273</f>
        <v>28.410222830287367</v>
      </c>
      <c r="G274" s="251">
        <f>Dat_02!E273</f>
        <v>28.410222830287367</v>
      </c>
      <c r="I274" s="252">
        <f>Dat_02!G273</f>
        <v>0</v>
      </c>
      <c r="J274" s="264" t="str">
        <f>IF(Dat_02!H273=0,"",Dat_02!H273)</f>
        <v/>
      </c>
    </row>
    <row r="275" spans="2:10">
      <c r="B275" s="248"/>
      <c r="C275" s="249" t="s">
        <v>430</v>
      </c>
      <c r="D275" s="248"/>
      <c r="E275" s="251">
        <f>Dat_02!C274</f>
        <v>14.449744701170552</v>
      </c>
      <c r="F275" s="251">
        <f>Dat_02!D274</f>
        <v>28.410222830287367</v>
      </c>
      <c r="G275" s="251">
        <f>Dat_02!E274</f>
        <v>14.449744701170552</v>
      </c>
      <c r="I275" s="252">
        <f>Dat_02!G274</f>
        <v>0</v>
      </c>
      <c r="J275" s="264" t="str">
        <f>IF(Dat_02!H274=0,"",Dat_02!H274)</f>
        <v/>
      </c>
    </row>
    <row r="276" spans="2:10">
      <c r="B276" s="248"/>
      <c r="C276" s="249" t="s">
        <v>431</v>
      </c>
      <c r="D276" s="248"/>
      <c r="E276" s="251">
        <f>Dat_02!C275</f>
        <v>11.960344701170543</v>
      </c>
      <c r="F276" s="251">
        <f>Dat_02!D275</f>
        <v>28.410222830287367</v>
      </c>
      <c r="G276" s="251">
        <f>Dat_02!E275</f>
        <v>11.960344701170543</v>
      </c>
      <c r="I276" s="252">
        <f>Dat_02!G275</f>
        <v>0</v>
      </c>
      <c r="J276" s="264" t="str">
        <f>IF(Dat_02!H275=0,"",Dat_02!H275)</f>
        <v/>
      </c>
    </row>
    <row r="277" spans="2:10">
      <c r="B277" s="248" t="s">
        <v>432</v>
      </c>
      <c r="C277" s="249" t="s">
        <v>433</v>
      </c>
      <c r="D277" s="248"/>
      <c r="E277" s="251">
        <f>Dat_02!C276</f>
        <v>31.587444701164962</v>
      </c>
      <c r="F277" s="251">
        <f>Dat_02!D276</f>
        <v>28.410222830287367</v>
      </c>
      <c r="G277" s="251">
        <f>Dat_02!E276</f>
        <v>28.410222830287367</v>
      </c>
      <c r="I277" s="252">
        <f>Dat_02!G276</f>
        <v>0</v>
      </c>
      <c r="J277" s="264" t="str">
        <f>IF(Dat_02!H276=0,"",Dat_02!H276)</f>
        <v/>
      </c>
    </row>
    <row r="278" spans="2:10">
      <c r="B278" s="250"/>
      <c r="C278" s="255" t="s">
        <v>434</v>
      </c>
      <c r="D278" s="250"/>
      <c r="E278" s="251">
        <f>Dat_02!C277</f>
        <v>1.1538447011686876</v>
      </c>
      <c r="F278" s="251">
        <f>Dat_02!D277</f>
        <v>17.313341416272394</v>
      </c>
      <c r="G278" s="251">
        <f>Dat_02!E277</f>
        <v>1.1538447011686876</v>
      </c>
      <c r="I278" s="252">
        <f>Dat_02!G277</f>
        <v>0</v>
      </c>
      <c r="J278" s="264" t="str">
        <f>IF(Dat_02!H277=0,"",Dat_02!H277)</f>
        <v/>
      </c>
    </row>
    <row r="279" spans="2:10">
      <c r="B279" s="248"/>
      <c r="C279" s="249" t="s">
        <v>435</v>
      </c>
      <c r="D279" s="250"/>
      <c r="E279" s="251">
        <f>Dat_02!C278</f>
        <v>2.1983447011705501</v>
      </c>
      <c r="F279" s="251">
        <f>Dat_02!D278</f>
        <v>17.313341416272394</v>
      </c>
      <c r="G279" s="251">
        <f>Dat_02!E278</f>
        <v>2.1983447011705501</v>
      </c>
      <c r="I279" s="252">
        <f>Dat_02!G278</f>
        <v>0</v>
      </c>
      <c r="J279" s="264" t="str">
        <f>IF(Dat_02!H278=0,"",Dat_02!H278)</f>
        <v/>
      </c>
    </row>
    <row r="280" spans="2:10">
      <c r="B280" s="248"/>
      <c r="C280" s="249" t="s">
        <v>436</v>
      </c>
      <c r="D280" s="248"/>
      <c r="E280" s="251">
        <f>Dat_02!C279</f>
        <v>1.2358447011686804</v>
      </c>
      <c r="F280" s="251">
        <f>Dat_02!D279</f>
        <v>17.313341416272394</v>
      </c>
      <c r="G280" s="251">
        <f>Dat_02!E279</f>
        <v>1.2358447011686804</v>
      </c>
      <c r="I280" s="252">
        <f>Dat_02!G279</f>
        <v>0</v>
      </c>
      <c r="J280" s="264" t="str">
        <f>IF(Dat_02!H279=0,"",Dat_02!H279)</f>
        <v/>
      </c>
    </row>
    <row r="281" spans="2:10">
      <c r="B281" s="248"/>
      <c r="C281" s="249" t="s">
        <v>437</v>
      </c>
      <c r="D281" s="248"/>
      <c r="E281" s="251">
        <f>Dat_02!C280</f>
        <v>0.99304470116868471</v>
      </c>
      <c r="F281" s="251">
        <f>Dat_02!D280</f>
        <v>17.313341416272394</v>
      </c>
      <c r="G281" s="251">
        <f>Dat_02!E280</f>
        <v>0.99304470116868471</v>
      </c>
      <c r="I281" s="252">
        <f>Dat_02!G280</f>
        <v>0</v>
      </c>
      <c r="J281" s="264" t="str">
        <f>IF(Dat_02!H280=0,"",Dat_02!H280)</f>
        <v/>
      </c>
    </row>
    <row r="282" spans="2:10">
      <c r="B282" s="248"/>
      <c r="C282" s="249" t="s">
        <v>438</v>
      </c>
      <c r="D282" s="248"/>
      <c r="E282" s="251">
        <f>Dat_02!C281</f>
        <v>1.2502095372110635</v>
      </c>
      <c r="F282" s="251">
        <f>Dat_02!D281</f>
        <v>17.313341416272394</v>
      </c>
      <c r="G282" s="251">
        <f>Dat_02!E281</f>
        <v>1.2502095372110635</v>
      </c>
      <c r="I282" s="252">
        <f>Dat_02!G281</f>
        <v>0</v>
      </c>
      <c r="J282" s="264" t="str">
        <f>IF(Dat_02!H281=0,"",Dat_02!H281)</f>
        <v/>
      </c>
    </row>
    <row r="283" spans="2:10">
      <c r="B283" s="248"/>
      <c r="C283" s="249" t="s">
        <v>439</v>
      </c>
      <c r="D283" s="248"/>
      <c r="E283" s="251">
        <f>Dat_02!C282</f>
        <v>5.0392095372054753</v>
      </c>
      <c r="F283" s="251">
        <f>Dat_02!D282</f>
        <v>17.313341416272394</v>
      </c>
      <c r="G283" s="251">
        <f>Dat_02!E282</f>
        <v>5.0392095372054753</v>
      </c>
      <c r="I283" s="252">
        <f>Dat_02!G282</f>
        <v>0</v>
      </c>
      <c r="J283" s="264" t="str">
        <f>IF(Dat_02!H282=0,"",Dat_02!H282)</f>
        <v/>
      </c>
    </row>
    <row r="284" spans="2:10">
      <c r="B284" s="248"/>
      <c r="C284" s="249" t="s">
        <v>440</v>
      </c>
      <c r="D284" s="248"/>
      <c r="E284" s="251">
        <f>Dat_02!C283</f>
        <v>6.6257095372054753</v>
      </c>
      <c r="F284" s="251">
        <f>Dat_02!D283</f>
        <v>17.313341416272394</v>
      </c>
      <c r="G284" s="251">
        <f>Dat_02!E283</f>
        <v>6.6257095372054753</v>
      </c>
      <c r="I284" s="252">
        <f>Dat_02!G283</f>
        <v>0</v>
      </c>
      <c r="J284" s="264" t="str">
        <f>IF(Dat_02!H283=0,"",Dat_02!H283)</f>
        <v/>
      </c>
    </row>
    <row r="285" spans="2:10">
      <c r="B285" s="248"/>
      <c r="C285" s="249" t="s">
        <v>441</v>
      </c>
      <c r="D285" s="248"/>
      <c r="E285" s="251">
        <f>Dat_02!C284</f>
        <v>4.2226095372110573</v>
      </c>
      <c r="F285" s="251">
        <f>Dat_02!D284</f>
        <v>17.313341416272394</v>
      </c>
      <c r="G285" s="251">
        <f>Dat_02!E284</f>
        <v>4.2226095372110573</v>
      </c>
      <c r="I285" s="252">
        <f>Dat_02!G284</f>
        <v>0</v>
      </c>
      <c r="J285" s="264" t="str">
        <f>IF(Dat_02!H284=0,"",Dat_02!H284)</f>
        <v/>
      </c>
    </row>
    <row r="286" spans="2:10">
      <c r="B286" s="248"/>
      <c r="C286" s="249" t="s">
        <v>442</v>
      </c>
      <c r="D286" s="248"/>
      <c r="E286" s="251">
        <f>Dat_02!C285</f>
        <v>1.3989095372073352</v>
      </c>
      <c r="F286" s="251">
        <f>Dat_02!D285</f>
        <v>17.313341416272394</v>
      </c>
      <c r="G286" s="251">
        <f>Dat_02!E285</f>
        <v>1.3989095372073352</v>
      </c>
      <c r="I286" s="252">
        <f>Dat_02!G285</f>
        <v>0</v>
      </c>
      <c r="J286" s="264" t="str">
        <f>IF(Dat_02!H285=0,"",Dat_02!H285)</f>
        <v/>
      </c>
    </row>
    <row r="287" spans="2:10">
      <c r="B287" s="248"/>
      <c r="C287" s="249" t="s">
        <v>443</v>
      </c>
      <c r="D287" s="248"/>
      <c r="E287" s="251">
        <f>Dat_02!C286</f>
        <v>1.9705095372091965</v>
      </c>
      <c r="F287" s="251">
        <f>Dat_02!D286</f>
        <v>17.313341416272394</v>
      </c>
      <c r="G287" s="251">
        <f>Dat_02!E286</f>
        <v>1.9705095372091965</v>
      </c>
      <c r="I287" s="252">
        <f>Dat_02!G286</f>
        <v>0</v>
      </c>
      <c r="J287" s="264" t="str">
        <f>IF(Dat_02!H286=0,"",Dat_02!H286)</f>
        <v/>
      </c>
    </row>
    <row r="288" spans="2:10">
      <c r="B288" s="248"/>
      <c r="C288" s="249" t="s">
        <v>444</v>
      </c>
      <c r="D288" s="248"/>
      <c r="E288" s="251">
        <f>Dat_02!C287</f>
        <v>9.8279095372073346</v>
      </c>
      <c r="F288" s="251">
        <f>Dat_02!D287</f>
        <v>17.313341416272394</v>
      </c>
      <c r="G288" s="251">
        <f>Dat_02!E287</f>
        <v>9.8279095372073346</v>
      </c>
      <c r="I288" s="252">
        <f>Dat_02!G287</f>
        <v>0</v>
      </c>
      <c r="J288" s="264" t="str">
        <f>IF(Dat_02!H287=0,"",Dat_02!H287)</f>
        <v/>
      </c>
    </row>
    <row r="289" spans="2:10">
      <c r="B289" s="248"/>
      <c r="C289" s="249" t="s">
        <v>445</v>
      </c>
      <c r="D289" s="248"/>
      <c r="E289" s="251">
        <f>Dat_02!C288</f>
        <v>16.179420477262887</v>
      </c>
      <c r="F289" s="251">
        <f>Dat_02!D288</f>
        <v>17.313341416272394</v>
      </c>
      <c r="G289" s="251">
        <f>Dat_02!E288</f>
        <v>16.179420477262887</v>
      </c>
      <c r="I289" s="252">
        <f>Dat_02!G288</f>
        <v>0</v>
      </c>
      <c r="J289" s="264" t="str">
        <f>IF(Dat_02!H288=0,"",Dat_02!H288)</f>
        <v/>
      </c>
    </row>
    <row r="290" spans="2:10">
      <c r="B290" s="248"/>
      <c r="C290" s="249" t="s">
        <v>446</v>
      </c>
      <c r="D290" s="248"/>
      <c r="E290" s="251">
        <f>Dat_02!C289</f>
        <v>46.312220477261029</v>
      </c>
      <c r="F290" s="251">
        <f>Dat_02!D289</f>
        <v>17.313341416272394</v>
      </c>
      <c r="G290" s="251">
        <f>Dat_02!E289</f>
        <v>17.313341416272394</v>
      </c>
      <c r="I290" s="252">
        <f>Dat_02!G289</f>
        <v>0</v>
      </c>
      <c r="J290" s="264" t="str">
        <f>IF(Dat_02!H289=0,"",Dat_02!H289)</f>
        <v/>
      </c>
    </row>
    <row r="291" spans="2:10">
      <c r="B291" s="248"/>
      <c r="C291" s="249" t="s">
        <v>447</v>
      </c>
      <c r="D291" s="248"/>
      <c r="E291" s="251">
        <f>Dat_02!C290</f>
        <v>19.582720477262889</v>
      </c>
      <c r="F291" s="251">
        <f>Dat_02!D290</f>
        <v>17.313341416272394</v>
      </c>
      <c r="G291" s="251">
        <f>Dat_02!E290</f>
        <v>17.313341416272394</v>
      </c>
      <c r="I291" s="252">
        <f>Dat_02!G290</f>
        <v>0</v>
      </c>
      <c r="J291" s="264" t="str">
        <f>IF(Dat_02!H290=0,"",Dat_02!H290)</f>
        <v/>
      </c>
    </row>
    <row r="292" spans="2:10">
      <c r="B292" s="248"/>
      <c r="C292" s="249" t="s">
        <v>448</v>
      </c>
      <c r="D292" s="248"/>
      <c r="E292" s="251">
        <f>Dat_02!C291</f>
        <v>7.3201204772628845</v>
      </c>
      <c r="F292" s="251">
        <f>Dat_02!D291</f>
        <v>17.313341416272394</v>
      </c>
      <c r="G292" s="251">
        <f>Dat_02!E291</f>
        <v>7.3201204772628845</v>
      </c>
      <c r="I292" s="252">
        <f>Dat_02!G291</f>
        <v>17.313341416272394</v>
      </c>
      <c r="J292" s="264" t="str">
        <f>IF(Dat_02!H291=0,"",Dat_02!H291)</f>
        <v/>
      </c>
    </row>
    <row r="293" spans="2:10">
      <c r="B293" s="248"/>
      <c r="C293" s="249" t="s">
        <v>449</v>
      </c>
      <c r="D293" s="248"/>
      <c r="E293" s="251">
        <f>Dat_02!C292</f>
        <v>4.2417204772591575</v>
      </c>
      <c r="F293" s="251">
        <f>Dat_02!D292</f>
        <v>17.313341416272394</v>
      </c>
      <c r="G293" s="251">
        <f>Dat_02!E292</f>
        <v>4.2417204772591575</v>
      </c>
      <c r="I293" s="252">
        <f>Dat_02!G292</f>
        <v>0</v>
      </c>
      <c r="J293" s="264" t="str">
        <f>IF(Dat_02!H292=0,"",Dat_02!H292)</f>
        <v/>
      </c>
    </row>
    <row r="294" spans="2:10">
      <c r="B294" s="248"/>
      <c r="C294" s="249" t="s">
        <v>450</v>
      </c>
      <c r="D294" s="248"/>
      <c r="E294" s="251">
        <f>Dat_02!C293</f>
        <v>15.838020477262885</v>
      </c>
      <c r="F294" s="251">
        <f>Dat_02!D293</f>
        <v>17.313341416272394</v>
      </c>
      <c r="G294" s="251">
        <f>Dat_02!E293</f>
        <v>15.838020477262885</v>
      </c>
      <c r="I294" s="252">
        <f>Dat_02!G293</f>
        <v>0</v>
      </c>
      <c r="J294" s="264" t="str">
        <f>IF(Dat_02!H293=0,"",Dat_02!H293)</f>
        <v/>
      </c>
    </row>
    <row r="295" spans="2:10">
      <c r="B295" s="248"/>
      <c r="C295" s="249" t="s">
        <v>451</v>
      </c>
      <c r="D295" s="248"/>
      <c r="E295" s="251">
        <f>Dat_02!C294</f>
        <v>30.79082047726288</v>
      </c>
      <c r="F295" s="251">
        <f>Dat_02!D294</f>
        <v>17.313341416272394</v>
      </c>
      <c r="G295" s="251">
        <f>Dat_02!E294</f>
        <v>17.313341416272394</v>
      </c>
      <c r="I295" s="252">
        <f>Dat_02!G294</f>
        <v>0</v>
      </c>
      <c r="J295" s="264" t="str">
        <f>IF(Dat_02!H294=0,"",Dat_02!H294)</f>
        <v/>
      </c>
    </row>
    <row r="296" spans="2:10">
      <c r="B296" s="248"/>
      <c r="C296" s="249" t="s">
        <v>452</v>
      </c>
      <c r="D296" s="248"/>
      <c r="E296" s="251">
        <f>Dat_02!C295</f>
        <v>6.3324321625173106</v>
      </c>
      <c r="F296" s="251">
        <f>Dat_02!D295</f>
        <v>17.313341416272394</v>
      </c>
      <c r="G296" s="251">
        <f>Dat_02!E295</f>
        <v>6.3324321625173106</v>
      </c>
      <c r="I296" s="252">
        <f>Dat_02!G295</f>
        <v>0</v>
      </c>
      <c r="J296" s="264" t="str">
        <f>IF(Dat_02!H295=0,"",Dat_02!H295)</f>
        <v/>
      </c>
    </row>
    <row r="297" spans="2:10">
      <c r="B297" s="248"/>
      <c r="C297" s="249" t="s">
        <v>453</v>
      </c>
      <c r="D297" s="248"/>
      <c r="E297" s="251">
        <f>Dat_02!C296</f>
        <v>5.5617321625191689</v>
      </c>
      <c r="F297" s="251">
        <f>Dat_02!D296</f>
        <v>17.313341416272394</v>
      </c>
      <c r="G297" s="251">
        <f>Dat_02!E296</f>
        <v>5.5617321625191689</v>
      </c>
      <c r="I297" s="252">
        <f>Dat_02!G296</f>
        <v>0</v>
      </c>
      <c r="J297" s="264" t="str">
        <f>IF(Dat_02!H296=0,"",Dat_02!H296)</f>
        <v/>
      </c>
    </row>
    <row r="298" spans="2:10">
      <c r="B298" s="248"/>
      <c r="C298" s="249" t="s">
        <v>454</v>
      </c>
      <c r="D298" s="248"/>
      <c r="E298" s="251">
        <f>Dat_02!C297</f>
        <v>10.257532162519173</v>
      </c>
      <c r="F298" s="251">
        <f>Dat_02!D297</f>
        <v>17.313341416272394</v>
      </c>
      <c r="G298" s="251">
        <f>Dat_02!E297</f>
        <v>10.257532162519173</v>
      </c>
      <c r="I298" s="252">
        <f>Dat_02!G297</f>
        <v>0</v>
      </c>
      <c r="J298" s="264" t="str">
        <f>IF(Dat_02!H297=0,"",Dat_02!H297)</f>
        <v/>
      </c>
    </row>
    <row r="299" spans="2:10">
      <c r="B299" s="248"/>
      <c r="C299" s="249" t="s">
        <v>455</v>
      </c>
      <c r="D299" s="248"/>
      <c r="E299" s="251">
        <f>Dat_02!C298</f>
        <v>4.6552321625173061</v>
      </c>
      <c r="F299" s="251">
        <f>Dat_02!D298</f>
        <v>17.313341416272394</v>
      </c>
      <c r="G299" s="251">
        <f>Dat_02!E298</f>
        <v>4.6552321625173061</v>
      </c>
      <c r="I299" s="252">
        <f>Dat_02!G298</f>
        <v>0</v>
      </c>
      <c r="J299" s="264" t="str">
        <f>IF(Dat_02!H298=0,"",Dat_02!H298)</f>
        <v/>
      </c>
    </row>
    <row r="300" spans="2:10">
      <c r="B300" s="248"/>
      <c r="C300" s="249" t="s">
        <v>456</v>
      </c>
      <c r="D300" s="248"/>
      <c r="E300" s="251">
        <f>Dat_02!C299</f>
        <v>5.450232162517306</v>
      </c>
      <c r="F300" s="251">
        <f>Dat_02!D299</f>
        <v>17.313341416272394</v>
      </c>
      <c r="G300" s="251">
        <f>Dat_02!E299</f>
        <v>5.450232162517306</v>
      </c>
      <c r="I300" s="252">
        <f>Dat_02!G299</f>
        <v>0</v>
      </c>
      <c r="J300" s="264" t="str">
        <f>IF(Dat_02!H299=0,"",Dat_02!H299)</f>
        <v/>
      </c>
    </row>
    <row r="301" spans="2:10">
      <c r="B301" s="248"/>
      <c r="C301" s="249" t="s">
        <v>457</v>
      </c>
      <c r="D301" s="248"/>
      <c r="E301" s="251">
        <f>Dat_02!C300</f>
        <v>7.4565321625191716</v>
      </c>
      <c r="F301" s="251">
        <f>Dat_02!D300</f>
        <v>17.313341416272394</v>
      </c>
      <c r="G301" s="251">
        <f>Dat_02!E300</f>
        <v>7.4565321625191716</v>
      </c>
      <c r="I301" s="252">
        <f>Dat_02!G300</f>
        <v>0</v>
      </c>
      <c r="J301" s="264" t="str">
        <f>IF(Dat_02!H300=0,"",Dat_02!H300)</f>
        <v/>
      </c>
    </row>
    <row r="302" spans="2:10">
      <c r="B302" s="248"/>
      <c r="C302" s="249" t="s">
        <v>458</v>
      </c>
      <c r="D302" s="248"/>
      <c r="E302" s="251">
        <f>Dat_02!C301</f>
        <v>24.78173216251917</v>
      </c>
      <c r="F302" s="251">
        <f>Dat_02!D301</f>
        <v>17.313341416272394</v>
      </c>
      <c r="G302" s="251">
        <f>Dat_02!E301</f>
        <v>17.313341416272394</v>
      </c>
      <c r="I302" s="252">
        <f>Dat_02!G301</f>
        <v>0</v>
      </c>
      <c r="J302" s="264" t="str">
        <f>IF(Dat_02!H301=0,"",Dat_02!H301)</f>
        <v/>
      </c>
    </row>
    <row r="303" spans="2:10">
      <c r="B303" s="248"/>
      <c r="C303" s="249" t="s">
        <v>459</v>
      </c>
      <c r="D303" s="248"/>
      <c r="E303" s="251">
        <f>Dat_02!C302</f>
        <v>31.584529551378264</v>
      </c>
      <c r="F303" s="251">
        <f>Dat_02!D302</f>
        <v>17.313341416272394</v>
      </c>
      <c r="G303" s="251">
        <f>Dat_02!E302</f>
        <v>17.313341416272394</v>
      </c>
      <c r="I303" s="252">
        <f>Dat_02!G302</f>
        <v>0</v>
      </c>
      <c r="J303" s="264" t="str">
        <f>IF(Dat_02!H302=0,"",Dat_02!H302)</f>
        <v/>
      </c>
    </row>
    <row r="304" spans="2:10">
      <c r="B304" s="248"/>
      <c r="C304" s="249" t="s">
        <v>460</v>
      </c>
      <c r="D304" s="248"/>
      <c r="E304" s="251">
        <f>Dat_02!C303</f>
        <v>11.699929551380134</v>
      </c>
      <c r="F304" s="251">
        <f>Dat_02!D303</f>
        <v>17.313341416272394</v>
      </c>
      <c r="G304" s="251">
        <f>Dat_02!E303</f>
        <v>11.699929551380134</v>
      </c>
      <c r="I304" s="252">
        <f>Dat_02!G303</f>
        <v>0</v>
      </c>
      <c r="J304" s="264" t="str">
        <f>IF(Dat_02!H303=0,"",Dat_02!H303)</f>
        <v/>
      </c>
    </row>
    <row r="305" spans="2:10">
      <c r="B305" s="248"/>
      <c r="C305" s="249" t="s">
        <v>461</v>
      </c>
      <c r="D305" s="248"/>
      <c r="E305" s="251">
        <f>Dat_02!C304</f>
        <v>7.1733295513819906</v>
      </c>
      <c r="F305" s="251">
        <f>Dat_02!D304</f>
        <v>17.313341416272394</v>
      </c>
      <c r="G305" s="251">
        <f>Dat_02!E304</f>
        <v>7.1733295513819906</v>
      </c>
      <c r="I305" s="252">
        <f>Dat_02!G304</f>
        <v>0</v>
      </c>
      <c r="J305" s="264" t="str">
        <f>IF(Dat_02!H304=0,"",Dat_02!H304)</f>
        <v/>
      </c>
    </row>
    <row r="306" spans="2:10">
      <c r="B306" s="248"/>
      <c r="C306" s="249" t="s">
        <v>462</v>
      </c>
      <c r="D306" s="248"/>
      <c r="E306" s="251">
        <f>Dat_02!C305</f>
        <v>1.4501295513764052</v>
      </c>
      <c r="F306" s="251">
        <f>Dat_02!D305</f>
        <v>17.313341416272394</v>
      </c>
      <c r="G306" s="251">
        <f>Dat_02!E305</f>
        <v>1.4501295513764052</v>
      </c>
      <c r="I306" s="252">
        <f>Dat_02!G305</f>
        <v>0</v>
      </c>
      <c r="J306" s="264" t="str">
        <f>IF(Dat_02!H305=0,"",Dat_02!H305)</f>
        <v/>
      </c>
    </row>
    <row r="307" spans="2:10">
      <c r="B307" s="248"/>
      <c r="C307" s="249" t="s">
        <v>463</v>
      </c>
      <c r="D307" s="248"/>
      <c r="E307" s="251">
        <f>Dat_02!C306</f>
        <v>1.4524295513838514</v>
      </c>
      <c r="F307" s="251">
        <f>Dat_02!D306</f>
        <v>17.313341416272394</v>
      </c>
      <c r="G307" s="251">
        <f>Dat_02!E306</f>
        <v>1.4524295513838514</v>
      </c>
      <c r="I307" s="252">
        <f>Dat_02!G306</f>
        <v>0</v>
      </c>
      <c r="J307" s="264" t="str">
        <f>IF(Dat_02!H306=0,"",Dat_02!H306)</f>
        <v/>
      </c>
    </row>
    <row r="308" spans="2:10">
      <c r="B308" s="250" t="s">
        <v>464</v>
      </c>
      <c r="C308" s="255" t="s">
        <v>465</v>
      </c>
      <c r="D308" s="248"/>
      <c r="E308" s="251">
        <f>Dat_02!C307</f>
        <v>1.3377295513782665</v>
      </c>
      <c r="F308" s="251">
        <f>Dat_02!D307</f>
        <v>17.313341416272394</v>
      </c>
      <c r="G308" s="251">
        <f>Dat_02!E307</f>
        <v>1.3377295513782665</v>
      </c>
      <c r="I308" s="252">
        <f>Dat_02!G307</f>
        <v>0</v>
      </c>
      <c r="J308" s="264" t="str">
        <f>IF(Dat_02!H307=0,"",Dat_02!H307)</f>
        <v/>
      </c>
    </row>
    <row r="309" spans="2:10">
      <c r="B309" s="248"/>
      <c r="C309" s="249" t="s">
        <v>466</v>
      </c>
      <c r="D309" s="250"/>
      <c r="E309" s="251">
        <f>Dat_02!C308</f>
        <v>9.8079295513782636</v>
      </c>
      <c r="F309" s="251">
        <f>Dat_02!D308</f>
        <v>20.95959048014743</v>
      </c>
      <c r="G309" s="251">
        <f>Dat_02!E308</f>
        <v>9.8079295513782636</v>
      </c>
      <c r="I309" s="252">
        <f>Dat_02!G308</f>
        <v>0</v>
      </c>
      <c r="J309" s="264" t="str">
        <f>IF(Dat_02!H308=0,"",Dat_02!H308)</f>
        <v/>
      </c>
    </row>
    <row r="310" spans="2:10">
      <c r="B310" s="248"/>
      <c r="C310" s="249" t="s">
        <v>467</v>
      </c>
      <c r="D310" s="250"/>
      <c r="E310" s="251">
        <f>Dat_02!C309</f>
        <v>19.966084909409286</v>
      </c>
      <c r="F310" s="251">
        <f>Dat_02!D309</f>
        <v>20.95959048014743</v>
      </c>
      <c r="G310" s="251">
        <f>Dat_02!E309</f>
        <v>19.966084909409286</v>
      </c>
      <c r="I310" s="252">
        <f>Dat_02!G309</f>
        <v>0</v>
      </c>
      <c r="J310" s="264" t="str">
        <f>IF(Dat_02!H309=0,"",Dat_02!H309)</f>
        <v/>
      </c>
    </row>
    <row r="311" spans="2:10">
      <c r="B311" s="248"/>
      <c r="C311" s="249" t="s">
        <v>468</v>
      </c>
      <c r="D311" s="248"/>
      <c r="E311" s="251">
        <f>Dat_02!C310</f>
        <v>24.446284909405556</v>
      </c>
      <c r="F311" s="251">
        <f>Dat_02!D310</f>
        <v>20.95959048014743</v>
      </c>
      <c r="G311" s="251">
        <f>Dat_02!E310</f>
        <v>20.95959048014743</v>
      </c>
      <c r="I311" s="252">
        <f>Dat_02!G310</f>
        <v>0</v>
      </c>
      <c r="J311" s="264" t="str">
        <f>IF(Dat_02!H310=0,"",Dat_02!H310)</f>
        <v/>
      </c>
    </row>
    <row r="312" spans="2:10">
      <c r="B312" s="248"/>
      <c r="C312" s="249" t="s">
        <v>469</v>
      </c>
      <c r="D312" s="248"/>
      <c r="E312" s="251">
        <f>Dat_02!C311</f>
        <v>14.10968490940742</v>
      </c>
      <c r="F312" s="251">
        <f>Dat_02!D311</f>
        <v>20.95959048014743</v>
      </c>
      <c r="G312" s="251">
        <f>Dat_02!E311</f>
        <v>14.10968490940742</v>
      </c>
      <c r="I312" s="252">
        <f>Dat_02!G311</f>
        <v>0</v>
      </c>
      <c r="J312" s="264" t="str">
        <f>IF(Dat_02!H311=0,"",Dat_02!H311)</f>
        <v/>
      </c>
    </row>
    <row r="313" spans="2:10">
      <c r="B313" s="248"/>
      <c r="C313" s="249" t="s">
        <v>470</v>
      </c>
      <c r="D313" s="248"/>
      <c r="E313" s="251">
        <f>Dat_02!C312</f>
        <v>6.4796849094055577</v>
      </c>
      <c r="F313" s="251">
        <f>Dat_02!D312</f>
        <v>20.95959048014743</v>
      </c>
      <c r="G313" s="251">
        <f>Dat_02!E312</f>
        <v>6.4796849094055577</v>
      </c>
      <c r="I313" s="252">
        <f>Dat_02!G312</f>
        <v>0</v>
      </c>
      <c r="J313" s="264" t="str">
        <f>IF(Dat_02!H312=0,"",Dat_02!H312)</f>
        <v/>
      </c>
    </row>
    <row r="314" spans="2:10">
      <c r="B314" s="248"/>
      <c r="C314" s="249" t="s">
        <v>471</v>
      </c>
      <c r="D314" s="248"/>
      <c r="E314" s="251">
        <f>Dat_02!C313</f>
        <v>2.191584909407422</v>
      </c>
      <c r="F314" s="251">
        <f>Dat_02!D313</f>
        <v>20.95959048014743</v>
      </c>
      <c r="G314" s="251">
        <f>Dat_02!E313</f>
        <v>2.191584909407422</v>
      </c>
      <c r="I314" s="252">
        <f>Dat_02!G313</f>
        <v>0</v>
      </c>
      <c r="J314" s="264" t="str">
        <f>IF(Dat_02!H313=0,"",Dat_02!H313)</f>
        <v/>
      </c>
    </row>
    <row r="315" spans="2:10">
      <c r="B315" s="248"/>
      <c r="C315" s="249" t="s">
        <v>472</v>
      </c>
      <c r="D315" s="248"/>
      <c r="E315" s="251">
        <f>Dat_02!C314</f>
        <v>1.8539849094055607</v>
      </c>
      <c r="F315" s="251">
        <f>Dat_02!D314</f>
        <v>20.95959048014743</v>
      </c>
      <c r="G315" s="251">
        <f>Dat_02!E314</f>
        <v>1.8539849094055607</v>
      </c>
      <c r="I315" s="252">
        <f>Dat_02!G314</f>
        <v>0</v>
      </c>
      <c r="J315" s="264" t="str">
        <f>IF(Dat_02!H314=0,"",Dat_02!H314)</f>
        <v/>
      </c>
    </row>
    <row r="316" spans="2:10">
      <c r="B316" s="248"/>
      <c r="C316" s="249" t="s">
        <v>473</v>
      </c>
      <c r="D316" s="248"/>
      <c r="E316" s="251">
        <f>Dat_02!C315</f>
        <v>10.339484909407423</v>
      </c>
      <c r="F316" s="251">
        <f>Dat_02!D315</f>
        <v>20.95959048014743</v>
      </c>
      <c r="G316" s="251">
        <f>Dat_02!E315</f>
        <v>10.339484909407423</v>
      </c>
      <c r="I316" s="252">
        <f>Dat_02!G315</f>
        <v>0</v>
      </c>
      <c r="J316" s="264" t="str">
        <f>IF(Dat_02!H315=0,"",Dat_02!H315)</f>
        <v/>
      </c>
    </row>
    <row r="317" spans="2:10">
      <c r="B317" s="248"/>
      <c r="C317" s="249" t="s">
        <v>474</v>
      </c>
      <c r="D317" s="248"/>
      <c r="E317" s="251">
        <f>Dat_02!C316</f>
        <v>22.892920741324122</v>
      </c>
      <c r="F317" s="251">
        <f>Dat_02!D316</f>
        <v>20.95959048014743</v>
      </c>
      <c r="G317" s="251">
        <f>Dat_02!E316</f>
        <v>20.95959048014743</v>
      </c>
      <c r="I317" s="252">
        <f>Dat_02!G316</f>
        <v>0</v>
      </c>
      <c r="J317" s="264" t="str">
        <f>IF(Dat_02!H316=0,"",Dat_02!H316)</f>
        <v/>
      </c>
    </row>
    <row r="318" spans="2:10">
      <c r="B318" s="248"/>
      <c r="C318" s="249" t="s">
        <v>475</v>
      </c>
      <c r="D318" s="248"/>
      <c r="E318" s="251">
        <f>Dat_02!C317</f>
        <v>17.659020741325993</v>
      </c>
      <c r="F318" s="251">
        <f>Dat_02!D317</f>
        <v>20.95959048014743</v>
      </c>
      <c r="G318" s="251">
        <f>Dat_02!E317</f>
        <v>17.659020741325993</v>
      </c>
      <c r="I318" s="252">
        <f>Dat_02!G317</f>
        <v>0</v>
      </c>
      <c r="J318" s="264" t="str">
        <f>IF(Dat_02!H317=0,"",Dat_02!H317)</f>
        <v/>
      </c>
    </row>
    <row r="319" spans="2:10">
      <c r="B319" s="248"/>
      <c r="C319" s="249" t="s">
        <v>476</v>
      </c>
      <c r="D319" s="248"/>
      <c r="E319" s="251">
        <f>Dat_02!C318</f>
        <v>14.349120741322265</v>
      </c>
      <c r="F319" s="251">
        <f>Dat_02!D318</f>
        <v>20.95959048014743</v>
      </c>
      <c r="G319" s="251">
        <f>Dat_02!E318</f>
        <v>14.349120741322265</v>
      </c>
      <c r="I319" s="252">
        <f>Dat_02!G318</f>
        <v>0</v>
      </c>
      <c r="J319" s="264" t="str">
        <f>IF(Dat_02!H318=0,"",Dat_02!H318)</f>
        <v/>
      </c>
    </row>
    <row r="320" spans="2:10">
      <c r="B320" s="248"/>
      <c r="C320" s="249" t="s">
        <v>477</v>
      </c>
      <c r="D320" s="248"/>
      <c r="E320" s="251">
        <f>Dat_02!C319</f>
        <v>2.5634207413259866</v>
      </c>
      <c r="F320" s="251">
        <f>Dat_02!D319</f>
        <v>20.95959048014743</v>
      </c>
      <c r="G320" s="251">
        <f>Dat_02!E319</f>
        <v>2.5634207413259866</v>
      </c>
      <c r="I320" s="252">
        <f>Dat_02!G319</f>
        <v>0</v>
      </c>
      <c r="J320" s="264" t="str">
        <f>IF(Dat_02!H319=0,"",Dat_02!H319)</f>
        <v/>
      </c>
    </row>
    <row r="321" spans="2:10">
      <c r="B321" s="248"/>
      <c r="C321" s="249" t="s">
        <v>478</v>
      </c>
      <c r="D321" s="248"/>
      <c r="E321" s="251">
        <f>Dat_02!C320</f>
        <v>1.4610207413222669</v>
      </c>
      <c r="F321" s="251">
        <f>Dat_02!D320</f>
        <v>20.95959048014743</v>
      </c>
      <c r="G321" s="251">
        <f>Dat_02!E320</f>
        <v>1.4610207413222669</v>
      </c>
      <c r="I321" s="252">
        <f>Dat_02!G320</f>
        <v>0</v>
      </c>
      <c r="J321" s="264" t="str">
        <f>IF(Dat_02!H320=0,"",Dat_02!H320)</f>
        <v/>
      </c>
    </row>
    <row r="322" spans="2:10">
      <c r="B322" s="248"/>
      <c r="C322" s="249" t="s">
        <v>479</v>
      </c>
      <c r="D322" s="248"/>
      <c r="E322" s="251">
        <f>Dat_02!C321</f>
        <v>22.386220741325989</v>
      </c>
      <c r="F322" s="251">
        <f>Dat_02!D321</f>
        <v>20.95959048014743</v>
      </c>
      <c r="G322" s="251">
        <f>Dat_02!E321</f>
        <v>20.95959048014743</v>
      </c>
      <c r="I322" s="252">
        <f>Dat_02!G321</f>
        <v>0</v>
      </c>
      <c r="J322" s="264" t="str">
        <f>IF(Dat_02!H321=0,"",Dat_02!H321)</f>
        <v/>
      </c>
    </row>
    <row r="323" spans="2:10">
      <c r="B323" s="248"/>
      <c r="C323" s="249" t="s">
        <v>480</v>
      </c>
      <c r="D323" s="248"/>
      <c r="E323" s="251">
        <f>Dat_02!C322</f>
        <v>36.317120741324118</v>
      </c>
      <c r="F323" s="251">
        <f>Dat_02!D322</f>
        <v>20.95959048014743</v>
      </c>
      <c r="G323" s="251">
        <f>Dat_02!E322</f>
        <v>20.95959048014743</v>
      </c>
      <c r="I323" s="252">
        <f>Dat_02!G322</f>
        <v>20.95959048014743</v>
      </c>
      <c r="J323" s="264" t="str">
        <f>IF(Dat_02!H322=0,"",Dat_02!H322)</f>
        <v/>
      </c>
    </row>
    <row r="324" spans="2:10">
      <c r="B324" s="248"/>
      <c r="C324" s="249" t="s">
        <v>481</v>
      </c>
      <c r="D324" s="248"/>
      <c r="E324" s="251">
        <f>Dat_02!C323</f>
        <v>48.998136673035098</v>
      </c>
      <c r="F324" s="251">
        <f>Dat_02!D323</f>
        <v>20.95959048014743</v>
      </c>
      <c r="G324" s="251">
        <f>Dat_02!E323</f>
        <v>20.95959048014743</v>
      </c>
      <c r="I324" s="252">
        <f>Dat_02!G323</f>
        <v>0</v>
      </c>
      <c r="J324" s="264" t="str">
        <f>IF(Dat_02!H323=0,"",Dat_02!H323)</f>
        <v/>
      </c>
    </row>
    <row r="325" spans="2:10">
      <c r="B325" s="248"/>
      <c r="C325" s="249" t="s">
        <v>482</v>
      </c>
      <c r="D325" s="248"/>
      <c r="E325" s="251">
        <f>Dat_02!C324</f>
        <v>23.226636673033237</v>
      </c>
      <c r="F325" s="251">
        <f>Dat_02!D324</f>
        <v>20.95959048014743</v>
      </c>
      <c r="G325" s="251">
        <f>Dat_02!E324</f>
        <v>20.95959048014743</v>
      </c>
      <c r="I325" s="252">
        <f>Dat_02!G324</f>
        <v>0</v>
      </c>
      <c r="J325" s="264" t="str">
        <f>IF(Dat_02!H324=0,"",Dat_02!H324)</f>
        <v/>
      </c>
    </row>
    <row r="326" spans="2:10">
      <c r="B326" s="248"/>
      <c r="C326" s="249" t="s">
        <v>483</v>
      </c>
      <c r="D326" s="248"/>
      <c r="E326" s="251">
        <f>Dat_02!C325</f>
        <v>17.120136673036964</v>
      </c>
      <c r="F326" s="251">
        <f>Dat_02!D325</f>
        <v>20.95959048014743</v>
      </c>
      <c r="G326" s="251">
        <f>Dat_02!E325</f>
        <v>17.120136673036964</v>
      </c>
      <c r="I326" s="252">
        <f>Dat_02!G325</f>
        <v>0</v>
      </c>
      <c r="J326" s="264" t="str">
        <f>IF(Dat_02!H325=0,"",Dat_02!H325)</f>
        <v/>
      </c>
    </row>
    <row r="327" spans="2:10">
      <c r="B327" s="248"/>
      <c r="C327" s="249" t="s">
        <v>484</v>
      </c>
      <c r="D327" s="248"/>
      <c r="E327" s="251">
        <f>Dat_02!C326</f>
        <v>7.4920366730351011</v>
      </c>
      <c r="F327" s="251">
        <f>Dat_02!D326</f>
        <v>20.95959048014743</v>
      </c>
      <c r="G327" s="251">
        <f>Dat_02!E326</f>
        <v>7.4920366730351011</v>
      </c>
      <c r="I327" s="252">
        <f>Dat_02!G326</f>
        <v>0</v>
      </c>
      <c r="J327" s="264" t="str">
        <f>IF(Dat_02!H326=0,"",Dat_02!H326)</f>
        <v/>
      </c>
    </row>
    <row r="328" spans="2:10">
      <c r="B328" s="248"/>
      <c r="C328" s="249" t="s">
        <v>485</v>
      </c>
      <c r="D328" s="248"/>
      <c r="E328" s="251">
        <f>Dat_02!C327</f>
        <v>6.3300366730351012</v>
      </c>
      <c r="F328" s="251">
        <f>Dat_02!D327</f>
        <v>20.95959048014743</v>
      </c>
      <c r="G328" s="251">
        <f>Dat_02!E327</f>
        <v>6.3300366730351012</v>
      </c>
      <c r="I328" s="252">
        <f>Dat_02!G327</f>
        <v>0</v>
      </c>
      <c r="J328" s="264" t="str">
        <f>IF(Dat_02!H327=0,"",Dat_02!H327)</f>
        <v/>
      </c>
    </row>
    <row r="329" spans="2:10">
      <c r="B329" s="248"/>
      <c r="C329" s="249" t="s">
        <v>486</v>
      </c>
      <c r="D329" s="248"/>
      <c r="E329" s="251">
        <f>Dat_02!C328</f>
        <v>29.449836673035097</v>
      </c>
      <c r="F329" s="251">
        <f>Dat_02!D328</f>
        <v>20.95959048014743</v>
      </c>
      <c r="G329" s="251">
        <f>Dat_02!E328</f>
        <v>20.95959048014743</v>
      </c>
      <c r="I329" s="252">
        <f>Dat_02!G328</f>
        <v>0</v>
      </c>
      <c r="J329" s="264" t="str">
        <f>IF(Dat_02!H328=0,"",Dat_02!H328)</f>
        <v/>
      </c>
    </row>
    <row r="330" spans="2:10">
      <c r="B330" s="248"/>
      <c r="C330" s="249" t="s">
        <v>487</v>
      </c>
      <c r="D330" s="248"/>
      <c r="E330" s="251">
        <f>Dat_02!C329</f>
        <v>41.022236673035103</v>
      </c>
      <c r="F330" s="251">
        <f>Dat_02!D329</f>
        <v>20.95959048014743</v>
      </c>
      <c r="G330" s="251">
        <f>Dat_02!E329</f>
        <v>20.95959048014743</v>
      </c>
      <c r="I330" s="252">
        <f>Dat_02!G329</f>
        <v>0</v>
      </c>
      <c r="J330" s="264" t="str">
        <f>IF(Dat_02!H329=0,"",Dat_02!H329)</f>
        <v/>
      </c>
    </row>
    <row r="331" spans="2:10">
      <c r="B331" s="248"/>
      <c r="C331" s="249" t="s">
        <v>488</v>
      </c>
      <c r="D331" s="248"/>
      <c r="E331" s="251">
        <f>Dat_02!C330</f>
        <v>47.506582213733346</v>
      </c>
      <c r="F331" s="251">
        <f>Dat_02!D330</f>
        <v>20.95959048014743</v>
      </c>
      <c r="G331" s="251">
        <f>Dat_02!E330</f>
        <v>20.95959048014743</v>
      </c>
      <c r="I331" s="252">
        <f>Dat_02!G330</f>
        <v>0</v>
      </c>
      <c r="J331" s="264" t="str">
        <f>IF(Dat_02!H330=0,"",Dat_02!H330)</f>
        <v/>
      </c>
    </row>
    <row r="332" spans="2:10">
      <c r="B332" s="248"/>
      <c r="C332" s="249" t="s">
        <v>489</v>
      </c>
      <c r="D332" s="248"/>
      <c r="E332" s="251">
        <f>Dat_02!C331</f>
        <v>28.103082213733344</v>
      </c>
      <c r="F332" s="251">
        <f>Dat_02!D331</f>
        <v>20.95959048014743</v>
      </c>
      <c r="G332" s="251">
        <f>Dat_02!E331</f>
        <v>20.95959048014743</v>
      </c>
      <c r="I332" s="252">
        <f>Dat_02!G331</f>
        <v>0</v>
      </c>
      <c r="J332" s="264" t="str">
        <f>IF(Dat_02!H331=0,"",Dat_02!H331)</f>
        <v/>
      </c>
    </row>
    <row r="333" spans="2:10">
      <c r="B333" s="248"/>
      <c r="C333" s="249" t="s">
        <v>490</v>
      </c>
      <c r="D333" s="248"/>
      <c r="E333" s="251">
        <f>Dat_02!C332</f>
        <v>14.233182213735207</v>
      </c>
      <c r="F333" s="251">
        <f>Dat_02!D332</f>
        <v>20.95959048014743</v>
      </c>
      <c r="G333" s="251">
        <f>Dat_02!E332</f>
        <v>14.233182213735207</v>
      </c>
      <c r="I333" s="252">
        <f>Dat_02!G332</f>
        <v>0</v>
      </c>
      <c r="J333" s="264" t="str">
        <f>IF(Dat_02!H332=0,"",Dat_02!H332)</f>
        <v/>
      </c>
    </row>
    <row r="334" spans="2:10">
      <c r="B334" s="248"/>
      <c r="C334" s="249" t="s">
        <v>491</v>
      </c>
      <c r="D334" s="248"/>
      <c r="E334" s="251">
        <f>Dat_02!C333</f>
        <v>9.809582213731483</v>
      </c>
      <c r="F334" s="251">
        <f>Dat_02!D333</f>
        <v>20.95959048014743</v>
      </c>
      <c r="G334" s="251">
        <f>Dat_02!E333</f>
        <v>9.809582213731483</v>
      </c>
      <c r="I334" s="252">
        <f>Dat_02!G333</f>
        <v>0</v>
      </c>
      <c r="J334" s="264" t="str">
        <f>IF(Dat_02!H333=0,"",Dat_02!H333)</f>
        <v/>
      </c>
    </row>
    <row r="335" spans="2:10">
      <c r="B335" s="248"/>
      <c r="C335" s="249" t="s">
        <v>492</v>
      </c>
      <c r="D335" s="248"/>
      <c r="E335" s="251">
        <f>Dat_02!C334</f>
        <v>13.20448221373521</v>
      </c>
      <c r="F335" s="251">
        <f>Dat_02!D334</f>
        <v>20.95959048014743</v>
      </c>
      <c r="G335" s="251">
        <f>Dat_02!E334</f>
        <v>13.20448221373521</v>
      </c>
      <c r="I335" s="252">
        <f>Dat_02!G334</f>
        <v>0</v>
      </c>
      <c r="J335" s="264" t="str">
        <f>IF(Dat_02!H334=0,"",Dat_02!H334)</f>
        <v/>
      </c>
    </row>
    <row r="336" spans="2:10">
      <c r="B336" s="248"/>
      <c r="C336" s="249" t="s">
        <v>493</v>
      </c>
      <c r="D336" s="248"/>
      <c r="E336" s="251">
        <f>Dat_02!C335</f>
        <v>20.889882213735209</v>
      </c>
      <c r="F336" s="251">
        <f>Dat_02!D335</f>
        <v>20.95959048014743</v>
      </c>
      <c r="G336" s="251">
        <f>Dat_02!E335</f>
        <v>20.889882213735209</v>
      </c>
      <c r="I336" s="252">
        <f>Dat_02!G335</f>
        <v>0</v>
      </c>
      <c r="J336" s="264" t="str">
        <f>IF(Dat_02!H335=0,"",Dat_02!H335)</f>
        <v/>
      </c>
    </row>
    <row r="337" spans="2:10">
      <c r="B337" s="248"/>
      <c r="C337" s="249" t="s">
        <v>494</v>
      </c>
      <c r="D337" s="248"/>
      <c r="E337" s="251">
        <f>Dat_02!C336</f>
        <v>31.569082213735207</v>
      </c>
      <c r="F337" s="251">
        <f>Dat_02!D336</f>
        <v>20.95959048014743</v>
      </c>
      <c r="G337" s="251">
        <f>Dat_02!E336</f>
        <v>20.95959048014743</v>
      </c>
      <c r="I337" s="252">
        <f>Dat_02!G336</f>
        <v>0</v>
      </c>
      <c r="J337" s="264" t="str">
        <f>IF(Dat_02!H336=0,"",Dat_02!H336)</f>
        <v/>
      </c>
    </row>
    <row r="338" spans="2:10">
      <c r="B338" s="250" t="s">
        <v>495</v>
      </c>
      <c r="C338" s="255" t="s">
        <v>496</v>
      </c>
      <c r="D338" s="248"/>
      <c r="E338" s="251">
        <f>Dat_02!C337</f>
        <v>49.51678041639812</v>
      </c>
      <c r="F338" s="251">
        <f>Dat_02!D337</f>
        <v>20.95959048014743</v>
      </c>
      <c r="G338" s="251">
        <f>Dat_02!E337</f>
        <v>20.95959048014743</v>
      </c>
      <c r="I338" s="252">
        <f>Dat_02!G337</f>
        <v>0</v>
      </c>
      <c r="J338" s="264" t="str">
        <f>IF(Dat_02!H337=0,"",Dat_02!H337)</f>
        <v/>
      </c>
    </row>
    <row r="339" spans="2:10">
      <c r="B339" s="248"/>
      <c r="C339" s="249" t="s">
        <v>497</v>
      </c>
      <c r="D339" s="250"/>
      <c r="E339" s="251">
        <f>Dat_02!C338</f>
        <v>34.484280416399983</v>
      </c>
      <c r="F339" s="251">
        <f>Dat_02!D338</f>
        <v>41.360965957335978</v>
      </c>
      <c r="G339" s="251">
        <f>Dat_02!E338</f>
        <v>34.484280416399983</v>
      </c>
      <c r="I339" s="252">
        <f>Dat_02!G338</f>
        <v>0</v>
      </c>
      <c r="J339" s="264" t="str">
        <f>IF(Dat_02!H338=0,"",Dat_02!H338)</f>
        <v/>
      </c>
    </row>
    <row r="340" spans="2:10">
      <c r="B340" s="248"/>
      <c r="C340" s="249" t="s">
        <v>498</v>
      </c>
      <c r="D340" s="250"/>
      <c r="E340" s="251">
        <f>Dat_02!C339</f>
        <v>33.251180416401844</v>
      </c>
      <c r="F340" s="251">
        <f>Dat_02!D339</f>
        <v>41.360965957335978</v>
      </c>
      <c r="G340" s="251">
        <f>Dat_02!E339</f>
        <v>33.251180416401844</v>
      </c>
      <c r="I340" s="252">
        <f>Dat_02!G339</f>
        <v>0</v>
      </c>
      <c r="J340" s="264" t="str">
        <f>IF(Dat_02!H339=0,"",Dat_02!H339)</f>
        <v/>
      </c>
    </row>
    <row r="341" spans="2:10">
      <c r="B341" s="248"/>
      <c r="C341" s="249" t="s">
        <v>499</v>
      </c>
      <c r="D341" s="248"/>
      <c r="E341" s="251">
        <f>Dat_02!C340</f>
        <v>31.903780416398121</v>
      </c>
      <c r="F341" s="251">
        <f>Dat_02!D340</f>
        <v>41.360965957335978</v>
      </c>
      <c r="G341" s="251">
        <f>Dat_02!E340</f>
        <v>31.903780416398121</v>
      </c>
      <c r="I341" s="252">
        <f>Dat_02!G340</f>
        <v>0</v>
      </c>
      <c r="J341" s="264" t="str">
        <f>IF(Dat_02!H340=0,"",Dat_02!H340)</f>
        <v/>
      </c>
    </row>
    <row r="342" spans="2:10">
      <c r="B342" s="248"/>
      <c r="C342" s="249" t="s">
        <v>500</v>
      </c>
      <c r="D342" s="248"/>
      <c r="E342" s="251">
        <f>Dat_02!C341</f>
        <v>32.307580416400917</v>
      </c>
      <c r="F342" s="251">
        <f>Dat_02!D341</f>
        <v>41.360965957335978</v>
      </c>
      <c r="G342" s="251">
        <f>Dat_02!E341</f>
        <v>32.307580416400917</v>
      </c>
      <c r="I342" s="252">
        <f>Dat_02!G341</f>
        <v>0</v>
      </c>
      <c r="J342" s="264" t="str">
        <f>IF(Dat_02!H341=0,"",Dat_02!H341)</f>
        <v/>
      </c>
    </row>
    <row r="343" spans="2:10">
      <c r="B343" s="248"/>
      <c r="C343" s="249" t="s">
        <v>501</v>
      </c>
      <c r="D343" s="248"/>
      <c r="E343" s="251">
        <f>Dat_02!C342</f>
        <v>36.510980416400919</v>
      </c>
      <c r="F343" s="251">
        <f>Dat_02!D342</f>
        <v>41.360965957335978</v>
      </c>
      <c r="G343" s="251">
        <f>Dat_02!E342</f>
        <v>36.510980416400919</v>
      </c>
      <c r="I343" s="252">
        <f>Dat_02!G342</f>
        <v>0</v>
      </c>
      <c r="J343" s="264" t="str">
        <f>IF(Dat_02!H342=0,"",Dat_02!H342)</f>
        <v/>
      </c>
    </row>
    <row r="344" spans="2:10">
      <c r="B344" s="248"/>
      <c r="C344" s="249" t="s">
        <v>502</v>
      </c>
      <c r="D344" s="248"/>
      <c r="E344" s="251">
        <f>Dat_02!C343</f>
        <v>44.142080416401846</v>
      </c>
      <c r="F344" s="251">
        <f>Dat_02!D343</f>
        <v>41.360965957335978</v>
      </c>
      <c r="G344" s="251">
        <f>Dat_02!E343</f>
        <v>41.360965957335978</v>
      </c>
      <c r="I344" s="252">
        <f>Dat_02!G343</f>
        <v>0</v>
      </c>
      <c r="J344" s="264" t="str">
        <f>IF(Dat_02!H343=0,"",Dat_02!H343)</f>
        <v/>
      </c>
    </row>
    <row r="345" spans="2:10">
      <c r="B345" s="248"/>
      <c r="C345" s="249" t="s">
        <v>503</v>
      </c>
      <c r="D345" s="248"/>
      <c r="E345" s="251">
        <f>Dat_02!C344</f>
        <v>51.267975035480411</v>
      </c>
      <c r="F345" s="251">
        <f>Dat_02!D344</f>
        <v>41.360965957335978</v>
      </c>
      <c r="G345" s="251">
        <f>Dat_02!E344</f>
        <v>41.360965957335978</v>
      </c>
      <c r="I345" s="252">
        <f>Dat_02!G344</f>
        <v>0</v>
      </c>
      <c r="J345" s="264" t="str">
        <f>IF(Dat_02!H344=0,"",Dat_02!H344)</f>
        <v/>
      </c>
    </row>
    <row r="346" spans="2:10">
      <c r="B346" s="248"/>
      <c r="C346" s="249" t="s">
        <v>504</v>
      </c>
      <c r="D346" s="248"/>
      <c r="E346" s="251">
        <f>Dat_02!C345</f>
        <v>57.779175035484137</v>
      </c>
      <c r="F346" s="251">
        <f>Dat_02!D345</f>
        <v>41.360965957335978</v>
      </c>
      <c r="G346" s="251">
        <f>Dat_02!E345</f>
        <v>41.360965957335978</v>
      </c>
      <c r="I346" s="252">
        <f>Dat_02!G345</f>
        <v>0</v>
      </c>
      <c r="J346" s="264" t="str">
        <f>IF(Dat_02!H345=0,"",Dat_02!H345)</f>
        <v/>
      </c>
    </row>
    <row r="347" spans="2:10">
      <c r="B347" s="248"/>
      <c r="C347" s="249" t="s">
        <v>505</v>
      </c>
      <c r="D347" s="248"/>
      <c r="E347" s="251">
        <f>Dat_02!C346</f>
        <v>58.880275035482278</v>
      </c>
      <c r="F347" s="251">
        <f>Dat_02!D346</f>
        <v>41.360965957335978</v>
      </c>
      <c r="G347" s="251">
        <f>Dat_02!E346</f>
        <v>41.360965957335978</v>
      </c>
      <c r="I347" s="252">
        <f>Dat_02!G346</f>
        <v>0</v>
      </c>
      <c r="J347" s="264" t="str">
        <f>IF(Dat_02!H346=0,"",Dat_02!H346)</f>
        <v/>
      </c>
    </row>
    <row r="348" spans="2:10">
      <c r="B348" s="248"/>
      <c r="C348" s="249" t="s">
        <v>506</v>
      </c>
      <c r="D348" s="248"/>
      <c r="E348" s="251">
        <f>Dat_02!C347</f>
        <v>31.932175035482274</v>
      </c>
      <c r="F348" s="251">
        <f>Dat_02!D347</f>
        <v>41.360965957335978</v>
      </c>
      <c r="G348" s="251">
        <f>Dat_02!E347</f>
        <v>31.932175035482274</v>
      </c>
      <c r="I348" s="252">
        <f>Dat_02!G347</f>
        <v>0</v>
      </c>
      <c r="J348" s="264" t="str">
        <f>IF(Dat_02!H347=0,"",Dat_02!H347)</f>
        <v/>
      </c>
    </row>
    <row r="349" spans="2:10">
      <c r="B349" s="248"/>
      <c r="C349" s="249" t="s">
        <v>507</v>
      </c>
      <c r="D349" s="248"/>
      <c r="E349" s="251">
        <f>Dat_02!C348</f>
        <v>27.284175035484136</v>
      </c>
      <c r="F349" s="251">
        <f>Dat_02!D348</f>
        <v>41.360965957335978</v>
      </c>
      <c r="G349" s="251">
        <f>Dat_02!E348</f>
        <v>27.284175035484136</v>
      </c>
      <c r="I349" s="252">
        <f>Dat_02!G348</f>
        <v>0</v>
      </c>
      <c r="J349" s="264" t="str">
        <f>IF(Dat_02!H348=0,"",Dat_02!H348)</f>
        <v/>
      </c>
    </row>
    <row r="350" spans="2:10">
      <c r="B350" s="248"/>
      <c r="C350" s="249" t="s">
        <v>508</v>
      </c>
      <c r="D350" s="248"/>
      <c r="E350" s="251">
        <f>Dat_02!C349</f>
        <v>33.381475035482275</v>
      </c>
      <c r="F350" s="251">
        <f>Dat_02!D349</f>
        <v>41.360965957335978</v>
      </c>
      <c r="G350" s="251">
        <f>Dat_02!E349</f>
        <v>33.381475035482275</v>
      </c>
      <c r="I350" s="252">
        <f>Dat_02!G349</f>
        <v>0</v>
      </c>
      <c r="J350" s="264" t="str">
        <f>IF(Dat_02!H349=0,"",Dat_02!H349)</f>
        <v/>
      </c>
    </row>
    <row r="351" spans="2:10">
      <c r="B351" s="248"/>
      <c r="C351" s="249" t="s">
        <v>509</v>
      </c>
      <c r="D351" s="248"/>
      <c r="E351" s="251">
        <f>Dat_02!C350</f>
        <v>56.992775035482268</v>
      </c>
      <c r="F351" s="251">
        <f>Dat_02!D350</f>
        <v>41.360965957335978</v>
      </c>
      <c r="G351" s="251">
        <f>Dat_02!E350</f>
        <v>41.360965957335978</v>
      </c>
      <c r="I351" s="252">
        <f>Dat_02!G350</f>
        <v>0</v>
      </c>
      <c r="J351" s="264" t="str">
        <f>IF(Dat_02!H350=0,"",Dat_02!H350)</f>
        <v/>
      </c>
    </row>
    <row r="352" spans="2:10">
      <c r="B352" s="248"/>
      <c r="C352" s="249" t="s">
        <v>510</v>
      </c>
      <c r="D352" s="248"/>
      <c r="E352" s="251">
        <f>Dat_02!C351</f>
        <v>40.406737656433137</v>
      </c>
      <c r="F352" s="251">
        <f>Dat_02!D351</f>
        <v>41.360965957335978</v>
      </c>
      <c r="G352" s="251">
        <f>Dat_02!E351</f>
        <v>40.406737656433137</v>
      </c>
      <c r="I352" s="252">
        <f>Dat_02!G351</f>
        <v>0</v>
      </c>
      <c r="J352" s="264" t="str">
        <f>IF(Dat_02!H351=0,"",Dat_02!H351)</f>
        <v/>
      </c>
    </row>
    <row r="353" spans="2:10">
      <c r="B353" s="248"/>
      <c r="C353" s="249" t="s">
        <v>511</v>
      </c>
      <c r="D353" s="248"/>
      <c r="E353" s="251">
        <f>Dat_02!C352</f>
        <v>49.309937656431266</v>
      </c>
      <c r="F353" s="251">
        <f>Dat_02!D352</f>
        <v>41.360965957335978</v>
      </c>
      <c r="G353" s="251">
        <f>Dat_02!E352</f>
        <v>41.360965957335978</v>
      </c>
      <c r="I353" s="252">
        <f>Dat_02!G352</f>
        <v>41.360965957335978</v>
      </c>
      <c r="J353" s="264" t="str">
        <f>IF(Dat_02!H352=0,"",Dat_02!H352)</f>
        <v/>
      </c>
    </row>
    <row r="354" spans="2:10">
      <c r="B354" s="248"/>
      <c r="C354" s="249" t="s">
        <v>512</v>
      </c>
      <c r="D354" s="248"/>
      <c r="E354" s="251">
        <f>Dat_02!C353</f>
        <v>55.494537656433138</v>
      </c>
      <c r="F354" s="251">
        <f>Dat_02!D353</f>
        <v>41.360965957335978</v>
      </c>
      <c r="G354" s="251">
        <f>Dat_02!E353</f>
        <v>41.360965957335978</v>
      </c>
      <c r="I354" s="252">
        <f>Dat_02!G353</f>
        <v>0</v>
      </c>
      <c r="J354" s="264" t="str">
        <f>IF(Dat_02!H353=0,"",Dat_02!H353)</f>
        <v/>
      </c>
    </row>
    <row r="355" spans="2:10">
      <c r="B355" s="248"/>
      <c r="C355" s="249" t="s">
        <v>513</v>
      </c>
      <c r="D355" s="248"/>
      <c r="E355" s="251">
        <f>Dat_02!C354</f>
        <v>60.255937656433133</v>
      </c>
      <c r="F355" s="251">
        <f>Dat_02!D354</f>
        <v>41.360965957335978</v>
      </c>
      <c r="G355" s="251">
        <f>Dat_02!E354</f>
        <v>41.360965957335978</v>
      </c>
      <c r="I355" s="252">
        <f>Dat_02!G354</f>
        <v>0</v>
      </c>
      <c r="J355" s="264" t="str">
        <f>IF(Dat_02!H354=0,"",Dat_02!H354)</f>
        <v/>
      </c>
    </row>
    <row r="356" spans="2:10">
      <c r="B356" s="248"/>
      <c r="C356" s="249" t="s">
        <v>514</v>
      </c>
      <c r="D356" s="248"/>
      <c r="E356" s="251">
        <f>Dat_02!C355</f>
        <v>50.562737656433136</v>
      </c>
      <c r="F356" s="251">
        <f>Dat_02!D355</f>
        <v>41.360965957335978</v>
      </c>
      <c r="G356" s="251">
        <f>Dat_02!E355</f>
        <v>41.360965957335978</v>
      </c>
      <c r="I356" s="252">
        <f>Dat_02!G355</f>
        <v>0</v>
      </c>
      <c r="J356" s="264" t="str">
        <f>IF(Dat_02!H355=0,"",Dat_02!H355)</f>
        <v/>
      </c>
    </row>
    <row r="357" spans="2:10">
      <c r="B357" s="248"/>
      <c r="C357" s="249" t="s">
        <v>515</v>
      </c>
      <c r="D357" s="248"/>
      <c r="E357" s="251">
        <f>Dat_02!C356</f>
        <v>17.771037656431275</v>
      </c>
      <c r="F357" s="251">
        <f>Dat_02!D356</f>
        <v>41.360965957335978</v>
      </c>
      <c r="G357" s="251">
        <f>Dat_02!E356</f>
        <v>17.771037656431275</v>
      </c>
      <c r="I357" s="252">
        <f>Dat_02!G356</f>
        <v>0</v>
      </c>
      <c r="J357" s="264" t="str">
        <f>IF(Dat_02!H356=0,"",Dat_02!H356)</f>
        <v/>
      </c>
    </row>
    <row r="358" spans="2:10">
      <c r="B358" s="248"/>
      <c r="C358" s="249" t="s">
        <v>516</v>
      </c>
      <c r="D358" s="248"/>
      <c r="E358" s="251">
        <f>Dat_02!C357</f>
        <v>33.208137656433138</v>
      </c>
      <c r="F358" s="251">
        <f>Dat_02!D357</f>
        <v>41.360965957335978</v>
      </c>
      <c r="G358" s="251">
        <f>Dat_02!E357</f>
        <v>33.208137656433138</v>
      </c>
      <c r="I358" s="252">
        <f>Dat_02!G357</f>
        <v>0</v>
      </c>
      <c r="J358" s="264" t="str">
        <f>IF(Dat_02!H357=0,"",Dat_02!H357)</f>
        <v/>
      </c>
    </row>
    <row r="359" spans="2:10">
      <c r="B359" s="248"/>
      <c r="C359" s="249" t="s">
        <v>517</v>
      </c>
      <c r="D359" s="248"/>
      <c r="E359" s="251">
        <f>Dat_02!C358</f>
        <v>97.291032216170805</v>
      </c>
      <c r="F359" s="251">
        <f>Dat_02!D358</f>
        <v>41.360965957335978</v>
      </c>
      <c r="G359" s="251">
        <f>Dat_02!E358</f>
        <v>41.360965957335978</v>
      </c>
      <c r="I359" s="252">
        <f>Dat_02!G358</f>
        <v>0</v>
      </c>
      <c r="J359" s="264" t="str">
        <f>IF(Dat_02!H358=0,"",Dat_02!H358)</f>
        <v/>
      </c>
    </row>
    <row r="360" spans="2:10">
      <c r="B360" s="248"/>
      <c r="C360" s="249" t="s">
        <v>518</v>
      </c>
      <c r="D360" s="248"/>
      <c r="E360" s="251">
        <f>Dat_02!C359</f>
        <v>126.0293322161708</v>
      </c>
      <c r="F360" s="251">
        <f>Dat_02!D359</f>
        <v>41.360965957335978</v>
      </c>
      <c r="G360" s="251">
        <f>Dat_02!E359</f>
        <v>41.360965957335978</v>
      </c>
      <c r="I360" s="252">
        <f>Dat_02!G359</f>
        <v>0</v>
      </c>
      <c r="J360" s="264" t="str">
        <f>IF(Dat_02!H359=0,"",Dat_02!H359)</f>
        <v/>
      </c>
    </row>
    <row r="361" spans="2:10">
      <c r="B361" s="248"/>
      <c r="C361" s="249" t="s">
        <v>519</v>
      </c>
      <c r="D361" s="248"/>
      <c r="E361" s="251">
        <f>Dat_02!C360</f>
        <v>115.91943221617173</v>
      </c>
      <c r="F361" s="251">
        <f>Dat_02!D360</f>
        <v>41.360965957335978</v>
      </c>
      <c r="G361" s="251">
        <f>Dat_02!E360</f>
        <v>41.360965957335978</v>
      </c>
      <c r="I361" s="252">
        <f>Dat_02!G360</f>
        <v>0</v>
      </c>
      <c r="J361" s="264" t="str">
        <f>IF(Dat_02!H360=0,"",Dat_02!H360)</f>
        <v/>
      </c>
    </row>
    <row r="362" spans="2:10">
      <c r="B362" s="248"/>
      <c r="C362" s="249" t="s">
        <v>520</v>
      </c>
      <c r="D362" s="248"/>
      <c r="E362" s="251">
        <f>Dat_02!C361</f>
        <v>92.78983221616987</v>
      </c>
      <c r="F362" s="251">
        <f>Dat_02!D361</f>
        <v>41.360965957335978</v>
      </c>
      <c r="G362" s="251">
        <f>Dat_02!E361</f>
        <v>41.360965957335978</v>
      </c>
      <c r="I362" s="252">
        <f>Dat_02!G361</f>
        <v>0</v>
      </c>
      <c r="J362" s="264" t="str">
        <f>IF(Dat_02!H361=0,"",Dat_02!H361)</f>
        <v/>
      </c>
    </row>
    <row r="363" spans="2:10">
      <c r="B363" s="248"/>
      <c r="C363" s="249" t="s">
        <v>521</v>
      </c>
      <c r="D363" s="248"/>
      <c r="E363" s="251">
        <f>Dat_02!C362</f>
        <v>89.756632216171738</v>
      </c>
      <c r="F363" s="251">
        <f>Dat_02!D362</f>
        <v>41.360965957335978</v>
      </c>
      <c r="G363" s="251">
        <f>Dat_02!E362</f>
        <v>41.360965957335978</v>
      </c>
      <c r="I363" s="252">
        <f>Dat_02!G362</f>
        <v>0</v>
      </c>
      <c r="J363" s="264" t="str">
        <f>IF(Dat_02!H362=0,"",Dat_02!H362)</f>
        <v/>
      </c>
    </row>
    <row r="364" spans="2:10">
      <c r="B364" s="248"/>
      <c r="C364" s="249" t="s">
        <v>522</v>
      </c>
      <c r="D364" s="248"/>
      <c r="E364" s="251">
        <f>Dat_02!C363</f>
        <v>109.11183221617081</v>
      </c>
      <c r="F364" s="251">
        <f>Dat_02!D363</f>
        <v>41.360965957335978</v>
      </c>
      <c r="G364" s="251">
        <f>Dat_02!E363</f>
        <v>41.360965957335978</v>
      </c>
      <c r="I364" s="252">
        <f>Dat_02!G363</f>
        <v>0</v>
      </c>
      <c r="J364" s="264" t="str">
        <f>IF(Dat_02!H363=0,"",Dat_02!H363)</f>
        <v/>
      </c>
    </row>
    <row r="365" spans="2:10">
      <c r="B365" s="248"/>
      <c r="C365" s="249" t="s">
        <v>523</v>
      </c>
      <c r="D365" s="248"/>
      <c r="E365" s="251">
        <f>Dat_02!C364</f>
        <v>109.85633221616987</v>
      </c>
      <c r="F365" s="251">
        <f>Dat_02!D364</f>
        <v>41.360965957335978</v>
      </c>
      <c r="G365" s="251">
        <f>Dat_02!E364</f>
        <v>41.360965957335978</v>
      </c>
      <c r="I365" s="252">
        <f>Dat_02!G364</f>
        <v>0</v>
      </c>
      <c r="J365" s="264" t="str">
        <f>IF(Dat_02!H364=0,"",Dat_02!H364)</f>
        <v/>
      </c>
    </row>
    <row r="366" spans="2:10">
      <c r="B366" s="248"/>
      <c r="C366" s="249" t="s">
        <v>524</v>
      </c>
      <c r="D366" s="248"/>
      <c r="E366" s="251">
        <f>Dat_02!C365</f>
        <v>97.513333258563279</v>
      </c>
      <c r="F366" s="251">
        <f>Dat_02!D365</f>
        <v>41.360965957335978</v>
      </c>
      <c r="G366" s="251">
        <f>Dat_02!E365</f>
        <v>41.360965957335978</v>
      </c>
      <c r="I366" s="252">
        <f>Dat_02!G365</f>
        <v>0</v>
      </c>
      <c r="J366" s="264" t="str">
        <f>IF(Dat_02!H365=0,"",Dat_02!H365)</f>
        <v/>
      </c>
    </row>
    <row r="367" spans="2:10">
      <c r="B367" s="248"/>
      <c r="C367" s="249" t="s">
        <v>525</v>
      </c>
      <c r="D367" s="248"/>
      <c r="E367" s="251">
        <f>Dat_02!C366</f>
        <v>100.72623325856142</v>
      </c>
      <c r="F367" s="251">
        <f>Dat_02!D366</f>
        <v>41.360965957335978</v>
      </c>
      <c r="G367" s="251">
        <f>Dat_02!E366</f>
        <v>41.360965957335978</v>
      </c>
      <c r="I367" s="252">
        <f>Dat_02!G366</f>
        <v>0</v>
      </c>
      <c r="J367" s="264" t="str">
        <f>IF(Dat_02!H366=0,"",Dat_02!H366)</f>
        <v/>
      </c>
    </row>
    <row r="368" spans="2:10">
      <c r="B368" s="248"/>
      <c r="C368" s="249" t="s">
        <v>526</v>
      </c>
      <c r="D368" s="248"/>
      <c r="E368" s="251">
        <f>Dat_02!C367</f>
        <v>94.830733258563285</v>
      </c>
      <c r="F368" s="251">
        <f>Dat_02!D367</f>
        <v>41.360965957335978</v>
      </c>
      <c r="G368" s="251">
        <f>Dat_02!E367</f>
        <v>41.360965957335978</v>
      </c>
      <c r="I368" s="252">
        <f>Dat_02!G367</f>
        <v>0</v>
      </c>
      <c r="J368" s="264" t="str">
        <f>IF(Dat_02!H367=0,"",Dat_02!H367)</f>
        <v/>
      </c>
    </row>
    <row r="369" spans="2:10">
      <c r="B369" s="250" t="s">
        <v>528</v>
      </c>
      <c r="C369" s="255" t="s">
        <v>529</v>
      </c>
      <c r="D369" s="250"/>
      <c r="E369" s="251">
        <f>Dat_02!C368</f>
        <v>73.145933258563275</v>
      </c>
      <c r="F369" s="251">
        <f>Dat_02!D368</f>
        <v>41.360965957335978</v>
      </c>
      <c r="G369" s="251">
        <f>Dat_02!E368</f>
        <v>41.360965957335978</v>
      </c>
      <c r="I369" s="252">
        <f>Dat_02!G368</f>
        <v>0</v>
      </c>
      <c r="J369" s="264" t="str">
        <f>IF(Dat_02!H368=0,"",Dat_02!H368)</f>
        <v/>
      </c>
    </row>
    <row r="370" spans="2:10">
      <c r="B370" s="248"/>
      <c r="C370" s="249" t="s">
        <v>530</v>
      </c>
      <c r="D370" s="250"/>
      <c r="E370" s="251">
        <f>Dat_02!C369</f>
        <v>64.711733258562887</v>
      </c>
      <c r="F370" s="251">
        <f>Dat_02!D369</f>
        <v>85.678144231829236</v>
      </c>
      <c r="G370" s="251">
        <f>Dat_02!E369</f>
        <v>64.711733258562887</v>
      </c>
      <c r="I370" s="252">
        <f>Dat_02!G369</f>
        <v>0</v>
      </c>
      <c r="J370" s="264" t="str">
        <f>IF(Dat_02!H369=0,"",Dat_02!H369)</f>
        <v/>
      </c>
    </row>
    <row r="371" spans="2:10">
      <c r="B371" s="248"/>
      <c r="C371" s="249" t="s">
        <v>531</v>
      </c>
      <c r="D371" s="248"/>
      <c r="E371" s="251">
        <f>Dat_02!C370</f>
        <v>93.417533258562898</v>
      </c>
      <c r="F371" s="251">
        <f>Dat_02!D370</f>
        <v>85.678144231829236</v>
      </c>
      <c r="G371" s="251">
        <f>Dat_02!E370</f>
        <v>85.678144231829236</v>
      </c>
      <c r="I371" s="252">
        <f>Dat_02!G370</f>
        <v>0</v>
      </c>
      <c r="J371" s="264" t="str">
        <f>IF(Dat_02!H370=0,"",Dat_02!H370)</f>
        <v/>
      </c>
    </row>
    <row r="372" spans="2:10">
      <c r="B372" s="248"/>
      <c r="C372" s="249" t="s">
        <v>532</v>
      </c>
      <c r="D372" s="248"/>
      <c r="E372" s="251">
        <f>Dat_02!C371</f>
        <v>85.329933258562889</v>
      </c>
      <c r="F372" s="251">
        <f>Dat_02!D371</f>
        <v>85.678144231829236</v>
      </c>
      <c r="G372" s="251">
        <f>Dat_02!E371</f>
        <v>85.329933258562889</v>
      </c>
      <c r="I372" s="252">
        <f>Dat_02!G371</f>
        <v>0</v>
      </c>
      <c r="J372" s="264" t="str">
        <f>IF(Dat_02!H371=0,"",Dat_02!H371)</f>
        <v/>
      </c>
    </row>
    <row r="373" spans="2:10">
      <c r="B373" s="248"/>
      <c r="C373" s="249" t="s">
        <v>533</v>
      </c>
      <c r="D373" s="248"/>
      <c r="E373" s="251">
        <f>Dat_02!C372</f>
        <v>92.059814019519166</v>
      </c>
      <c r="F373" s="251">
        <f>Dat_02!D372</f>
        <v>85.678144231829236</v>
      </c>
      <c r="G373" s="251">
        <f>Dat_02!E372</f>
        <v>85.678144231829236</v>
      </c>
      <c r="I373" s="252">
        <f>Dat_02!G372</f>
        <v>0</v>
      </c>
      <c r="J373" s="264" t="str">
        <f>IF(Dat_02!H372=0,"",Dat_02!H372)</f>
        <v/>
      </c>
    </row>
    <row r="374" spans="2:10">
      <c r="B374" s="248"/>
      <c r="C374" s="249" t="s">
        <v>534</v>
      </c>
      <c r="D374" s="248"/>
      <c r="E374" s="251">
        <f>Dat_02!C373</f>
        <v>84.913114019519156</v>
      </c>
      <c r="F374" s="251">
        <f>Dat_02!D373</f>
        <v>85.678144231829236</v>
      </c>
      <c r="G374" s="251">
        <f>Dat_02!E373</f>
        <v>84.913114019519156</v>
      </c>
      <c r="I374" s="252">
        <f>Dat_02!G373</f>
        <v>0</v>
      </c>
      <c r="J374" s="264" t="str">
        <f>IF(Dat_02!H373=0,"",Dat_02!H373)</f>
        <v/>
      </c>
    </row>
    <row r="375" spans="2:10">
      <c r="B375" s="248"/>
      <c r="C375" s="249" t="s">
        <v>535</v>
      </c>
      <c r="D375" s="248"/>
      <c r="E375" s="251">
        <f>Dat_02!C374</f>
        <v>83.47701401951916</v>
      </c>
      <c r="F375" s="251">
        <f>Dat_02!D374</f>
        <v>85.678144231829236</v>
      </c>
      <c r="G375" s="251">
        <f>Dat_02!E374</f>
        <v>83.47701401951916</v>
      </c>
      <c r="I375" s="252">
        <f>Dat_02!G374</f>
        <v>0</v>
      </c>
      <c r="J375" s="264" t="str">
        <f>IF(Dat_02!H374=0,"",Dat_02!H374)</f>
        <v/>
      </c>
    </row>
    <row r="376" spans="2:10">
      <c r="B376" s="248"/>
      <c r="C376" s="249" t="s">
        <v>536</v>
      </c>
      <c r="D376" s="248"/>
      <c r="E376" s="251">
        <f>Dat_02!C375</f>
        <v>86.268814019519169</v>
      </c>
      <c r="F376" s="251">
        <f>Dat_02!D375</f>
        <v>85.678144231829236</v>
      </c>
      <c r="G376" s="251">
        <f>Dat_02!E375</f>
        <v>85.678144231829236</v>
      </c>
      <c r="I376" s="252">
        <f>Dat_02!G375</f>
        <v>0</v>
      </c>
      <c r="J376" s="264" t="str">
        <f>IF(Dat_02!H375=0,"",Dat_02!H375)</f>
        <v/>
      </c>
    </row>
    <row r="377" spans="2:10">
      <c r="B377" s="248"/>
      <c r="C377" s="249" t="s">
        <v>537</v>
      </c>
      <c r="D377" s="248"/>
      <c r="E377" s="251">
        <f>Dat_02!C376</f>
        <v>87.437714019519163</v>
      </c>
      <c r="F377" s="251">
        <f>Dat_02!D376</f>
        <v>85.678144231829236</v>
      </c>
      <c r="G377" s="251">
        <f>Dat_02!E376</f>
        <v>85.678144231829236</v>
      </c>
      <c r="I377" s="252">
        <f>Dat_02!G376</f>
        <v>0</v>
      </c>
      <c r="J377" s="264" t="str">
        <f>IF(Dat_02!H376=0,"",Dat_02!H376)</f>
        <v/>
      </c>
    </row>
    <row r="378" spans="2:10">
      <c r="B378" s="248"/>
      <c r="C378" s="249" t="s">
        <v>538</v>
      </c>
      <c r="D378" s="248"/>
      <c r="E378" s="251">
        <f>Dat_02!C377</f>
        <v>120.78061401951915</v>
      </c>
      <c r="F378" s="251">
        <f>Dat_02!D377</f>
        <v>85.678144231829236</v>
      </c>
      <c r="G378" s="251">
        <f>Dat_02!E377</f>
        <v>85.678144231829236</v>
      </c>
      <c r="I378" s="252">
        <f>Dat_02!G377</f>
        <v>0</v>
      </c>
      <c r="J378" s="264" t="str">
        <f>IF(Dat_02!H377=0,"",Dat_02!H377)</f>
        <v/>
      </c>
    </row>
    <row r="379" spans="2:10">
      <c r="B379" s="248"/>
      <c r="C379" s="249" t="s">
        <v>539</v>
      </c>
      <c r="D379" s="248"/>
      <c r="E379" s="251">
        <f>Dat_02!C378</f>
        <v>137.60111401951914</v>
      </c>
      <c r="F379" s="251">
        <f>Dat_02!D378</f>
        <v>85.678144231829236</v>
      </c>
      <c r="G379" s="251">
        <f>Dat_02!E378</f>
        <v>85.678144231829236</v>
      </c>
      <c r="I379" s="252">
        <f>Dat_02!G378</f>
        <v>0</v>
      </c>
      <c r="J379" s="264" t="str">
        <f>IF(Dat_02!H378=0,"",Dat_02!H378)</f>
        <v/>
      </c>
    </row>
    <row r="380" spans="2:10">
      <c r="B380" s="248"/>
      <c r="C380" s="249" t="s">
        <v>540</v>
      </c>
      <c r="D380" s="248"/>
      <c r="E380" s="251">
        <f>Dat_02!C379</f>
        <v>95.96769465272213</v>
      </c>
      <c r="F380" s="251">
        <f>Dat_02!D379</f>
        <v>85.678144231829236</v>
      </c>
      <c r="G380" s="251">
        <f>Dat_02!E379</f>
        <v>85.678144231829236</v>
      </c>
      <c r="I380" s="252">
        <f>Dat_02!G379</f>
        <v>0</v>
      </c>
      <c r="J380" s="264" t="str">
        <f>IF(Dat_02!H379=0,"",Dat_02!H379)</f>
        <v/>
      </c>
    </row>
    <row r="381" spans="2:10">
      <c r="B381" s="248"/>
      <c r="C381" s="249" t="s">
        <v>541</v>
      </c>
      <c r="D381" s="248"/>
      <c r="E381" s="251">
        <f>Dat_02!C380</f>
        <v>98.078294652722136</v>
      </c>
      <c r="F381" s="251">
        <f>Dat_02!D380</f>
        <v>85.678144231829236</v>
      </c>
      <c r="G381" s="251">
        <f>Dat_02!E380</f>
        <v>85.678144231829236</v>
      </c>
      <c r="I381" s="252">
        <f>Dat_02!G380</f>
        <v>0</v>
      </c>
      <c r="J381" s="264" t="str">
        <f>IF(Dat_02!H380=0,"",Dat_02!H380)</f>
        <v/>
      </c>
    </row>
    <row r="382" spans="2:10">
      <c r="B382" s="248"/>
      <c r="C382" s="249" t="s">
        <v>542</v>
      </c>
      <c r="D382" s="248"/>
      <c r="E382" s="251">
        <f>Dat_02!C381</f>
        <v>96.484394652722131</v>
      </c>
      <c r="F382" s="251">
        <f>Dat_02!D381</f>
        <v>85.678144231829236</v>
      </c>
      <c r="G382" s="251">
        <f>Dat_02!E381</f>
        <v>85.678144231829236</v>
      </c>
      <c r="I382" s="252">
        <f>Dat_02!G381</f>
        <v>0</v>
      </c>
      <c r="J382" s="264" t="str">
        <f>IF(Dat_02!H381=0,"",Dat_02!H381)</f>
        <v/>
      </c>
    </row>
    <row r="383" spans="2:10">
      <c r="B383" s="248"/>
      <c r="C383" s="249" t="s">
        <v>543</v>
      </c>
      <c r="D383" s="248"/>
      <c r="E383" s="251">
        <f>Dat_02!C382</f>
        <v>68.95269465272213</v>
      </c>
      <c r="F383" s="251">
        <f>Dat_02!D382</f>
        <v>85.678144231829236</v>
      </c>
      <c r="G383" s="251">
        <f>Dat_02!E382</f>
        <v>68.95269465272213</v>
      </c>
      <c r="I383" s="252">
        <f>Dat_02!G382</f>
        <v>0</v>
      </c>
      <c r="J383" s="264" t="str">
        <f>IF(Dat_02!H382=0,"",Dat_02!H382)</f>
        <v/>
      </c>
    </row>
    <row r="384" spans="2:10">
      <c r="B384" s="248"/>
      <c r="C384" s="249" t="s">
        <v>544</v>
      </c>
      <c r="D384" s="248"/>
      <c r="E384" s="251">
        <f>Dat_02!C383</f>
        <v>52.064494652722139</v>
      </c>
      <c r="F384" s="251">
        <f>Dat_02!D383</f>
        <v>85.678144231829236</v>
      </c>
      <c r="G384" s="251">
        <f>Dat_02!E383</f>
        <v>52.064494652722139</v>
      </c>
      <c r="I384" s="252">
        <f>Dat_02!G383</f>
        <v>85.678144231829236</v>
      </c>
      <c r="J384" s="264" t="str">
        <f>IF(Dat_02!H383=0,"",Dat_02!H383)</f>
        <v/>
      </c>
    </row>
    <row r="385" spans="2:10">
      <c r="B385" s="248"/>
      <c r="C385" s="249" t="s">
        <v>545</v>
      </c>
      <c r="D385" s="248"/>
      <c r="E385" s="251">
        <f>Dat_02!C384</f>
        <v>91.767994652722138</v>
      </c>
      <c r="F385" s="251">
        <f>Dat_02!D384</f>
        <v>85.678144231829236</v>
      </c>
      <c r="G385" s="251">
        <f>Dat_02!E384</f>
        <v>85.678144231829236</v>
      </c>
      <c r="I385" s="252">
        <f>Dat_02!G384</f>
        <v>0</v>
      </c>
      <c r="J385" s="264" t="str">
        <f>IF(Dat_02!H384=0,"",Dat_02!H384)</f>
        <v/>
      </c>
    </row>
    <row r="386" spans="2:10">
      <c r="B386" s="248"/>
      <c r="C386" s="249" t="s">
        <v>546</v>
      </c>
      <c r="D386" s="248"/>
      <c r="E386" s="251">
        <f>Dat_02!C385</f>
        <v>93.165794652722141</v>
      </c>
      <c r="F386" s="251">
        <f>Dat_02!D385</f>
        <v>85.678144231829236</v>
      </c>
      <c r="G386" s="251">
        <f>Dat_02!E385</f>
        <v>85.678144231829236</v>
      </c>
      <c r="I386" s="252">
        <f>Dat_02!G385</f>
        <v>0</v>
      </c>
      <c r="J386" s="264" t="str">
        <f>IF(Dat_02!H385=0,"",Dat_02!H385)</f>
        <v/>
      </c>
    </row>
    <row r="387" spans="2:10">
      <c r="B387" s="248"/>
      <c r="C387" s="249" t="s">
        <v>547</v>
      </c>
      <c r="D387" s="248"/>
      <c r="E387" s="251">
        <f>Dat_02!C386</f>
        <v>72.630552717442654</v>
      </c>
      <c r="F387" s="251">
        <f>Dat_02!D386</f>
        <v>85.678144231829236</v>
      </c>
      <c r="G387" s="251">
        <f>Dat_02!E386</f>
        <v>72.630552717442654</v>
      </c>
      <c r="I387" s="252">
        <f>Dat_02!G386</f>
        <v>0</v>
      </c>
      <c r="J387" s="264" t="str">
        <f>IF(Dat_02!H386=0,"",Dat_02!H386)</f>
        <v/>
      </c>
    </row>
    <row r="388" spans="2:10">
      <c r="B388" s="248"/>
      <c r="C388" s="249" t="s">
        <v>548</v>
      </c>
      <c r="D388" s="248"/>
      <c r="E388" s="251">
        <f>Dat_02!C387</f>
        <v>63.004652717442646</v>
      </c>
      <c r="F388" s="251">
        <f>Dat_02!D387</f>
        <v>85.678144231829236</v>
      </c>
      <c r="G388" s="251">
        <f>Dat_02!E387</f>
        <v>63.004652717442646</v>
      </c>
      <c r="I388" s="252">
        <f>Dat_02!G387</f>
        <v>0</v>
      </c>
      <c r="J388" s="264" t="str">
        <f>IF(Dat_02!H387=0,"",Dat_02!H387)</f>
        <v/>
      </c>
    </row>
    <row r="389" spans="2:10">
      <c r="B389" s="248"/>
      <c r="C389" s="249" t="s">
        <v>549</v>
      </c>
      <c r="D389" s="248"/>
      <c r="E389" s="251">
        <f>Dat_02!C388</f>
        <v>56.796152717442659</v>
      </c>
      <c r="F389" s="251">
        <f>Dat_02!D388</f>
        <v>85.678144231829236</v>
      </c>
      <c r="G389" s="251">
        <f>Dat_02!E388</f>
        <v>56.796152717442659</v>
      </c>
      <c r="I389" s="252">
        <f>Dat_02!G388</f>
        <v>0</v>
      </c>
      <c r="J389" s="264" t="str">
        <f>IF(Dat_02!H388=0,"",Dat_02!H388)</f>
        <v/>
      </c>
    </row>
    <row r="390" spans="2:10">
      <c r="B390" s="248"/>
      <c r="C390" s="249" t="s">
        <v>550</v>
      </c>
      <c r="D390" s="248"/>
      <c r="E390" s="251">
        <f>Dat_02!C389</f>
        <v>53.172052717442654</v>
      </c>
      <c r="F390" s="251">
        <f>Dat_02!D389</f>
        <v>85.678144231829236</v>
      </c>
      <c r="G390" s="251">
        <f>Dat_02!E389</f>
        <v>53.172052717442654</v>
      </c>
      <c r="I390" s="252">
        <f>Dat_02!G389</f>
        <v>0</v>
      </c>
      <c r="J390" s="264" t="str">
        <f>IF(Dat_02!H389=0,"",Dat_02!H389)</f>
        <v/>
      </c>
    </row>
    <row r="391" spans="2:10">
      <c r="B391" s="248"/>
      <c r="C391" s="249" t="s">
        <v>551</v>
      </c>
      <c r="D391" s="248"/>
      <c r="E391" s="251">
        <f>Dat_02!C390</f>
        <v>48.916152717442657</v>
      </c>
      <c r="F391" s="251">
        <f>Dat_02!D390</f>
        <v>85.678144231829236</v>
      </c>
      <c r="G391" s="251">
        <f>Dat_02!E390</f>
        <v>48.916152717442657</v>
      </c>
      <c r="I391" s="252">
        <f>Dat_02!G390</f>
        <v>0</v>
      </c>
      <c r="J391" s="264" t="str">
        <f>IF(Dat_02!H390=0,"",Dat_02!H390)</f>
        <v/>
      </c>
    </row>
    <row r="392" spans="2:10">
      <c r="B392" s="248"/>
      <c r="C392" s="249" t="s">
        <v>552</v>
      </c>
      <c r="D392" s="248"/>
      <c r="E392" s="251">
        <f>Dat_02!C391</f>
        <v>87.868552717442654</v>
      </c>
      <c r="F392" s="251">
        <f>Dat_02!D391</f>
        <v>85.678144231829236</v>
      </c>
      <c r="G392" s="251">
        <f>Dat_02!E391</f>
        <v>85.678144231829236</v>
      </c>
      <c r="I392" s="252">
        <f>Dat_02!G391</f>
        <v>0</v>
      </c>
      <c r="J392" s="264" t="str">
        <f>IF(Dat_02!H391=0,"",Dat_02!H391)</f>
        <v/>
      </c>
    </row>
    <row r="393" spans="2:10">
      <c r="B393" s="248"/>
      <c r="C393" s="249" t="s">
        <v>553</v>
      </c>
      <c r="D393" s="248"/>
      <c r="E393" s="251">
        <f>Dat_02!C392</f>
        <v>85.365152717442641</v>
      </c>
      <c r="F393" s="251">
        <f>Dat_02!D392</f>
        <v>85.678144231829236</v>
      </c>
      <c r="G393" s="251">
        <f>Dat_02!E392</f>
        <v>85.365152717442641</v>
      </c>
      <c r="I393" s="252">
        <f>Dat_02!G392</f>
        <v>0</v>
      </c>
      <c r="J393" s="264" t="str">
        <f>IF(Dat_02!H392=0,"",Dat_02!H392)</f>
        <v/>
      </c>
    </row>
    <row r="394" spans="2:10">
      <c r="B394" s="248"/>
      <c r="C394" s="249" t="s">
        <v>554</v>
      </c>
      <c r="D394" s="248"/>
      <c r="E394" s="251">
        <f>Dat_02!C393</f>
        <v>69.01658826066425</v>
      </c>
      <c r="F394" s="251">
        <f>Dat_02!D393</f>
        <v>85.678144231829236</v>
      </c>
      <c r="G394" s="251">
        <f>Dat_02!E393</f>
        <v>69.01658826066425</v>
      </c>
      <c r="I394" s="252">
        <f>Dat_02!G393</f>
        <v>0</v>
      </c>
      <c r="J394" s="264" t="str">
        <f>IF(Dat_02!H393=0,"",Dat_02!H393)</f>
        <v/>
      </c>
    </row>
    <row r="395" spans="2:10">
      <c r="B395" s="248"/>
      <c r="C395" s="249" t="s">
        <v>555</v>
      </c>
      <c r="D395" s="248"/>
      <c r="E395" s="251">
        <f>Dat_02!C394</f>
        <v>71.082788260664259</v>
      </c>
      <c r="F395" s="251">
        <f>Dat_02!D394</f>
        <v>85.678144231829236</v>
      </c>
      <c r="G395" s="251">
        <f>Dat_02!E394</f>
        <v>71.082788260664259</v>
      </c>
      <c r="I395" s="252">
        <f>Dat_02!G394</f>
        <v>0</v>
      </c>
      <c r="J395" s="264" t="str">
        <f>IF(Dat_02!H394=0,"",Dat_02!H394)</f>
        <v/>
      </c>
    </row>
    <row r="396" spans="2:10">
      <c r="B396" s="248"/>
      <c r="C396" s="249" t="s">
        <v>556</v>
      </c>
      <c r="D396" s="248"/>
      <c r="E396" s="251">
        <f>Dat_02!C395</f>
        <v>81.511788260664247</v>
      </c>
      <c r="F396" s="251">
        <f>Dat_02!D395</f>
        <v>85.678144231829236</v>
      </c>
      <c r="G396" s="251">
        <f>Dat_02!E395</f>
        <v>81.511788260664247</v>
      </c>
      <c r="I396" s="252">
        <f>Dat_02!G395</f>
        <v>0</v>
      </c>
      <c r="J396" s="264" t="str">
        <f>IF(Dat_02!H395=0,"",Dat_02!H395)</f>
        <v/>
      </c>
    </row>
    <row r="397" spans="2:10">
      <c r="B397" s="248"/>
      <c r="C397" s="249" t="s">
        <v>557</v>
      </c>
      <c r="D397" s="248"/>
      <c r="E397" s="251">
        <f>Dat_02!C396</f>
        <v>61.805388260664259</v>
      </c>
      <c r="F397" s="251">
        <f>Dat_02!D396</f>
        <v>85.678144231829236</v>
      </c>
      <c r="G397" s="251">
        <f>Dat_02!E396</f>
        <v>61.805388260664259</v>
      </c>
      <c r="I397" s="252">
        <f>Dat_02!G396</f>
        <v>0</v>
      </c>
      <c r="J397" s="264" t="str">
        <f>IF(Dat_02!H396=0,"",Dat_02!H396)</f>
        <v/>
      </c>
    </row>
    <row r="398" spans="2:10">
      <c r="B398" s="248"/>
      <c r="C398" s="249" t="s">
        <v>558</v>
      </c>
      <c r="D398" s="248"/>
      <c r="E398" s="251">
        <f>Dat_02!C397</f>
        <v>58.887488260664263</v>
      </c>
      <c r="F398" s="251">
        <f>Dat_02!D397</f>
        <v>85.678144231829236</v>
      </c>
      <c r="G398" s="251">
        <f>Dat_02!E397</f>
        <v>58.887488260664263</v>
      </c>
      <c r="I398" s="252">
        <f>Dat_02!G397</f>
        <v>0</v>
      </c>
      <c r="J398" s="264" t="str">
        <f>IF(Dat_02!H397=0,"",Dat_02!H397)</f>
        <v/>
      </c>
    </row>
    <row r="399" spans="2:10">
      <c r="B399" s="248"/>
      <c r="C399" s="249" t="s">
        <v>559</v>
      </c>
      <c r="D399" s="248"/>
      <c r="E399" s="251">
        <f>Dat_02!C398</f>
        <v>78.146388260664253</v>
      </c>
      <c r="F399" s="251">
        <f>Dat_02!D398</f>
        <v>85.678144231829236</v>
      </c>
      <c r="G399" s="251">
        <f>Dat_02!E398</f>
        <v>78.146388260664253</v>
      </c>
      <c r="I399" s="252">
        <f>Dat_02!G398</f>
        <v>0</v>
      </c>
      <c r="J399" s="264" t="str">
        <f>IF(Dat_02!H398=0,"",Dat_02!H398)</f>
        <v/>
      </c>
    </row>
    <row r="400" spans="2:10">
      <c r="B400" s="256"/>
      <c r="C400" s="257"/>
      <c r="D400" s="258"/>
      <c r="E400" s="259"/>
      <c r="F400" s="259"/>
      <c r="G400" s="259"/>
      <c r="H400" s="254"/>
      <c r="I400" s="253"/>
      <c r="J400" s="247"/>
    </row>
    <row r="401" spans="2:10">
      <c r="B401" s="254"/>
      <c r="C401" s="254"/>
      <c r="D401" s="254"/>
      <c r="E401" s="260"/>
      <c r="F401" s="260"/>
      <c r="G401" s="261"/>
      <c r="H401" s="254"/>
      <c r="I401" s="253"/>
      <c r="J401" s="247"/>
    </row>
    <row r="402" spans="2:10">
      <c r="B402" s="254"/>
      <c r="C402" s="254"/>
      <c r="D402" s="254"/>
      <c r="E402" s="260"/>
      <c r="F402" s="260"/>
      <c r="G402" s="261"/>
      <c r="H402" s="254"/>
      <c r="I402" s="253"/>
      <c r="J402" s="247"/>
    </row>
    <row r="403" spans="2:10">
      <c r="B403" s="156"/>
      <c r="C403" s="254"/>
      <c r="D403" s="254"/>
      <c r="E403" s="260"/>
      <c r="F403" s="260"/>
      <c r="G403" s="261"/>
      <c r="H403" s="156"/>
      <c r="I403" s="262"/>
      <c r="J403" s="263"/>
    </row>
    <row r="404" spans="2:10">
      <c r="B404" s="156"/>
      <c r="C404" s="254"/>
      <c r="D404" s="254"/>
      <c r="E404" s="260"/>
      <c r="F404" s="260"/>
      <c r="G404" s="261"/>
      <c r="H404" s="156"/>
      <c r="I404" s="262"/>
      <c r="J404" s="263"/>
    </row>
    <row r="405" spans="2:10">
      <c r="B405" s="156"/>
      <c r="C405" s="254"/>
      <c r="D405" s="254"/>
      <c r="E405" s="260"/>
      <c r="F405" s="260"/>
      <c r="G405" s="261"/>
      <c r="H405" s="156"/>
      <c r="I405" s="262"/>
      <c r="J405" s="263"/>
    </row>
    <row r="406" spans="2:10">
      <c r="B406" s="156"/>
      <c r="C406" s="254"/>
      <c r="D406" s="254"/>
      <c r="E406" s="260"/>
      <c r="F406" s="260"/>
      <c r="G406" s="261"/>
      <c r="H406" s="156"/>
      <c r="I406" s="262"/>
      <c r="J406" s="263"/>
    </row>
    <row r="407" spans="2:10">
      <c r="B407" s="156"/>
      <c r="C407" s="254"/>
      <c r="D407" s="254"/>
      <c r="E407" s="260"/>
      <c r="F407" s="260"/>
      <c r="G407" s="261"/>
      <c r="H407" s="156"/>
      <c r="I407" s="262"/>
      <c r="J407" s="263"/>
    </row>
    <row r="408" spans="2:10">
      <c r="B408" s="156"/>
      <c r="C408" s="254"/>
      <c r="D408" s="254"/>
      <c r="E408" s="260"/>
      <c r="F408" s="260"/>
      <c r="G408" s="261"/>
      <c r="H408" s="156"/>
      <c r="I408" s="262"/>
      <c r="J408" s="263"/>
    </row>
    <row r="409" spans="2:10">
      <c r="B409" s="156"/>
      <c r="C409" s="254"/>
      <c r="D409" s="254"/>
      <c r="E409" s="260"/>
      <c r="F409" s="260"/>
      <c r="G409" s="261"/>
      <c r="H409" s="156"/>
      <c r="I409" s="262"/>
      <c r="J409" s="263"/>
    </row>
    <row r="410" spans="2:10">
      <c r="B410" s="156"/>
      <c r="C410" s="254"/>
      <c r="D410" s="254"/>
      <c r="E410" s="260"/>
      <c r="F410" s="260"/>
      <c r="G410" s="261"/>
      <c r="H410" s="156"/>
      <c r="I410" s="262"/>
      <c r="J410" s="263"/>
    </row>
    <row r="411" spans="2:10">
      <c r="B411" s="156"/>
      <c r="C411" s="254"/>
      <c r="D411" s="254"/>
      <c r="E411" s="260"/>
      <c r="F411" s="260"/>
      <c r="G411" s="261"/>
      <c r="H411" s="156"/>
      <c r="I411" s="262"/>
      <c r="J411" s="263"/>
    </row>
    <row r="412" spans="2:10">
      <c r="B412" s="156"/>
      <c r="C412" s="254"/>
      <c r="D412" s="254"/>
      <c r="E412" s="260"/>
      <c r="F412" s="260"/>
      <c r="G412" s="261"/>
      <c r="H412" s="156"/>
      <c r="I412" s="262"/>
      <c r="J412" s="263"/>
    </row>
    <row r="413" spans="2:10">
      <c r="B413" s="156"/>
      <c r="C413" s="254"/>
      <c r="D413" s="254"/>
      <c r="E413" s="260"/>
      <c r="F413" s="260"/>
      <c r="G413" s="261"/>
      <c r="H413" s="156"/>
      <c r="I413" s="262"/>
      <c r="J413" s="263"/>
    </row>
    <row r="414" spans="2:10">
      <c r="B414" s="156"/>
      <c r="C414" s="254"/>
      <c r="D414" s="254"/>
      <c r="E414" s="260"/>
      <c r="F414" s="260"/>
      <c r="G414" s="261"/>
      <c r="H414" s="156"/>
      <c r="I414" s="262"/>
      <c r="J414" s="263"/>
    </row>
    <row r="415" spans="2:10">
      <c r="B415" s="156"/>
      <c r="C415" s="254"/>
      <c r="D415" s="254"/>
      <c r="E415" s="260"/>
      <c r="F415" s="260"/>
      <c r="G415" s="261"/>
      <c r="H415" s="156"/>
      <c r="I415" s="253"/>
      <c r="J415" s="247"/>
    </row>
    <row r="416" spans="2:10">
      <c r="B416" s="156"/>
      <c r="C416" s="254"/>
      <c r="D416" s="254"/>
      <c r="E416" s="260"/>
      <c r="F416" s="260"/>
      <c r="G416" s="261"/>
      <c r="H416" s="156"/>
      <c r="I416" s="262"/>
      <c r="J416" s="263"/>
    </row>
    <row r="417" spans="2:10">
      <c r="B417" s="156"/>
      <c r="C417" s="254"/>
      <c r="D417" s="254"/>
      <c r="E417" s="260"/>
      <c r="F417" s="260"/>
      <c r="G417" s="261"/>
      <c r="H417" s="156"/>
      <c r="I417" s="262"/>
      <c r="J417" s="263"/>
    </row>
    <row r="418" spans="2:10">
      <c r="B418" s="156"/>
      <c r="C418" s="254"/>
      <c r="D418" s="254"/>
      <c r="E418" s="260"/>
      <c r="F418" s="260"/>
      <c r="G418" s="261"/>
      <c r="H418" s="156"/>
      <c r="I418" s="262"/>
      <c r="J418" s="263"/>
    </row>
    <row r="419" spans="2:10">
      <c r="B419" s="156"/>
      <c r="C419" s="254"/>
      <c r="D419" s="254"/>
      <c r="E419" s="260"/>
      <c r="F419" s="260"/>
      <c r="G419" s="261"/>
      <c r="H419" s="156"/>
      <c r="I419" s="262"/>
      <c r="J419" s="263"/>
    </row>
    <row r="420" spans="2:10">
      <c r="B420" s="156"/>
      <c r="C420" s="254"/>
      <c r="D420" s="254"/>
      <c r="E420" s="260"/>
      <c r="F420" s="260"/>
      <c r="G420" s="261"/>
      <c r="H420" s="156"/>
      <c r="I420" s="262"/>
      <c r="J420" s="263"/>
    </row>
    <row r="421" spans="2:10">
      <c r="B421" s="156"/>
      <c r="C421" s="254"/>
      <c r="D421" s="254"/>
      <c r="E421" s="260"/>
      <c r="F421" s="260"/>
      <c r="G421" s="261"/>
      <c r="H421" s="156"/>
      <c r="I421" s="262"/>
      <c r="J421" s="263"/>
    </row>
    <row r="422" spans="2:10">
      <c r="B422" s="156"/>
      <c r="C422" s="254"/>
      <c r="D422" s="254"/>
      <c r="E422" s="260"/>
      <c r="F422" s="260"/>
      <c r="G422" s="261"/>
      <c r="H422" s="156"/>
      <c r="I422" s="262"/>
      <c r="J422" s="263"/>
    </row>
    <row r="423" spans="2:10">
      <c r="B423" s="156"/>
      <c r="C423" s="254"/>
      <c r="D423" s="254"/>
      <c r="E423" s="260"/>
      <c r="F423" s="260"/>
      <c r="G423" s="261"/>
      <c r="H423" s="156"/>
      <c r="I423" s="262"/>
      <c r="J423" s="263"/>
    </row>
    <row r="424" spans="2:10">
      <c r="B424" s="156"/>
      <c r="C424" s="254"/>
      <c r="D424" s="254"/>
      <c r="E424" s="260"/>
      <c r="F424" s="260"/>
      <c r="G424" s="261"/>
      <c r="H424" s="156"/>
      <c r="I424" s="262"/>
      <c r="J424" s="263"/>
    </row>
    <row r="425" spans="2:10">
      <c r="B425" s="156"/>
      <c r="C425" s="254"/>
      <c r="D425" s="254"/>
      <c r="E425" s="260"/>
      <c r="F425" s="260"/>
      <c r="G425" s="261"/>
      <c r="H425" s="156"/>
      <c r="I425" s="262"/>
      <c r="J425" s="263"/>
    </row>
    <row r="426" spans="2:10">
      <c r="B426" s="156"/>
      <c r="C426" s="254"/>
      <c r="D426" s="254"/>
      <c r="E426" s="260"/>
      <c r="F426" s="260"/>
      <c r="G426" s="261"/>
      <c r="H426" s="254"/>
      <c r="I426" s="253"/>
      <c r="J426" s="263"/>
    </row>
    <row r="427" spans="2:10">
      <c r="B427" s="156"/>
      <c r="C427" s="254"/>
      <c r="D427" s="254"/>
      <c r="E427" s="260"/>
      <c r="F427" s="260"/>
      <c r="G427" s="261"/>
      <c r="H427" s="254"/>
      <c r="I427" s="253"/>
      <c r="J427" s="263"/>
    </row>
    <row r="428" spans="2:10">
      <c r="B428" s="156"/>
      <c r="C428" s="254"/>
      <c r="D428" s="254"/>
      <c r="E428" s="260"/>
      <c r="F428" s="260"/>
      <c r="G428" s="261"/>
      <c r="H428" s="254"/>
      <c r="I428" s="253"/>
      <c r="J428" s="263"/>
    </row>
    <row r="429" spans="2:10">
      <c r="B429" s="156"/>
      <c r="C429" s="254"/>
      <c r="D429" s="254"/>
      <c r="E429" s="260"/>
      <c r="F429" s="260"/>
      <c r="G429" s="261"/>
      <c r="H429" s="254"/>
      <c r="I429" s="253"/>
      <c r="J429" s="263"/>
    </row>
    <row r="430" spans="2:10">
      <c r="B430" s="156"/>
      <c r="C430" s="254"/>
      <c r="D430" s="254"/>
      <c r="E430" s="260"/>
      <c r="F430" s="260"/>
      <c r="G430" s="261"/>
      <c r="H430" s="254"/>
      <c r="I430" s="253"/>
      <c r="J430" s="263"/>
    </row>
    <row r="431" spans="2:10">
      <c r="B431" s="156"/>
      <c r="C431" s="254"/>
      <c r="D431" s="254"/>
      <c r="E431" s="260"/>
      <c r="F431" s="260"/>
      <c r="G431" s="261"/>
      <c r="H431" s="254"/>
      <c r="I431" s="253"/>
      <c r="J431" s="263"/>
    </row>
    <row r="432" spans="2:10">
      <c r="C432" s="254"/>
      <c r="D432" s="254"/>
      <c r="E432" s="260"/>
      <c r="F432" s="260"/>
      <c r="G432" s="261"/>
    </row>
    <row r="433" spans="3:7">
      <c r="C433" s="254"/>
      <c r="D433" s="254"/>
      <c r="E433" s="260"/>
      <c r="F433" s="260"/>
      <c r="G433" s="261"/>
    </row>
    <row r="434" spans="3:7">
      <c r="C434" s="254"/>
      <c r="D434" s="254"/>
      <c r="E434" s="260"/>
      <c r="F434" s="260"/>
      <c r="G434" s="261"/>
    </row>
    <row r="435" spans="3:7">
      <c r="C435" s="254"/>
      <c r="D435" s="254"/>
      <c r="E435" s="260"/>
      <c r="F435" s="260"/>
      <c r="G435" s="261"/>
    </row>
    <row r="436" spans="3:7">
      <c r="C436" s="254"/>
      <c r="D436" s="254"/>
      <c r="E436" s="260"/>
      <c r="F436" s="260"/>
      <c r="G436" s="261"/>
    </row>
    <row r="437" spans="3:7">
      <c r="C437" s="254"/>
      <c r="D437" s="254"/>
      <c r="E437" s="260"/>
      <c r="F437" s="260"/>
      <c r="G437" s="261"/>
    </row>
    <row r="438" spans="3:7">
      <c r="C438" s="254"/>
      <c r="D438" s="254"/>
      <c r="E438" s="260"/>
      <c r="F438" s="260"/>
      <c r="G438" s="261"/>
    </row>
    <row r="439" spans="3:7">
      <c r="C439" s="254"/>
      <c r="D439" s="254"/>
      <c r="E439" s="260"/>
      <c r="F439" s="260"/>
      <c r="G439" s="261"/>
    </row>
    <row r="440" spans="3:7">
      <c r="C440" s="254"/>
      <c r="D440" s="254"/>
      <c r="E440" s="260"/>
      <c r="F440" s="260"/>
      <c r="G440" s="261"/>
    </row>
    <row r="441" spans="3:7">
      <c r="C441" s="254"/>
      <c r="D441" s="254"/>
      <c r="E441" s="260"/>
      <c r="F441" s="260"/>
      <c r="G441" s="261"/>
    </row>
    <row r="442" spans="3:7">
      <c r="C442" s="254"/>
      <c r="D442" s="254"/>
      <c r="E442" s="260"/>
      <c r="F442" s="260"/>
      <c r="G442" s="261"/>
    </row>
    <row r="443" spans="3:7">
      <c r="C443" s="254"/>
      <c r="D443" s="254"/>
      <c r="E443" s="260"/>
      <c r="F443" s="260"/>
      <c r="G443" s="261"/>
    </row>
    <row r="444" spans="3:7">
      <c r="C444" s="254"/>
      <c r="D444" s="254"/>
      <c r="E444" s="260"/>
      <c r="F444" s="260"/>
      <c r="G444" s="261"/>
    </row>
    <row r="445" spans="3:7">
      <c r="C445" s="254"/>
      <c r="D445" s="254"/>
      <c r="E445" s="260"/>
      <c r="F445" s="260"/>
      <c r="G445" s="261"/>
    </row>
    <row r="446" spans="3:7">
      <c r="C446" s="254"/>
      <c r="D446" s="254"/>
      <c r="E446" s="260"/>
      <c r="F446" s="260"/>
      <c r="G446" s="261"/>
    </row>
    <row r="447" spans="3:7">
      <c r="C447" s="254"/>
      <c r="D447" s="254"/>
      <c r="E447" s="260"/>
      <c r="F447" s="260"/>
      <c r="G447" s="261"/>
    </row>
    <row r="448" spans="3:7">
      <c r="C448" s="254"/>
      <c r="D448" s="254"/>
      <c r="E448" s="260"/>
      <c r="F448" s="260"/>
      <c r="G448" s="261"/>
    </row>
    <row r="449" spans="3:7">
      <c r="C449" s="254"/>
      <c r="D449" s="254"/>
      <c r="E449" s="260"/>
      <c r="F449" s="260"/>
      <c r="G449" s="26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A1:B11"/>
  <sheetViews>
    <sheetView workbookViewId="0"/>
  </sheetViews>
  <sheetFormatPr baseColWidth="10" defaultRowHeight="12.75"/>
  <sheetData>
    <row r="1" spans="1:2">
      <c r="A1">
        <v>10</v>
      </c>
      <c r="B1" t="s">
        <v>635</v>
      </c>
    </row>
    <row r="2" spans="1:2">
      <c r="A2" t="s">
        <v>628</v>
      </c>
    </row>
    <row r="3" spans="1:2">
      <c r="A3" t="s">
        <v>626</v>
      </c>
    </row>
    <row r="4" spans="1:2">
      <c r="A4" t="s">
        <v>630</v>
      </c>
    </row>
    <row r="5" spans="1:2">
      <c r="A5" t="s">
        <v>632</v>
      </c>
    </row>
    <row r="6" spans="1:2">
      <c r="A6" t="s">
        <v>631</v>
      </c>
    </row>
    <row r="7" spans="1:2">
      <c r="A7" t="s">
        <v>629</v>
      </c>
    </row>
    <row r="8" spans="1:2">
      <c r="A8" t="s">
        <v>625</v>
      </c>
    </row>
    <row r="9" spans="1:2">
      <c r="A9" t="s">
        <v>634</v>
      </c>
    </row>
    <row r="10" spans="1:2">
      <c r="A10" t="s">
        <v>633</v>
      </c>
    </row>
    <row r="11" spans="1:2">
      <c r="A11" t="s">
        <v>636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8"/>
  <dimension ref="B1:V80"/>
  <sheetViews>
    <sheetView showGridLines="0" topLeftCell="A40" zoomScale="90" zoomScaleNormal="90" workbookViewId="0">
      <selection activeCell="J62" sqref="J62"/>
    </sheetView>
  </sheetViews>
  <sheetFormatPr baseColWidth="10" defaultColWidth="11.42578125" defaultRowHeight="11.25"/>
  <cols>
    <col min="1" max="1" width="11.42578125" style="168"/>
    <col min="2" max="2" width="20" style="168" bestFit="1" customWidth="1"/>
    <col min="3" max="16384" width="11.42578125" style="168"/>
  </cols>
  <sheetData>
    <row r="1" spans="2:22">
      <c r="B1" s="121"/>
      <c r="C1" s="121"/>
      <c r="D1" s="121"/>
      <c r="E1" s="121"/>
      <c r="F1" s="121"/>
      <c r="G1" s="121"/>
      <c r="H1" s="121"/>
      <c r="I1" s="121"/>
      <c r="J1" s="121"/>
    </row>
    <row r="2" spans="2:22">
      <c r="B2" s="151" t="s">
        <v>41</v>
      </c>
      <c r="C2" s="121"/>
      <c r="D2" s="121"/>
      <c r="E2" s="121"/>
      <c r="F2" s="121"/>
      <c r="G2" s="121"/>
      <c r="H2" s="121"/>
      <c r="I2" s="121"/>
      <c r="J2" s="121"/>
    </row>
    <row r="3" spans="2:22">
      <c r="B3" s="154"/>
      <c r="C3" s="154"/>
      <c r="D3" s="155"/>
      <c r="E3" s="155" t="s">
        <v>35</v>
      </c>
      <c r="F3" s="352" t="s">
        <v>36</v>
      </c>
      <c r="G3" s="352"/>
      <c r="H3" s="352"/>
      <c r="I3" s="254"/>
      <c r="J3" s="121"/>
    </row>
    <row r="4" spans="2:22">
      <c r="B4" s="157"/>
      <c r="C4" s="157"/>
      <c r="D4" s="158" t="s">
        <v>37</v>
      </c>
      <c r="E4" s="158" t="s">
        <v>38</v>
      </c>
      <c r="F4" s="158" t="s">
        <v>21</v>
      </c>
      <c r="G4" s="158" t="s">
        <v>39</v>
      </c>
      <c r="H4" s="158" t="s">
        <v>68</v>
      </c>
      <c r="I4" s="158" t="s">
        <v>40</v>
      </c>
      <c r="J4" s="121"/>
    </row>
    <row r="5" spans="2:22">
      <c r="B5" s="317">
        <v>2016</v>
      </c>
      <c r="C5" s="159" t="s">
        <v>94</v>
      </c>
      <c r="D5" s="160">
        <v>11227.656998</v>
      </c>
      <c r="E5" s="161">
        <v>18538.071</v>
      </c>
      <c r="F5" s="161">
        <v>13001.923073300004</v>
      </c>
      <c r="G5" s="161">
        <v>5366.0883737999993</v>
      </c>
      <c r="H5" s="161">
        <v>10017.398068145898</v>
      </c>
      <c r="I5" s="261">
        <f t="shared" ref="I5:I52" si="0">D5/E5*100</f>
        <v>60.56540077983302</v>
      </c>
      <c r="J5" s="121"/>
      <c r="P5" s="306"/>
      <c r="Q5" s="306"/>
      <c r="R5" s="306"/>
      <c r="S5" s="306"/>
      <c r="T5" s="306"/>
      <c r="U5" s="306"/>
      <c r="V5" s="306"/>
    </row>
    <row r="6" spans="2:22">
      <c r="B6" s="309"/>
      <c r="C6" s="159" t="s">
        <v>86</v>
      </c>
      <c r="D6" s="160">
        <v>12066.238818</v>
      </c>
      <c r="E6" s="161">
        <v>18538.071</v>
      </c>
      <c r="F6" s="161">
        <v>13315.635805449998</v>
      </c>
      <c r="G6" s="161">
        <v>5433.6103363999982</v>
      </c>
      <c r="H6" s="161">
        <v>10361.451485587933</v>
      </c>
      <c r="I6" s="261">
        <f t="shared" si="0"/>
        <v>65.088966473372551</v>
      </c>
      <c r="J6" s="121"/>
      <c r="P6" s="306"/>
      <c r="Q6" s="306"/>
      <c r="R6" s="306"/>
      <c r="S6" s="306"/>
      <c r="T6" s="306"/>
    </row>
    <row r="7" spans="2:22">
      <c r="B7" s="309"/>
      <c r="C7" s="159" t="s">
        <v>87</v>
      </c>
      <c r="D7" s="160">
        <v>12306.055883000001</v>
      </c>
      <c r="E7" s="161">
        <v>18538.071</v>
      </c>
      <c r="F7" s="161">
        <v>13856.730464399996</v>
      </c>
      <c r="G7" s="161">
        <v>5567.7525970500001</v>
      </c>
      <c r="H7" s="161">
        <v>10787.23844307053</v>
      </c>
      <c r="I7" s="261">
        <f t="shared" si="0"/>
        <v>66.382612748651155</v>
      </c>
      <c r="J7" s="121"/>
      <c r="P7" s="306"/>
      <c r="Q7" s="306"/>
      <c r="R7" s="306"/>
      <c r="S7" s="306"/>
      <c r="T7" s="306"/>
    </row>
    <row r="8" spans="2:22">
      <c r="B8" s="309"/>
      <c r="C8" s="159" t="s">
        <v>88</v>
      </c>
      <c r="D8" s="160">
        <v>13179.567322000001</v>
      </c>
      <c r="E8" s="161">
        <v>18538.071</v>
      </c>
      <c r="F8" s="161">
        <v>14018.94815805</v>
      </c>
      <c r="G8" s="161">
        <v>6896.5553699999991</v>
      </c>
      <c r="H8" s="161">
        <v>11295.168263833441</v>
      </c>
      <c r="I8" s="261">
        <f t="shared" si="0"/>
        <v>71.094599443491191</v>
      </c>
      <c r="J8" s="121"/>
      <c r="P8" s="306"/>
      <c r="Q8" s="306"/>
      <c r="R8" s="306"/>
      <c r="S8" s="306"/>
      <c r="T8" s="306"/>
    </row>
    <row r="9" spans="2:22">
      <c r="B9" s="309"/>
      <c r="C9" s="164" t="s">
        <v>87</v>
      </c>
      <c r="D9" s="160">
        <v>13577.542675000001</v>
      </c>
      <c r="E9" s="161">
        <v>18538.071</v>
      </c>
      <c r="F9" s="161">
        <v>14159.331713699998</v>
      </c>
      <c r="G9" s="161">
        <v>6811.580915999999</v>
      </c>
      <c r="H9" s="161">
        <v>11509.475757224862</v>
      </c>
      <c r="I9" s="261">
        <f t="shared" si="0"/>
        <v>73.241399685004978</v>
      </c>
      <c r="J9" s="121"/>
      <c r="P9" s="306"/>
      <c r="Q9" s="306"/>
      <c r="R9" s="306"/>
      <c r="S9" s="306"/>
      <c r="T9" s="306"/>
    </row>
    <row r="10" spans="2:22">
      <c r="B10" s="309"/>
      <c r="C10" s="164" t="s">
        <v>89</v>
      </c>
      <c r="D10" s="160">
        <v>12751.035658000001</v>
      </c>
      <c r="E10" s="161">
        <v>18538.071</v>
      </c>
      <c r="F10" s="161">
        <v>13746.649614300002</v>
      </c>
      <c r="G10" s="161">
        <v>6354.8202665494709</v>
      </c>
      <c r="H10" s="161">
        <v>10990.077492749471</v>
      </c>
      <c r="I10" s="261">
        <f t="shared" si="0"/>
        <v>68.782969155744425</v>
      </c>
      <c r="J10" s="121"/>
      <c r="P10" s="306"/>
      <c r="Q10" s="306"/>
      <c r="R10" s="306"/>
      <c r="S10" s="306"/>
      <c r="T10" s="306"/>
    </row>
    <row r="11" spans="2:22">
      <c r="B11" s="309"/>
      <c r="C11" s="164" t="s">
        <v>89</v>
      </c>
      <c r="D11" s="160">
        <v>11400.747851</v>
      </c>
      <c r="E11" s="161">
        <v>18538.071</v>
      </c>
      <c r="F11" s="161">
        <v>12254.397128699993</v>
      </c>
      <c r="G11" s="161">
        <v>5493.291874283691</v>
      </c>
      <c r="H11" s="161">
        <v>9894.1857898336893</v>
      </c>
      <c r="I11" s="261">
        <f t="shared" si="0"/>
        <v>61.499105548792002</v>
      </c>
      <c r="J11" s="121"/>
      <c r="P11" s="306"/>
      <c r="Q11" s="306"/>
      <c r="R11" s="306"/>
      <c r="S11" s="306"/>
      <c r="T11" s="306"/>
    </row>
    <row r="12" spans="2:22">
      <c r="B12" s="309"/>
      <c r="C12" s="164" t="s">
        <v>88</v>
      </c>
      <c r="D12" s="160">
        <v>9726.8527639999993</v>
      </c>
      <c r="E12" s="161">
        <v>18538.071</v>
      </c>
      <c r="F12" s="161">
        <v>10936.8661656</v>
      </c>
      <c r="G12" s="161">
        <v>4803.7868059580323</v>
      </c>
      <c r="H12" s="161">
        <v>8861.6220681080304</v>
      </c>
      <c r="I12" s="261">
        <f t="shared" si="0"/>
        <v>52.469605731901659</v>
      </c>
      <c r="J12" s="121"/>
      <c r="P12" s="306"/>
      <c r="Q12" s="306"/>
      <c r="R12" s="306"/>
      <c r="S12" s="306"/>
      <c r="T12" s="306"/>
    </row>
    <row r="13" spans="2:22">
      <c r="B13" s="309"/>
      <c r="C13" s="164" t="s">
        <v>90</v>
      </c>
      <c r="D13" s="160">
        <v>8542.9985949999991</v>
      </c>
      <c r="E13" s="161">
        <v>18538.071</v>
      </c>
      <c r="F13" s="161">
        <v>10062.053802299999</v>
      </c>
      <c r="G13" s="161">
        <v>4577.5855157886908</v>
      </c>
      <c r="H13" s="161">
        <v>8141.3619611886943</v>
      </c>
      <c r="I13" s="261">
        <f t="shared" si="0"/>
        <v>46.083535849010396</v>
      </c>
      <c r="J13" s="121"/>
      <c r="P13" s="306"/>
      <c r="Q13" s="306"/>
      <c r="R13" s="306"/>
      <c r="S13" s="306"/>
      <c r="T13" s="306"/>
    </row>
    <row r="14" spans="2:22">
      <c r="B14" s="309"/>
      <c r="C14" s="164" t="s">
        <v>91</v>
      </c>
      <c r="D14" s="160">
        <v>7639.5428579999998</v>
      </c>
      <c r="E14" s="161">
        <v>18538.071</v>
      </c>
      <c r="F14" s="161">
        <v>9669.2149038000007</v>
      </c>
      <c r="G14" s="161">
        <v>4301.1970530812014</v>
      </c>
      <c r="H14" s="161">
        <v>8029.890741831201</v>
      </c>
      <c r="I14" s="261">
        <f t="shared" si="0"/>
        <v>41.210020492423396</v>
      </c>
      <c r="J14" s="121"/>
      <c r="P14" s="306"/>
      <c r="Q14" s="306"/>
      <c r="R14" s="306"/>
      <c r="S14" s="306"/>
      <c r="T14" s="306"/>
    </row>
    <row r="15" spans="2:22">
      <c r="B15" s="309"/>
      <c r="C15" s="164" t="s">
        <v>92</v>
      </c>
      <c r="D15" s="160">
        <v>7737.8927560000002</v>
      </c>
      <c r="E15" s="161">
        <v>18538.071</v>
      </c>
      <c r="F15" s="161">
        <v>11022.843214199998</v>
      </c>
      <c r="G15" s="161">
        <v>4697.7883147999992</v>
      </c>
      <c r="H15" s="161">
        <v>8512.8249399986198</v>
      </c>
      <c r="I15" s="261">
        <f t="shared" si="0"/>
        <v>41.740549790752226</v>
      </c>
      <c r="J15" s="121"/>
      <c r="P15" s="306"/>
      <c r="Q15" s="306"/>
      <c r="R15" s="306"/>
      <c r="S15" s="306"/>
      <c r="T15" s="306"/>
    </row>
    <row r="16" spans="2:22">
      <c r="B16" s="309"/>
      <c r="C16" s="164" t="s">
        <v>93</v>
      </c>
      <c r="D16" s="160">
        <v>7271.9042060000002</v>
      </c>
      <c r="E16" s="161">
        <v>18538.071</v>
      </c>
      <c r="F16" s="161">
        <v>13351.207724999991</v>
      </c>
      <c r="G16" s="161">
        <v>5303.8663332499982</v>
      </c>
      <c r="H16" s="161">
        <v>9210.0257353681754</v>
      </c>
      <c r="I16" s="261">
        <f t="shared" si="0"/>
        <v>39.226865653929153</v>
      </c>
      <c r="J16" s="121"/>
      <c r="P16" s="306"/>
      <c r="Q16" s="306"/>
      <c r="R16" s="306"/>
      <c r="S16" s="306"/>
      <c r="T16" s="306"/>
    </row>
    <row r="17" spans="2:20">
      <c r="B17" s="317">
        <f>B5+1</f>
        <v>2017</v>
      </c>
      <c r="C17" s="164" t="s">
        <v>94</v>
      </c>
      <c r="D17" s="160">
        <v>6352.3982489999999</v>
      </c>
      <c r="E17" s="161">
        <v>18538.071</v>
      </c>
      <c r="F17" s="161">
        <v>13008.613363950004</v>
      </c>
      <c r="G17" s="161">
        <v>5403.4139422499993</v>
      </c>
      <c r="H17" s="161">
        <v>10035.589788045898</v>
      </c>
      <c r="I17" s="261">
        <f t="shared" si="0"/>
        <v>34.266770523211392</v>
      </c>
      <c r="J17" s="121"/>
      <c r="P17" s="306"/>
      <c r="Q17" s="306"/>
      <c r="R17" s="306"/>
      <c r="S17" s="306"/>
      <c r="T17" s="306"/>
    </row>
    <row r="18" spans="2:20">
      <c r="B18" s="309"/>
      <c r="C18" s="164" t="s">
        <v>86</v>
      </c>
      <c r="D18" s="160">
        <v>8201.5317109999996</v>
      </c>
      <c r="E18" s="161">
        <v>18538.071</v>
      </c>
      <c r="F18" s="161">
        <v>13281.664873649997</v>
      </c>
      <c r="G18" s="161">
        <v>5478.8528454999978</v>
      </c>
      <c r="H18" s="161">
        <v>10426.681519987935</v>
      </c>
      <c r="I18" s="261">
        <f t="shared" si="0"/>
        <v>44.241559496670391</v>
      </c>
      <c r="J18" s="121"/>
      <c r="P18" s="306"/>
      <c r="Q18" s="306"/>
      <c r="R18" s="306"/>
      <c r="S18" s="306"/>
      <c r="T18" s="306"/>
    </row>
    <row r="19" spans="2:20">
      <c r="B19" s="309"/>
      <c r="C19" s="164" t="s">
        <v>87</v>
      </c>
      <c r="D19" s="160">
        <v>8171.2895820000003</v>
      </c>
      <c r="E19" s="161">
        <v>18538.071</v>
      </c>
      <c r="F19" s="161">
        <v>13801.362023799997</v>
      </c>
      <c r="G19" s="161">
        <v>5631.5576993999994</v>
      </c>
      <c r="H19" s="161">
        <v>10863.831882220529</v>
      </c>
      <c r="I19" s="261">
        <f t="shared" si="0"/>
        <v>44.078424243816954</v>
      </c>
      <c r="J19" s="121"/>
      <c r="P19" s="306"/>
      <c r="Q19" s="306"/>
      <c r="R19" s="306"/>
      <c r="S19" s="306"/>
      <c r="T19" s="306"/>
    </row>
    <row r="20" spans="2:20">
      <c r="B20" s="309"/>
      <c r="C20" s="164" t="s">
        <v>88</v>
      </c>
      <c r="D20" s="160">
        <v>8002.4783509999997</v>
      </c>
      <c r="E20" s="161">
        <v>18538.071</v>
      </c>
      <c r="F20" s="161">
        <v>13963.73314565</v>
      </c>
      <c r="G20" s="161">
        <v>6949.440314999998</v>
      </c>
      <c r="H20" s="161">
        <v>11392.93876443344</v>
      </c>
      <c r="I20" s="261">
        <f t="shared" si="0"/>
        <v>43.167805059113221</v>
      </c>
      <c r="J20" s="121"/>
      <c r="P20" s="306"/>
      <c r="Q20" s="306"/>
      <c r="R20" s="306"/>
      <c r="S20" s="306"/>
      <c r="T20" s="306"/>
    </row>
    <row r="21" spans="2:20">
      <c r="B21" s="309"/>
      <c r="C21" s="164" t="s">
        <v>87</v>
      </c>
      <c r="D21" s="160">
        <v>8068.3502509999998</v>
      </c>
      <c r="E21" s="161">
        <v>18538.071</v>
      </c>
      <c r="F21" s="161">
        <v>14131.526504949998</v>
      </c>
      <c r="G21" s="161">
        <v>6888.8467169999985</v>
      </c>
      <c r="H21" s="161">
        <v>11608.769747974862</v>
      </c>
      <c r="I21" s="261">
        <f t="shared" si="0"/>
        <v>43.523138146358377</v>
      </c>
      <c r="J21" s="121"/>
      <c r="P21" s="306"/>
      <c r="Q21" s="306"/>
      <c r="R21" s="306"/>
      <c r="S21" s="306"/>
      <c r="T21" s="306"/>
    </row>
    <row r="22" spans="2:20">
      <c r="B22" s="309"/>
      <c r="C22" s="164" t="s">
        <v>89</v>
      </c>
      <c r="D22" s="160">
        <v>7504.6737370000001</v>
      </c>
      <c r="E22" s="161">
        <v>18538.071</v>
      </c>
      <c r="F22" s="161">
        <v>13746.674503350001</v>
      </c>
      <c r="G22" s="161">
        <v>6417.2284330989414</v>
      </c>
      <c r="H22" s="161">
        <v>11080.852725649473</v>
      </c>
      <c r="I22" s="261">
        <f t="shared" si="0"/>
        <v>40.482495384767923</v>
      </c>
      <c r="J22" s="121"/>
      <c r="P22" s="306"/>
      <c r="Q22" s="306"/>
      <c r="R22" s="306"/>
      <c r="S22" s="306"/>
      <c r="T22" s="306"/>
    </row>
    <row r="23" spans="2:20">
      <c r="B23" s="309"/>
      <c r="C23" s="164" t="s">
        <v>89</v>
      </c>
      <c r="D23" s="160">
        <v>6868.7604899999997</v>
      </c>
      <c r="E23" s="161">
        <v>18538.071</v>
      </c>
      <c r="F23" s="161">
        <v>12256.393885149993</v>
      </c>
      <c r="G23" s="161">
        <v>5554.6724485673794</v>
      </c>
      <c r="H23" s="161">
        <v>9976.6060623836893</v>
      </c>
      <c r="I23" s="261">
        <f t="shared" si="0"/>
        <v>37.05218568857569</v>
      </c>
      <c r="J23" s="121"/>
      <c r="P23" s="306"/>
      <c r="Q23" s="306"/>
      <c r="R23" s="306"/>
      <c r="S23" s="306"/>
      <c r="T23" s="306"/>
    </row>
    <row r="24" spans="2:20">
      <c r="B24" s="309"/>
      <c r="C24" s="164" t="s">
        <v>88</v>
      </c>
      <c r="D24" s="160">
        <v>6036.3040380000002</v>
      </c>
      <c r="E24" s="161">
        <v>18538.071</v>
      </c>
      <c r="F24" s="161">
        <v>10936.14513655</v>
      </c>
      <c r="G24" s="161">
        <v>4856.8921119160632</v>
      </c>
      <c r="H24" s="161">
        <v>8897.0981413080317</v>
      </c>
      <c r="I24" s="261">
        <f t="shared" si="0"/>
        <v>32.561662095263308</v>
      </c>
      <c r="J24" s="121"/>
      <c r="P24" s="306"/>
      <c r="Q24" s="306"/>
      <c r="R24" s="306"/>
      <c r="S24" s="306"/>
      <c r="T24" s="306"/>
    </row>
    <row r="25" spans="2:20">
      <c r="B25" s="309"/>
      <c r="C25" s="164" t="s">
        <v>90</v>
      </c>
      <c r="D25" s="160">
        <v>5135.5098319999997</v>
      </c>
      <c r="E25" s="161">
        <v>18538.071</v>
      </c>
      <c r="F25" s="161">
        <v>10089.784508599998</v>
      </c>
      <c r="G25" s="161">
        <v>4619.6147315773833</v>
      </c>
      <c r="H25" s="161">
        <v>8164.2557859386925</v>
      </c>
      <c r="I25" s="261">
        <f t="shared" si="0"/>
        <v>27.702503847352833</v>
      </c>
      <c r="J25" s="121"/>
      <c r="P25" s="306"/>
      <c r="Q25" s="306"/>
      <c r="R25" s="306"/>
      <c r="S25" s="306"/>
      <c r="T25" s="306"/>
    </row>
    <row r="26" spans="2:20">
      <c r="B26" s="309"/>
      <c r="C26" s="165" t="s">
        <v>91</v>
      </c>
      <c r="D26" s="160">
        <v>4708.038114</v>
      </c>
      <c r="E26" s="161">
        <v>18538.071</v>
      </c>
      <c r="F26" s="161">
        <v>9703.2406173500003</v>
      </c>
      <c r="G26" s="161">
        <v>4371.5985061624033</v>
      </c>
      <c r="H26" s="161">
        <v>8040.776914731201</v>
      </c>
      <c r="I26" s="261">
        <f t="shared" si="0"/>
        <v>25.396591231094106</v>
      </c>
      <c r="J26" s="121"/>
      <c r="P26" s="306"/>
      <c r="Q26" s="306"/>
      <c r="R26" s="306"/>
      <c r="S26" s="306"/>
      <c r="T26" s="306"/>
    </row>
    <row r="27" spans="2:20">
      <c r="B27" s="309"/>
      <c r="C27" s="164" t="s">
        <v>92</v>
      </c>
      <c r="D27" s="160">
        <v>4403.8701209999999</v>
      </c>
      <c r="E27" s="161">
        <v>18538.071</v>
      </c>
      <c r="F27" s="161">
        <v>11121.649687099996</v>
      </c>
      <c r="G27" s="161">
        <v>4788.3119296000004</v>
      </c>
      <c r="H27" s="161">
        <v>8517.8723477986205</v>
      </c>
      <c r="I27" s="261">
        <f t="shared" si="0"/>
        <v>23.755816454689381</v>
      </c>
      <c r="J27" s="121"/>
      <c r="P27" s="306"/>
      <c r="Q27" s="306"/>
      <c r="R27" s="306"/>
      <c r="S27" s="306"/>
      <c r="T27" s="306"/>
    </row>
    <row r="28" spans="2:20">
      <c r="B28" s="309"/>
      <c r="C28" s="164" t="s">
        <v>93</v>
      </c>
      <c r="D28" s="160">
        <v>4883.4119860000001</v>
      </c>
      <c r="E28" s="161">
        <v>18538.071</v>
      </c>
      <c r="F28" s="161">
        <v>13517.033399999991</v>
      </c>
      <c r="G28" s="161">
        <v>5336.3411438999974</v>
      </c>
      <c r="H28" s="161">
        <v>9077.0402756681742</v>
      </c>
      <c r="I28" s="261">
        <f t="shared" si="0"/>
        <v>26.342611299740948</v>
      </c>
      <c r="J28" s="121"/>
      <c r="P28" s="306"/>
      <c r="Q28" s="306"/>
      <c r="R28" s="306"/>
      <c r="S28" s="306"/>
      <c r="T28" s="306"/>
    </row>
    <row r="29" spans="2:20">
      <c r="B29" s="317">
        <f>B17+1</f>
        <v>2018</v>
      </c>
      <c r="C29" s="164" t="s">
        <v>94</v>
      </c>
      <c r="D29" s="160">
        <v>5398.2220399999997</v>
      </c>
      <c r="E29" s="161">
        <v>18538.071</v>
      </c>
      <c r="F29" s="161">
        <v>13015.303654600004</v>
      </c>
      <c r="G29" s="161">
        <v>5440.7395106999993</v>
      </c>
      <c r="H29" s="161">
        <v>9768.7862404958978</v>
      </c>
      <c r="I29" s="261">
        <f t="shared" si="0"/>
        <v>29.11965349577094</v>
      </c>
      <c r="J29" s="121"/>
      <c r="P29" s="306"/>
      <c r="Q29" s="306"/>
      <c r="R29" s="306"/>
      <c r="S29" s="306"/>
      <c r="T29" s="306"/>
    </row>
    <row r="30" spans="2:20">
      <c r="B30" s="309"/>
      <c r="C30" s="164" t="s">
        <v>86</v>
      </c>
      <c r="D30" s="160">
        <v>5616.4103269999996</v>
      </c>
      <c r="E30" s="161">
        <v>18538.071</v>
      </c>
      <c r="F30" s="161">
        <v>13247.693941849997</v>
      </c>
      <c r="G30" s="161">
        <v>5524.0953545999973</v>
      </c>
      <c r="H30" s="161">
        <v>10246.239431537933</v>
      </c>
      <c r="I30" s="261">
        <f t="shared" si="0"/>
        <v>30.296627556340678</v>
      </c>
      <c r="J30" s="121"/>
      <c r="P30" s="306"/>
      <c r="Q30" s="306"/>
      <c r="R30" s="306"/>
      <c r="S30" s="306"/>
      <c r="T30" s="306"/>
    </row>
    <row r="31" spans="2:20">
      <c r="B31" s="309"/>
      <c r="C31" s="164" t="s">
        <v>87</v>
      </c>
      <c r="D31" s="160">
        <v>9699.4711430000007</v>
      </c>
      <c r="E31" s="161">
        <v>18538.071</v>
      </c>
      <c r="F31" s="161">
        <v>13745.993583199999</v>
      </c>
      <c r="G31" s="161">
        <v>5695.3628017499996</v>
      </c>
      <c r="H31" s="161">
        <v>10704.10729132053</v>
      </c>
      <c r="I31" s="261">
        <f t="shared" si="0"/>
        <v>52.321900930253207</v>
      </c>
      <c r="J31" s="121"/>
      <c r="P31" s="306"/>
      <c r="Q31" s="306"/>
      <c r="R31" s="306"/>
      <c r="S31" s="306"/>
      <c r="T31" s="306"/>
    </row>
    <row r="32" spans="2:20">
      <c r="B32" s="309"/>
      <c r="C32" s="164" t="s">
        <v>88</v>
      </c>
      <c r="D32" s="160">
        <v>11897.527653000001</v>
      </c>
      <c r="E32" s="161">
        <v>18538.071</v>
      </c>
      <c r="F32" s="161">
        <v>13908.518133250001</v>
      </c>
      <c r="G32" s="161">
        <v>7002.3252599999996</v>
      </c>
      <c r="H32" s="161">
        <v>11260.627811983439</v>
      </c>
      <c r="I32" s="261">
        <f t="shared" si="0"/>
        <v>64.178887075143905</v>
      </c>
      <c r="J32" s="121"/>
      <c r="P32" s="306"/>
      <c r="Q32" s="306"/>
      <c r="R32" s="306"/>
      <c r="S32" s="306"/>
      <c r="T32" s="306"/>
    </row>
    <row r="33" spans="2:20">
      <c r="B33" s="309"/>
      <c r="C33" s="164" t="s">
        <v>87</v>
      </c>
      <c r="D33" s="160">
        <v>12095.723247</v>
      </c>
      <c r="E33" s="161">
        <v>18538.071</v>
      </c>
      <c r="F33" s="161">
        <v>14103.721296199999</v>
      </c>
      <c r="G33" s="161">
        <v>6966.112517999999</v>
      </c>
      <c r="H33" s="161">
        <v>11479.752390524864</v>
      </c>
      <c r="I33" s="261">
        <f t="shared" si="0"/>
        <v>65.248014461698844</v>
      </c>
      <c r="J33" s="121"/>
      <c r="P33" s="306"/>
      <c r="Q33" s="306"/>
      <c r="R33" s="306"/>
      <c r="S33" s="306"/>
      <c r="T33" s="306"/>
    </row>
    <row r="34" spans="2:20">
      <c r="B34" s="309"/>
      <c r="C34" s="164" t="s">
        <v>89</v>
      </c>
      <c r="D34" s="160">
        <v>11876.304858</v>
      </c>
      <c r="E34" s="161">
        <v>18538.071</v>
      </c>
      <c r="F34" s="161">
        <v>13746.699392400003</v>
      </c>
      <c r="G34" s="161">
        <v>6477.8415149489419</v>
      </c>
      <c r="H34" s="161">
        <v>10910.385488499473</v>
      </c>
      <c r="I34" s="261">
        <f t="shared" si="0"/>
        <v>64.064404856362884</v>
      </c>
      <c r="J34" s="121"/>
      <c r="P34" s="306"/>
      <c r="Q34" s="306"/>
      <c r="R34" s="306"/>
      <c r="S34" s="306"/>
      <c r="T34" s="306"/>
    </row>
    <row r="35" spans="2:20">
      <c r="B35" s="309"/>
      <c r="C35" s="164" t="s">
        <v>89</v>
      </c>
      <c r="D35" s="160">
        <v>10246.502908</v>
      </c>
      <c r="E35" s="161">
        <v>18538.071</v>
      </c>
      <c r="F35" s="161">
        <v>12258.390641599992</v>
      </c>
      <c r="G35" s="161">
        <v>5616.0530228510679</v>
      </c>
      <c r="H35" s="161">
        <v>9805.5363168836884</v>
      </c>
      <c r="I35" s="261">
        <f t="shared" si="0"/>
        <v>55.272756847246953</v>
      </c>
      <c r="J35" s="121"/>
      <c r="P35" s="306"/>
      <c r="Q35" s="306"/>
      <c r="R35" s="306"/>
      <c r="S35" s="306"/>
      <c r="T35" s="306"/>
    </row>
    <row r="36" spans="2:20">
      <c r="B36" s="309"/>
      <c r="C36" s="164" t="s">
        <v>88</v>
      </c>
      <c r="D36" s="160">
        <v>9315.071518714738</v>
      </c>
      <c r="E36" s="161">
        <v>18538.071</v>
      </c>
      <c r="F36" s="161">
        <v>10935.424107500001</v>
      </c>
      <c r="G36" s="161">
        <v>4909.997417874094</v>
      </c>
      <c r="H36" s="161">
        <v>8722.05248320803</v>
      </c>
      <c r="I36" s="261">
        <f t="shared" si="0"/>
        <v>50.24833230337039</v>
      </c>
      <c r="J36" s="121"/>
      <c r="P36" s="306"/>
      <c r="Q36" s="306"/>
      <c r="R36" s="306"/>
      <c r="S36" s="306"/>
      <c r="T36" s="306"/>
    </row>
    <row r="37" spans="2:20">
      <c r="B37" s="309"/>
      <c r="C37" s="164" t="s">
        <v>90</v>
      </c>
      <c r="D37" s="160">
        <v>8192.9385726801847</v>
      </c>
      <c r="E37" s="161">
        <v>18538.071</v>
      </c>
      <c r="F37" s="161">
        <v>10117.515214899999</v>
      </c>
      <c r="G37" s="161">
        <v>4649.6124081773833</v>
      </c>
      <c r="H37" s="161">
        <v>7980.0246175386947</v>
      </c>
      <c r="I37" s="261">
        <f t="shared" si="0"/>
        <v>44.195205491877687</v>
      </c>
      <c r="J37" s="121"/>
      <c r="P37" s="306"/>
      <c r="Q37" s="306"/>
      <c r="R37" s="306"/>
      <c r="S37" s="306"/>
      <c r="T37" s="306"/>
    </row>
    <row r="38" spans="2:20">
      <c r="B38" s="309"/>
      <c r="C38" s="165" t="s">
        <v>91</v>
      </c>
      <c r="D38" s="160">
        <v>7628.6385403221575</v>
      </c>
      <c r="E38" s="161">
        <v>18538.071</v>
      </c>
      <c r="F38" s="161">
        <v>9737.2663309</v>
      </c>
      <c r="G38" s="161">
        <v>4395.4606318624037</v>
      </c>
      <c r="H38" s="161">
        <v>7851.3065504312008</v>
      </c>
      <c r="I38" s="261">
        <f t="shared" si="0"/>
        <v>41.151199282396519</v>
      </c>
      <c r="J38" s="121"/>
      <c r="P38" s="306"/>
      <c r="Q38" s="306"/>
      <c r="R38" s="306"/>
      <c r="S38" s="306"/>
      <c r="T38" s="306"/>
    </row>
    <row r="39" spans="2:20">
      <c r="B39" s="309"/>
      <c r="C39" s="165" t="s">
        <v>92</v>
      </c>
      <c r="D39" s="160">
        <v>8008.9796223264248</v>
      </c>
      <c r="E39" s="161">
        <v>18538.071</v>
      </c>
      <c r="F39" s="161">
        <v>11146.955049999997</v>
      </c>
      <c r="G39" s="161">
        <v>4794.2765906499999</v>
      </c>
      <c r="H39" s="161">
        <v>8185.911173848619</v>
      </c>
      <c r="I39" s="261">
        <f t="shared" si="0"/>
        <v>43.202874896349378</v>
      </c>
      <c r="J39" s="121"/>
      <c r="P39" s="306"/>
      <c r="Q39" s="306"/>
      <c r="R39" s="306"/>
      <c r="S39" s="306"/>
      <c r="T39" s="306"/>
    </row>
    <row r="40" spans="2:20">
      <c r="B40" s="309"/>
      <c r="C40" s="165" t="s">
        <v>93</v>
      </c>
      <c r="D40" s="160">
        <v>8172.2198288975096</v>
      </c>
      <c r="E40" s="161">
        <v>18538.071</v>
      </c>
      <c r="F40" s="161">
        <v>13456.058434449991</v>
      </c>
      <c r="G40" s="161">
        <v>5331.3250531999984</v>
      </c>
      <c r="H40" s="161">
        <v>8645.3592049681756</v>
      </c>
      <c r="I40" s="261">
        <f t="shared" si="0"/>
        <v>44.083442278851507</v>
      </c>
      <c r="J40" s="121"/>
      <c r="P40" s="306"/>
      <c r="Q40" s="306"/>
      <c r="R40" s="306"/>
      <c r="S40" s="306"/>
      <c r="T40" s="306"/>
    </row>
    <row r="41" spans="2:20">
      <c r="B41" s="317">
        <f>B29+1</f>
        <v>2019</v>
      </c>
      <c r="C41" s="165" t="s">
        <v>94</v>
      </c>
      <c r="D41" s="160">
        <v>8071.161100088786</v>
      </c>
      <c r="E41" s="161">
        <v>18538.071</v>
      </c>
      <c r="F41" s="161">
        <v>13020.290870750003</v>
      </c>
      <c r="G41" s="161">
        <v>5449.8113076999989</v>
      </c>
      <c r="H41" s="161">
        <v>9388.9296029958969</v>
      </c>
      <c r="I41" s="261">
        <f t="shared" si="0"/>
        <v>43.538300722274641</v>
      </c>
      <c r="J41" s="121"/>
      <c r="P41" s="306"/>
      <c r="Q41" s="306"/>
      <c r="R41" s="306"/>
      <c r="S41" s="306"/>
      <c r="T41" s="306"/>
    </row>
    <row r="42" spans="2:20">
      <c r="B42" s="309"/>
      <c r="C42" s="165" t="s">
        <v>86</v>
      </c>
      <c r="D42" s="160">
        <v>8866.4553178437</v>
      </c>
      <c r="E42" s="161">
        <v>18538.071</v>
      </c>
      <c r="F42" s="161">
        <v>13213.723010049996</v>
      </c>
      <c r="G42" s="161">
        <v>5542.2838559499978</v>
      </c>
      <c r="H42" s="161">
        <v>9889.1240943879329</v>
      </c>
      <c r="I42" s="261">
        <f t="shared" si="0"/>
        <v>47.828359907801087</v>
      </c>
      <c r="J42" s="121"/>
      <c r="P42" s="306"/>
      <c r="Q42" s="306"/>
      <c r="R42" s="306"/>
      <c r="S42" s="306"/>
      <c r="T42" s="306"/>
    </row>
    <row r="43" spans="2:20">
      <c r="B43" s="309"/>
      <c r="C43" s="165" t="s">
        <v>87</v>
      </c>
      <c r="D43" s="160">
        <v>8992.1477604144093</v>
      </c>
      <c r="E43" s="161">
        <v>18538.071</v>
      </c>
      <c r="F43" s="161">
        <v>13690.625142599998</v>
      </c>
      <c r="G43" s="161">
        <v>5759.1679040999989</v>
      </c>
      <c r="H43" s="161">
        <v>10570.14772097053</v>
      </c>
      <c r="I43" s="261">
        <f t="shared" si="0"/>
        <v>48.506383217619621</v>
      </c>
      <c r="J43" s="121"/>
      <c r="P43" s="306"/>
      <c r="Q43" s="306"/>
      <c r="R43" s="306"/>
      <c r="S43" s="306"/>
      <c r="T43" s="306"/>
    </row>
    <row r="44" spans="2:20">
      <c r="B44" s="309"/>
      <c r="C44" s="165" t="s">
        <v>88</v>
      </c>
      <c r="D44" s="160">
        <v>9541.0680132165635</v>
      </c>
      <c r="E44" s="161">
        <v>18538.071</v>
      </c>
      <c r="F44" s="161">
        <v>13853.30312085</v>
      </c>
      <c r="G44" s="161">
        <v>7055.2102049999985</v>
      </c>
      <c r="H44" s="161">
        <v>11183.148309133439</v>
      </c>
      <c r="I44" s="261">
        <f t="shared" si="0"/>
        <v>51.467426212881392</v>
      </c>
      <c r="J44" s="121"/>
      <c r="P44" s="306"/>
      <c r="Q44" s="306"/>
      <c r="R44" s="306"/>
      <c r="S44" s="306"/>
      <c r="T44" s="306"/>
    </row>
    <row r="45" spans="2:20">
      <c r="B45" s="309"/>
      <c r="C45" s="165" t="s">
        <v>87</v>
      </c>
      <c r="D45" s="160">
        <v>9882.00640542582</v>
      </c>
      <c r="E45" s="161">
        <v>18538.071</v>
      </c>
      <c r="F45" s="161">
        <v>14075.916087449999</v>
      </c>
      <c r="G45" s="161">
        <v>7043.3783189999976</v>
      </c>
      <c r="H45" s="161">
        <v>11397.034267874862</v>
      </c>
      <c r="I45" s="261">
        <f t="shared" si="0"/>
        <v>53.306551719571146</v>
      </c>
      <c r="J45" s="121"/>
      <c r="P45" s="306"/>
      <c r="Q45" s="306"/>
      <c r="R45" s="306"/>
      <c r="S45" s="306"/>
      <c r="T45" s="306"/>
    </row>
    <row r="46" spans="2:20">
      <c r="B46" s="309"/>
      <c r="C46" s="165" t="s">
        <v>89</v>
      </c>
      <c r="D46" s="160">
        <v>9327.57464738616</v>
      </c>
      <c r="E46" s="161">
        <v>18538.071</v>
      </c>
      <c r="F46" s="161">
        <v>13746.724281450002</v>
      </c>
      <c r="G46" s="161">
        <v>6538.4545967989416</v>
      </c>
      <c r="H46" s="161">
        <v>10842.690741399472</v>
      </c>
      <c r="I46" s="261">
        <f t="shared" si="0"/>
        <v>50.315777986750398</v>
      </c>
      <c r="J46" s="121"/>
      <c r="P46" s="306"/>
      <c r="Q46" s="306"/>
      <c r="R46" s="306"/>
      <c r="S46" s="306"/>
      <c r="T46" s="306"/>
    </row>
    <row r="47" spans="2:20">
      <c r="B47" s="309"/>
      <c r="C47" s="165" t="s">
        <v>89</v>
      </c>
      <c r="D47" s="160">
        <v>8160.8349135743301</v>
      </c>
      <c r="E47" s="161">
        <v>18538.071</v>
      </c>
      <c r="F47" s="161">
        <v>12260.387398049996</v>
      </c>
      <c r="G47" s="161">
        <v>5677.4335971347564</v>
      </c>
      <c r="H47" s="161">
        <v>9738.8161322836859</v>
      </c>
      <c r="I47" s="261">
        <f t="shared" si="0"/>
        <v>44.022028578778936</v>
      </c>
      <c r="J47" s="121"/>
      <c r="P47" s="306"/>
      <c r="Q47" s="306"/>
      <c r="R47" s="306"/>
      <c r="S47" s="306"/>
      <c r="T47" s="306"/>
    </row>
    <row r="48" spans="2:20">
      <c r="B48" s="309"/>
      <c r="C48" s="165" t="s">
        <v>88</v>
      </c>
      <c r="D48" s="160">
        <v>7263.6708853984701</v>
      </c>
      <c r="E48" s="161">
        <v>18538.071</v>
      </c>
      <c r="F48" s="161">
        <v>10934.703078450004</v>
      </c>
      <c r="G48" s="161">
        <v>4963.102723832124</v>
      </c>
      <c r="H48" s="161">
        <v>8674.1946441437685</v>
      </c>
      <c r="I48" s="261">
        <f t="shared" si="0"/>
        <v>39.182452615476933</v>
      </c>
      <c r="J48" s="121"/>
      <c r="P48" s="306"/>
      <c r="Q48" s="306"/>
      <c r="R48" s="306"/>
      <c r="S48" s="306"/>
      <c r="T48" s="306"/>
    </row>
    <row r="49" spans="2:20">
      <c r="B49" s="309"/>
      <c r="C49" s="165" t="s">
        <v>90</v>
      </c>
      <c r="D49" s="160">
        <v>6466.33274064748</v>
      </c>
      <c r="E49" s="161">
        <v>18538.071</v>
      </c>
      <c r="F49" s="161">
        <v>10145.245921199999</v>
      </c>
      <c r="G49" s="161">
        <v>4679.6100847773832</v>
      </c>
      <c r="H49" s="161">
        <v>7914.693031672703</v>
      </c>
      <c r="I49" s="261">
        <f t="shared" si="0"/>
        <v>34.881367865337658</v>
      </c>
      <c r="J49" s="121"/>
      <c r="P49" s="306"/>
      <c r="Q49" s="306"/>
      <c r="R49" s="306"/>
      <c r="S49" s="306"/>
      <c r="T49" s="306"/>
    </row>
    <row r="50" spans="2:20">
      <c r="B50" s="309"/>
      <c r="C50" s="165" t="s">
        <v>91</v>
      </c>
      <c r="D50" s="160">
        <v>6358.0428308198098</v>
      </c>
      <c r="E50" s="161">
        <v>18538.071</v>
      </c>
      <c r="F50" s="161">
        <v>9771.2920444499996</v>
      </c>
      <c r="G50" s="161">
        <v>4419.3227575624023</v>
      </c>
      <c r="H50" s="161">
        <v>7790.0287429473083</v>
      </c>
      <c r="I50" s="261">
        <f t="shared" si="0"/>
        <v>34.29721911637845</v>
      </c>
      <c r="J50" s="121"/>
      <c r="P50" s="306"/>
      <c r="Q50" s="306"/>
      <c r="R50" s="306"/>
      <c r="S50" s="306"/>
      <c r="T50" s="306"/>
    </row>
    <row r="51" spans="2:20">
      <c r="B51" s="309"/>
      <c r="C51" s="165" t="s">
        <v>92</v>
      </c>
      <c r="D51" s="160">
        <v>7808.1870513850999</v>
      </c>
      <c r="E51" s="161">
        <v>18538.071</v>
      </c>
      <c r="F51" s="161">
        <v>11172.260412899997</v>
      </c>
      <c r="G51" s="161">
        <v>4800.2412517000002</v>
      </c>
      <c r="H51" s="161">
        <v>8146.8772984649422</v>
      </c>
      <c r="I51" s="261">
        <f t="shared" si="0"/>
        <v>42.119738625367766</v>
      </c>
      <c r="J51" s="121"/>
      <c r="P51" s="306"/>
      <c r="Q51" s="306"/>
      <c r="R51" s="306"/>
      <c r="S51" s="306"/>
      <c r="T51" s="306"/>
    </row>
    <row r="52" spans="2:20">
      <c r="B52" s="309"/>
      <c r="C52" s="165" t="s">
        <v>93</v>
      </c>
      <c r="D52" s="160">
        <v>9451.9329261671392</v>
      </c>
      <c r="E52" s="161">
        <v>18538.071</v>
      </c>
      <c r="F52" s="161">
        <v>13395.083468899993</v>
      </c>
      <c r="G52" s="161">
        <v>5326.3089624999975</v>
      </c>
      <c r="H52" s="161">
        <v>8613.6806204130498</v>
      </c>
      <c r="I52" s="261">
        <f t="shared" si="0"/>
        <v>50.986604410821059</v>
      </c>
      <c r="J52" s="308"/>
      <c r="P52" s="306"/>
      <c r="Q52" s="306"/>
      <c r="R52" s="306"/>
      <c r="S52" s="306"/>
      <c r="T52" s="306"/>
    </row>
    <row r="53" spans="2:20">
      <c r="B53" s="317">
        <f>B41+1</f>
        <v>2020</v>
      </c>
      <c r="C53" s="165" t="s">
        <v>94</v>
      </c>
      <c r="D53" s="160">
        <v>10203.8438416341</v>
      </c>
      <c r="E53" s="161">
        <v>18538.071</v>
      </c>
      <c r="F53" s="161">
        <v>13025.278086900002</v>
      </c>
      <c r="G53" s="161">
        <v>5458.8831046999985</v>
      </c>
      <c r="H53" s="161">
        <v>9322.7080025003343</v>
      </c>
      <c r="I53" s="261">
        <f t="shared" ref="I53" si="1">D53/E53*100</f>
        <v>55.042640853161586</v>
      </c>
      <c r="J53" s="308"/>
      <c r="K53" s="286"/>
    </row>
    <row r="54" spans="2:20">
      <c r="B54" s="309"/>
      <c r="C54" s="165" t="s">
        <v>86</v>
      </c>
      <c r="D54" s="160">
        <v>10293.721620606701</v>
      </c>
      <c r="E54" s="161">
        <v>18538.071</v>
      </c>
      <c r="F54" s="161">
        <v>13282.205454749997</v>
      </c>
      <c r="G54" s="161">
        <v>5560.4723572999983</v>
      </c>
      <c r="H54" s="161">
        <v>9851.4627672801198</v>
      </c>
      <c r="I54" s="261">
        <f t="shared" ref="I54:I64" si="2">D54/E54*100</f>
        <v>55.52746896161257</v>
      </c>
      <c r="J54" s="308"/>
    </row>
    <row r="55" spans="2:20">
      <c r="B55" s="309"/>
      <c r="C55" s="165" t="s">
        <v>87</v>
      </c>
      <c r="D55" s="160">
        <v>10922.4629058602</v>
      </c>
      <c r="E55" s="161">
        <v>18538.071</v>
      </c>
      <c r="F55" s="161">
        <v>13779.121679499998</v>
      </c>
      <c r="G55" s="161">
        <v>5822.9730064499981</v>
      </c>
      <c r="H55" s="161">
        <v>10516.451776491249</v>
      </c>
      <c r="I55" s="261">
        <f t="shared" si="2"/>
        <v>58.919090912210883</v>
      </c>
    </row>
    <row r="56" spans="2:20">
      <c r="B56" s="309"/>
      <c r="C56" s="165" t="s">
        <v>88</v>
      </c>
      <c r="D56" s="160">
        <v>12482.965359777099</v>
      </c>
      <c r="E56" s="161">
        <v>18538.071</v>
      </c>
      <c r="F56" s="161">
        <v>13901.975652950001</v>
      </c>
      <c r="G56" s="161">
        <v>7108.0951499999992</v>
      </c>
      <c r="H56" s="161">
        <v>11159.497806794267</v>
      </c>
      <c r="I56" s="261">
        <f t="shared" si="2"/>
        <v>67.336916337072509</v>
      </c>
    </row>
    <row r="57" spans="2:20">
      <c r="B57" s="309"/>
      <c r="C57" s="165" t="s">
        <v>87</v>
      </c>
      <c r="D57" s="160">
        <v>12968.344471210001</v>
      </c>
      <c r="E57" s="161">
        <v>18538.071</v>
      </c>
      <c r="F57" s="161">
        <v>14115.337503700002</v>
      </c>
      <c r="G57" s="161">
        <v>7120.6441199999972</v>
      </c>
      <c r="H57" s="161">
        <v>11373.399940146151</v>
      </c>
      <c r="I57" s="261">
        <f t="shared" si="2"/>
        <v>69.955199066882429</v>
      </c>
      <c r="J57" s="308"/>
    </row>
    <row r="58" spans="2:20">
      <c r="B58" s="309"/>
      <c r="C58" s="165" t="s">
        <v>89</v>
      </c>
      <c r="D58" s="160">
        <v>12284.2351167291</v>
      </c>
      <c r="E58" s="161">
        <v>18538.071</v>
      </c>
      <c r="F58" s="161">
        <v>13804.115890500001</v>
      </c>
      <c r="G58" s="161">
        <v>6599.0676786489421</v>
      </c>
      <c r="H58" s="161">
        <v>10842.247789768779</v>
      </c>
      <c r="I58" s="261">
        <f t="shared" si="2"/>
        <v>66.26490489074672</v>
      </c>
      <c r="J58" s="308"/>
    </row>
    <row r="59" spans="2:20">
      <c r="B59" s="309"/>
      <c r="C59" s="165" t="s">
        <v>89</v>
      </c>
      <c r="D59" s="160">
        <v>11078.2673362971</v>
      </c>
      <c r="E59" s="161">
        <v>18538.071</v>
      </c>
      <c r="F59" s="161">
        <v>12335.885264499995</v>
      </c>
      <c r="G59" s="161">
        <v>5738.8141714184449</v>
      </c>
      <c r="H59" s="161">
        <v>9747.2628189624047</v>
      </c>
      <c r="I59" s="261">
        <f t="shared" si="2"/>
        <v>59.75954745397781</v>
      </c>
      <c r="J59" s="308"/>
    </row>
    <row r="60" spans="2:20">
      <c r="B60" s="309"/>
      <c r="C60" s="165" t="s">
        <v>88</v>
      </c>
      <c r="D60" s="160">
        <v>9493.5710276489899</v>
      </c>
      <c r="E60" s="161">
        <v>18538.071</v>
      </c>
      <c r="F60" s="161">
        <v>11008.379514400005</v>
      </c>
      <c r="G60" s="161">
        <v>5016.2080297901548</v>
      </c>
      <c r="H60" s="161">
        <v>8682.152701913692</v>
      </c>
      <c r="I60" s="261">
        <f t="shared" si="2"/>
        <v>51.211213009427951</v>
      </c>
      <c r="J60" s="308"/>
    </row>
    <row r="61" spans="2:20">
      <c r="B61" s="309"/>
      <c r="C61" s="165" t="s">
        <v>90</v>
      </c>
      <c r="D61" s="160">
        <v>8414.2036093792703</v>
      </c>
      <c r="E61" s="161">
        <v>18538.071</v>
      </c>
      <c r="F61" s="161">
        <v>10216.987657999998</v>
      </c>
      <c r="G61" s="161">
        <v>4709.6077613773832</v>
      </c>
      <c r="H61" s="161">
        <v>7899.635656205076</v>
      </c>
      <c r="I61" s="261">
        <f t="shared" si="2"/>
        <v>45.388776477225008</v>
      </c>
      <c r="J61" s="308"/>
    </row>
    <row r="62" spans="2:20">
      <c r="B62" s="309"/>
      <c r="C62" s="165" t="s">
        <v>91</v>
      </c>
      <c r="D62" s="160">
        <v>8468.7189392685304</v>
      </c>
      <c r="E62" s="161">
        <v>18538.071</v>
      </c>
      <c r="F62" s="161">
        <v>9860.0850484999992</v>
      </c>
      <c r="G62" s="161">
        <v>4443.1848832624037</v>
      </c>
      <c r="H62" s="161">
        <v>7706.6327509883004</v>
      </c>
      <c r="I62" s="261">
        <f t="shared" si="2"/>
        <v>45.6828487671049</v>
      </c>
      <c r="J62" s="308">
        <f>I63-I62</f>
        <v>-0.32789355986683688</v>
      </c>
    </row>
    <row r="63" spans="2:20">
      <c r="B63" s="309"/>
      <c r="C63" s="165" t="s">
        <v>92</v>
      </c>
      <c r="D63" s="160">
        <v>8407.9337983359892</v>
      </c>
      <c r="E63" s="161">
        <v>18538.071</v>
      </c>
      <c r="F63" s="161">
        <v>11197.565775799998</v>
      </c>
      <c r="G63" s="161">
        <v>4806.2059127499997</v>
      </c>
      <c r="H63" s="161">
        <v>8149.1649360341953</v>
      </c>
      <c r="I63" s="261">
        <f t="shared" si="2"/>
        <v>45.354955207238064</v>
      </c>
      <c r="J63" s="308">
        <f>I63-I51</f>
        <v>3.2352165818702971</v>
      </c>
    </row>
    <row r="64" spans="2:20">
      <c r="B64" s="309"/>
      <c r="C64" s="165" t="s">
        <v>93</v>
      </c>
      <c r="D64" s="160"/>
      <c r="E64" s="161">
        <v>18538.071</v>
      </c>
      <c r="F64" s="161">
        <v>13334.108503349993</v>
      </c>
      <c r="G64" s="161">
        <v>5321.2928717999985</v>
      </c>
      <c r="H64" s="161">
        <v>8688.9230952214075</v>
      </c>
      <c r="I64" s="261">
        <f t="shared" si="2"/>
        <v>0</v>
      </c>
    </row>
    <row r="65" spans="2:11">
      <c r="B65" s="163"/>
      <c r="C65" s="165"/>
      <c r="D65" s="161"/>
      <c r="E65" s="161"/>
      <c r="F65" s="161"/>
      <c r="G65" s="161"/>
      <c r="H65" s="161"/>
      <c r="I65" s="162"/>
    </row>
    <row r="67" spans="2:11">
      <c r="B67" s="269" t="str">
        <f>CONCATENATE("Reservas hidroeléctricas a ",TEXT(DATEVALUE(MID(Dat_01!B2,1,10)),"dd")," de ",TEXT(DATEVALUE(MID(Dat_01!B2,1,10)),"mmmm")," de ",TEXT(DATEVALUE(MID(Dat_01!B2,1,10)),"aaaa")," por cuencas")</f>
        <v>Reservas hidroeléctricas a 30 de noviembre de 2020 por cuencas</v>
      </c>
      <c r="C67" s="270"/>
      <c r="D67" s="270"/>
      <c r="E67" s="270"/>
      <c r="F67" s="270"/>
      <c r="G67" s="120"/>
      <c r="H67" s="120"/>
      <c r="I67" s="121"/>
      <c r="J67" s="121"/>
    </row>
    <row r="68" spans="2:11">
      <c r="B68" s="122"/>
      <c r="C68" s="351" t="s">
        <v>53</v>
      </c>
      <c r="D68" s="351" t="s">
        <v>53</v>
      </c>
      <c r="E68" s="122"/>
      <c r="F68" s="351" t="s">
        <v>42</v>
      </c>
      <c r="G68" s="351"/>
      <c r="H68" s="351" t="s">
        <v>43</v>
      </c>
      <c r="I68" s="351"/>
      <c r="J68" s="351" t="s">
        <v>44</v>
      </c>
      <c r="K68" s="351"/>
    </row>
    <row r="69" spans="2:11">
      <c r="B69" s="123"/>
      <c r="C69" s="124" t="s">
        <v>42</v>
      </c>
      <c r="D69" s="124" t="s">
        <v>43</v>
      </c>
      <c r="E69" s="124" t="s">
        <v>80</v>
      </c>
      <c r="F69" s="125" t="s">
        <v>40</v>
      </c>
      <c r="G69" s="124" t="s">
        <v>45</v>
      </c>
      <c r="H69" s="125" t="s">
        <v>40</v>
      </c>
      <c r="I69" s="124" t="s">
        <v>45</v>
      </c>
      <c r="J69" s="125" t="s">
        <v>40</v>
      </c>
      <c r="K69" s="124" t="s">
        <v>45</v>
      </c>
    </row>
    <row r="70" spans="2:11">
      <c r="B70" s="126" t="s">
        <v>46</v>
      </c>
      <c r="C70" s="127">
        <v>2546.8180000000002</v>
      </c>
      <c r="D70" s="127">
        <v>909.476</v>
      </c>
      <c r="E70" s="271">
        <v>5204.4719067636097</v>
      </c>
      <c r="F70" s="272">
        <f>G70/C70</f>
        <v>0.36414026727369053</v>
      </c>
      <c r="G70" s="271">
        <v>927.39898721744601</v>
      </c>
      <c r="H70" s="272">
        <f t="shared" ref="H70:H75" si="3">I70/D70</f>
        <v>0.42988054328260816</v>
      </c>
      <c r="I70" s="271">
        <v>390.96603698249334</v>
      </c>
      <c r="J70" s="152">
        <f>K70/SUM(C70:D70)</f>
        <v>0.38143891237259886</v>
      </c>
      <c r="K70" s="127">
        <f t="shared" ref="K70:K75" si="4">SUM(G70,I70)</f>
        <v>1318.3650241999394</v>
      </c>
    </row>
    <row r="71" spans="2:11">
      <c r="B71" s="126" t="s">
        <v>47</v>
      </c>
      <c r="C71" s="127">
        <v>1681</v>
      </c>
      <c r="D71" s="127">
        <v>3120.6</v>
      </c>
      <c r="E71" s="271">
        <v>3968.2132952293318</v>
      </c>
      <c r="F71" s="272">
        <f>G71/C71</f>
        <v>0.45456110373769409</v>
      </c>
      <c r="G71" s="271">
        <v>764.11721538306381</v>
      </c>
      <c r="H71" s="272">
        <f t="shared" si="3"/>
        <v>0.68777703492253817</v>
      </c>
      <c r="I71" s="271">
        <v>2146.2770151792724</v>
      </c>
      <c r="J71" s="152">
        <f t="shared" ref="J71:J76" si="5">K71/SUM(C71:D71)</f>
        <v>0.6061300880044852</v>
      </c>
      <c r="K71" s="127">
        <f t="shared" si="4"/>
        <v>2910.3942305623364</v>
      </c>
    </row>
    <row r="72" spans="2:11">
      <c r="B72" s="126" t="s">
        <v>48</v>
      </c>
      <c r="C72" s="127">
        <v>2424.9229999999998</v>
      </c>
      <c r="D72" s="127">
        <v>3791.8719999999998</v>
      </c>
      <c r="E72" s="271">
        <v>3618.5651686053225</v>
      </c>
      <c r="F72" s="272">
        <f>G72/C72</f>
        <v>0.62914794855630007</v>
      </c>
      <c r="G72" s="271">
        <v>1525.6353308569887</v>
      </c>
      <c r="H72" s="272">
        <f t="shared" si="3"/>
        <v>0.24447317107542146</v>
      </c>
      <c r="I72" s="271">
        <v>927.01097215210052</v>
      </c>
      <c r="J72" s="152">
        <f t="shared" si="5"/>
        <v>0.39451941120932715</v>
      </c>
      <c r="K72" s="127">
        <f t="shared" si="4"/>
        <v>2452.646303009089</v>
      </c>
    </row>
    <row r="73" spans="2:11">
      <c r="B73" s="126" t="s">
        <v>49</v>
      </c>
      <c r="C73" s="127"/>
      <c r="D73" s="127">
        <v>835.14400000000001</v>
      </c>
      <c r="E73" s="271">
        <v>241.15919611927043</v>
      </c>
      <c r="F73" s="272" t="s">
        <v>18</v>
      </c>
      <c r="G73" s="271" t="s">
        <v>18</v>
      </c>
      <c r="H73" s="272">
        <f t="shared" si="3"/>
        <v>0.13268371477501367</v>
      </c>
      <c r="I73" s="271">
        <v>110.81000829206401</v>
      </c>
      <c r="J73" s="152">
        <f t="shared" si="5"/>
        <v>0.13268371477501367</v>
      </c>
      <c r="K73" s="127">
        <f t="shared" si="4"/>
        <v>110.81000829206401</v>
      </c>
    </row>
    <row r="74" spans="2:11">
      <c r="B74" s="126" t="s">
        <v>50</v>
      </c>
      <c r="C74" s="127">
        <v>180.3</v>
      </c>
      <c r="D74" s="127">
        <v>669.1</v>
      </c>
      <c r="E74" s="271">
        <v>569.24482711132248</v>
      </c>
      <c r="F74" s="272">
        <f>G74/C74</f>
        <v>0.64174433920308149</v>
      </c>
      <c r="G74" s="271">
        <v>115.7065043583156</v>
      </c>
      <c r="H74" s="272">
        <f t="shared" si="3"/>
        <v>0.20206891058867049</v>
      </c>
      <c r="I74" s="271">
        <v>135.20430807487944</v>
      </c>
      <c r="J74" s="152">
        <f t="shared" si="5"/>
        <v>0.29539770712643632</v>
      </c>
      <c r="K74" s="127">
        <f t="shared" si="4"/>
        <v>250.91081243319502</v>
      </c>
    </row>
    <row r="75" spans="2:11">
      <c r="B75" s="126" t="s">
        <v>51</v>
      </c>
      <c r="C75" s="127">
        <v>2133.8380000000002</v>
      </c>
      <c r="D75" s="127">
        <v>245</v>
      </c>
      <c r="E75" s="271">
        <v>3445.1482361711401</v>
      </c>
      <c r="F75" s="272">
        <f>G75/C75</f>
        <v>0.61161439698473785</v>
      </c>
      <c r="G75" s="271">
        <v>1305.0860416331191</v>
      </c>
      <c r="H75" s="272">
        <f t="shared" si="3"/>
        <v>0.24376072737241916</v>
      </c>
      <c r="I75" s="271">
        <v>59.721378206242697</v>
      </c>
      <c r="J75" s="152">
        <f t="shared" si="5"/>
        <v>0.57372861028761168</v>
      </c>
      <c r="K75" s="127">
        <f t="shared" si="4"/>
        <v>1364.8074198393617</v>
      </c>
    </row>
    <row r="76" spans="2:11">
      <c r="B76" s="123" t="s">
        <v>52</v>
      </c>
      <c r="C76" s="128">
        <f>SUM(C70:C75)</f>
        <v>8966.8790000000008</v>
      </c>
      <c r="D76" s="128">
        <f>SUM(D70:D75)</f>
        <v>9571.1920000000009</v>
      </c>
      <c r="E76" s="128">
        <f>SUM(E70:E75)</f>
        <v>17046.802629999995</v>
      </c>
      <c r="F76" s="273">
        <f>G76/C76</f>
        <v>0.51723058596518734</v>
      </c>
      <c r="G76" s="128">
        <f>SUM(G70:G75)</f>
        <v>4637.9440794489337</v>
      </c>
      <c r="H76" s="273">
        <f>I76/D76</f>
        <v>0.39388925840031758</v>
      </c>
      <c r="I76" s="128">
        <f>SUM(I70:I75)</f>
        <v>3769.9897188870527</v>
      </c>
      <c r="J76" s="153">
        <f t="shared" si="5"/>
        <v>0.45354955207238035</v>
      </c>
      <c r="K76" s="128">
        <f>SUM(K70:K75)</f>
        <v>8407.9337983359856</v>
      </c>
    </row>
    <row r="79" spans="2:11">
      <c r="B79" s="168" t="str">
        <f>TEXT(CONCATENATE(TEXT(Dat_01!B2,"dd de mm de aaaa")),"@")</f>
        <v>30 302020 11 302020 2020</v>
      </c>
    </row>
    <row r="80" spans="2:11">
      <c r="B80" s="241" t="str">
        <f>CONCATENATE("Reservas hidroeléctricas a ",TEXT(DATEVALUE(MID(Dat_01!B2,1,10)),"dd")," de ",TEXT(DATEVALUE(MID(Dat_01!B2,1,10)),"mmmm")," de ",TEXT(DATEVALUE(MID(Dat_01!B2,1,10)),"aaaa")," por cuencas")</f>
        <v>Reservas hidroeléctricas a 30 de noviembre de 2020 por cuencas</v>
      </c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  <ignoredErrors>
    <ignoredError sqref="J71:J75" formulaRange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67607-43F1-46CF-AE52-758A88313730}">
  <sheetPr codeName="Hoja25"/>
  <dimension ref="A1:I488"/>
  <sheetViews>
    <sheetView showGridLines="0" zoomScale="77" zoomScaleNormal="77" workbookViewId="0"/>
  </sheetViews>
  <sheetFormatPr baseColWidth="10" defaultColWidth="11.42578125" defaultRowHeight="15"/>
  <cols>
    <col min="1" max="1" width="11.42578125" style="300"/>
    <col min="2" max="2" width="12.7109375" style="300" bestFit="1" customWidth="1"/>
    <col min="3" max="7" width="11.42578125" style="300"/>
    <col min="8" max="8" width="11.85546875" style="300" bestFit="1" customWidth="1"/>
    <col min="9" max="21" width="11.42578125" style="300"/>
    <col min="22" max="22" width="11.42578125" style="300" customWidth="1"/>
    <col min="23" max="28" width="11.42578125" style="300"/>
    <col min="29" max="29" width="11.85546875" style="300" bestFit="1" customWidth="1"/>
    <col min="30" max="16384" width="11.42578125" style="300"/>
  </cols>
  <sheetData>
    <row r="1" spans="1:9" ht="60">
      <c r="B1" s="299" t="s">
        <v>146</v>
      </c>
      <c r="C1" s="299" t="s">
        <v>606</v>
      </c>
      <c r="D1" s="299" t="s">
        <v>607</v>
      </c>
    </row>
    <row r="2" spans="1:9">
      <c r="A2" s="300">
        <v>0</v>
      </c>
      <c r="B2" s="301">
        <v>43770</v>
      </c>
      <c r="C2" s="302">
        <v>266.96189500000003</v>
      </c>
      <c r="D2" s="303">
        <v>158.29445500838051</v>
      </c>
      <c r="E2" s="302">
        <f>IF(C2&gt;D2,D2,C2)</f>
        <v>158.29445500838051</v>
      </c>
      <c r="F2" s="305">
        <f>YEAR(B2)</f>
        <v>2019</v>
      </c>
      <c r="G2" s="208" t="str">
        <f>IF(DAY(B2)=15,IF(MONTH(B2)=1,"E",IF(MONTH(B2)=2,"F",IF(MONTH(B2)=3,"M",IF(MONTH(B2)=4,"A",IF(MONTH(B2)=5,"M",IF(MONTH(B2)=6,"J",IF(MONTH(B2)=7,"J",IF(MONTH(B2)=8,"A",IF(MONTH(B2)=9,"S",IF(MONTH(B2)=10,"O",IF(MONTH(B2)=11,"N",IF(MONTH(B2)=12,"D","")))))))))))),"")</f>
        <v/>
      </c>
      <c r="H2" s="304" t="str">
        <f>IF(DAY($B2)=15,TEXT(D2,"#,0"),"")</f>
        <v/>
      </c>
      <c r="I2" s="305"/>
    </row>
    <row r="3" spans="1:9">
      <c r="A3" s="300">
        <v>1</v>
      </c>
      <c r="B3" s="301">
        <v>43771</v>
      </c>
      <c r="C3" s="302">
        <v>317.642675</v>
      </c>
      <c r="D3" s="303">
        <v>158.29445500838051</v>
      </c>
      <c r="E3" s="302">
        <f t="shared" ref="E3:E66" si="0">IF(C3&gt;D3,D3,C3)</f>
        <v>158.29445500838051</v>
      </c>
      <c r="F3" s="311"/>
      <c r="G3" s="208" t="str">
        <f t="shared" ref="G3:G66" si="1"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  <c r="H3" s="304" t="str">
        <f t="shared" ref="H3:H66" si="2">IF(DAY($B3)=15,TEXT(D3,"#,0"),"")</f>
        <v/>
      </c>
      <c r="I3" s="305"/>
    </row>
    <row r="4" spans="1:9">
      <c r="A4" s="300">
        <v>2</v>
      </c>
      <c r="B4" s="301">
        <v>43772</v>
      </c>
      <c r="C4" s="302">
        <v>349.04720299999997</v>
      </c>
      <c r="D4" s="303">
        <v>158.29445500838051</v>
      </c>
      <c r="E4" s="302">
        <f t="shared" si="0"/>
        <v>158.29445500838051</v>
      </c>
      <c r="F4" s="311"/>
      <c r="G4" s="208" t="str">
        <f t="shared" si="1"/>
        <v/>
      </c>
      <c r="H4" s="304" t="str">
        <f t="shared" si="2"/>
        <v/>
      </c>
      <c r="I4" s="305"/>
    </row>
    <row r="5" spans="1:9">
      <c r="A5" s="300">
        <v>3</v>
      </c>
      <c r="B5" s="301">
        <v>43773</v>
      </c>
      <c r="C5" s="302">
        <v>347.30126800000005</v>
      </c>
      <c r="D5" s="303">
        <v>158.29445500838051</v>
      </c>
      <c r="E5" s="302">
        <f t="shared" si="0"/>
        <v>158.29445500838051</v>
      </c>
      <c r="F5" s="311"/>
      <c r="G5" s="208" t="str">
        <f t="shared" si="1"/>
        <v/>
      </c>
      <c r="H5" s="304" t="str">
        <f t="shared" si="2"/>
        <v/>
      </c>
      <c r="I5" s="305"/>
    </row>
    <row r="6" spans="1:9">
      <c r="A6" s="300">
        <v>4</v>
      </c>
      <c r="B6" s="301">
        <v>43774</v>
      </c>
      <c r="C6" s="302">
        <v>330.28263400000003</v>
      </c>
      <c r="D6" s="303">
        <v>158.29445500838051</v>
      </c>
      <c r="E6" s="302">
        <f t="shared" si="0"/>
        <v>158.29445500838051</v>
      </c>
      <c r="F6" s="311"/>
      <c r="G6" s="208" t="str">
        <f t="shared" si="1"/>
        <v/>
      </c>
      <c r="H6" s="304" t="str">
        <f t="shared" si="2"/>
        <v/>
      </c>
      <c r="I6" s="305"/>
    </row>
    <row r="7" spans="1:9">
      <c r="A7" s="300">
        <v>5</v>
      </c>
      <c r="B7" s="301">
        <v>43775</v>
      </c>
      <c r="C7" s="302">
        <v>213.84712299999998</v>
      </c>
      <c r="D7" s="303">
        <v>158.29445500838051</v>
      </c>
      <c r="E7" s="302">
        <f t="shared" si="0"/>
        <v>158.29445500838051</v>
      </c>
      <c r="F7" s="311"/>
      <c r="G7" s="208" t="str">
        <f t="shared" si="1"/>
        <v/>
      </c>
      <c r="H7" s="304" t="str">
        <f t="shared" si="2"/>
        <v/>
      </c>
      <c r="I7" s="305"/>
    </row>
    <row r="8" spans="1:9">
      <c r="A8" s="300">
        <v>6</v>
      </c>
      <c r="B8" s="301">
        <v>43776</v>
      </c>
      <c r="C8" s="302">
        <v>246.386143</v>
      </c>
      <c r="D8" s="303">
        <v>158.29445500838051</v>
      </c>
      <c r="E8" s="302">
        <f t="shared" si="0"/>
        <v>158.29445500838051</v>
      </c>
      <c r="F8" s="311"/>
      <c r="G8" s="208" t="str">
        <f t="shared" si="1"/>
        <v/>
      </c>
      <c r="H8" s="304" t="str">
        <f t="shared" si="2"/>
        <v/>
      </c>
      <c r="I8" s="305"/>
    </row>
    <row r="9" spans="1:9">
      <c r="A9" s="300">
        <v>7</v>
      </c>
      <c r="B9" s="301">
        <v>43777</v>
      </c>
      <c r="C9" s="302">
        <v>303.51008399999995</v>
      </c>
      <c r="D9" s="303">
        <v>158.29445500838051</v>
      </c>
      <c r="E9" s="302">
        <f t="shared" si="0"/>
        <v>158.29445500838051</v>
      </c>
      <c r="F9" s="311"/>
      <c r="G9" s="208" t="str">
        <f t="shared" si="1"/>
        <v/>
      </c>
      <c r="H9" s="304" t="str">
        <f t="shared" si="2"/>
        <v/>
      </c>
      <c r="I9" s="305"/>
    </row>
    <row r="10" spans="1:9">
      <c r="A10" s="300">
        <v>8</v>
      </c>
      <c r="B10" s="301">
        <v>43778</v>
      </c>
      <c r="C10" s="302">
        <v>253.799825</v>
      </c>
      <c r="D10" s="303">
        <v>158.29445500838051</v>
      </c>
      <c r="E10" s="302">
        <f t="shared" si="0"/>
        <v>158.29445500838051</v>
      </c>
      <c r="F10" s="311"/>
      <c r="G10" s="208" t="str">
        <f t="shared" si="1"/>
        <v/>
      </c>
      <c r="H10" s="304" t="str">
        <f t="shared" si="2"/>
        <v/>
      </c>
      <c r="I10" s="305"/>
    </row>
    <row r="11" spans="1:9">
      <c r="A11" s="300">
        <v>9</v>
      </c>
      <c r="B11" s="301">
        <v>43779</v>
      </c>
      <c r="C11" s="302">
        <v>287.63457799999998</v>
      </c>
      <c r="D11" s="303">
        <v>158.29445500838051</v>
      </c>
      <c r="E11" s="302">
        <f t="shared" si="0"/>
        <v>158.29445500838051</v>
      </c>
      <c r="F11" s="311"/>
      <c r="G11" s="208" t="str">
        <f t="shared" si="1"/>
        <v/>
      </c>
      <c r="H11" s="304" t="str">
        <f t="shared" si="2"/>
        <v/>
      </c>
      <c r="I11" s="305"/>
    </row>
    <row r="12" spans="1:9">
      <c r="A12" s="300">
        <v>10</v>
      </c>
      <c r="B12" s="301">
        <v>43780</v>
      </c>
      <c r="C12" s="302">
        <v>215.39428700000002</v>
      </c>
      <c r="D12" s="303">
        <v>158.29445500838051</v>
      </c>
      <c r="E12" s="302">
        <f t="shared" si="0"/>
        <v>158.29445500838051</v>
      </c>
      <c r="F12" s="311"/>
      <c r="G12" s="208" t="str">
        <f t="shared" si="1"/>
        <v/>
      </c>
      <c r="H12" s="304" t="str">
        <f t="shared" si="2"/>
        <v/>
      </c>
      <c r="I12" s="305"/>
    </row>
    <row r="13" spans="1:9">
      <c r="A13" s="300">
        <v>11</v>
      </c>
      <c r="B13" s="301">
        <v>43781</v>
      </c>
      <c r="C13" s="302">
        <v>224.70347699999999</v>
      </c>
      <c r="D13" s="303">
        <v>158.29445500838051</v>
      </c>
      <c r="E13" s="302">
        <f t="shared" si="0"/>
        <v>158.29445500838051</v>
      </c>
      <c r="F13" s="311"/>
      <c r="G13" s="208" t="str">
        <f t="shared" si="1"/>
        <v/>
      </c>
      <c r="H13" s="304" t="str">
        <f t="shared" si="2"/>
        <v/>
      </c>
      <c r="I13" s="305"/>
    </row>
    <row r="14" spans="1:9">
      <c r="A14" s="300">
        <v>12</v>
      </c>
      <c r="B14" s="301">
        <v>43782</v>
      </c>
      <c r="C14" s="302">
        <v>248.08118399999998</v>
      </c>
      <c r="D14" s="303">
        <v>158.29445500838051</v>
      </c>
      <c r="E14" s="302">
        <f t="shared" si="0"/>
        <v>158.29445500838051</v>
      </c>
      <c r="F14" s="311"/>
      <c r="G14" s="208" t="str">
        <f t="shared" si="1"/>
        <v/>
      </c>
      <c r="H14" s="304" t="str">
        <f t="shared" si="2"/>
        <v/>
      </c>
      <c r="I14" s="305"/>
    </row>
    <row r="15" spans="1:9">
      <c r="A15" s="300">
        <v>13</v>
      </c>
      <c r="B15" s="301">
        <v>43783</v>
      </c>
      <c r="C15" s="302">
        <v>287.01806199999999</v>
      </c>
      <c r="D15" s="303">
        <v>158.29445500838051</v>
      </c>
      <c r="E15" s="302">
        <f t="shared" si="0"/>
        <v>158.29445500838051</v>
      </c>
      <c r="F15" s="311"/>
      <c r="G15" s="208" t="str">
        <f t="shared" si="1"/>
        <v/>
      </c>
      <c r="H15" s="304" t="str">
        <f t="shared" si="2"/>
        <v/>
      </c>
      <c r="I15" s="305"/>
    </row>
    <row r="16" spans="1:9">
      <c r="A16" s="300">
        <v>14</v>
      </c>
      <c r="B16" s="301">
        <v>43784</v>
      </c>
      <c r="C16" s="302">
        <v>217.31682899999998</v>
      </c>
      <c r="D16" s="303">
        <v>158.29445500838051</v>
      </c>
      <c r="E16" s="302">
        <f t="shared" si="0"/>
        <v>158.29445500838051</v>
      </c>
      <c r="F16" s="311"/>
      <c r="G16" s="208" t="str">
        <f>IF(DAY(B16)=15,IF(MONTH(B16)=1,"E",IF(MONTH(B16)=2,"F",IF(MONTH(B16)=3,"M",IF(MONTH(B16)=4,"A",IF(MONTH(B16)=5,"M",IF(MONTH(B16)=6,"J",IF(MONTH(B16)=7,"J",IF(MONTH(B16)=8,"A",IF(MONTH(B16)=9,"S",IF(MONTH(B16)=10,"O",IF(MONTH(B16)=11,"N",IF(MONTH(B16)=12,"D","")))))))))))),"")</f>
        <v>N</v>
      </c>
      <c r="H16" s="304" t="str">
        <f t="shared" si="2"/>
        <v>158,3</v>
      </c>
      <c r="I16" s="305"/>
    </row>
    <row r="17" spans="1:9">
      <c r="A17" s="300">
        <v>15</v>
      </c>
      <c r="B17" s="301">
        <v>43785</v>
      </c>
      <c r="C17" s="302">
        <v>153.56777199999999</v>
      </c>
      <c r="D17" s="303">
        <v>158.29445500838051</v>
      </c>
      <c r="E17" s="302">
        <f t="shared" si="0"/>
        <v>153.56777199999999</v>
      </c>
      <c r="F17" s="311"/>
      <c r="G17" s="208" t="str">
        <f t="shared" si="1"/>
        <v/>
      </c>
      <c r="H17" s="304" t="str">
        <f t="shared" si="2"/>
        <v/>
      </c>
      <c r="I17" s="208"/>
    </row>
    <row r="18" spans="1:9">
      <c r="A18" s="300">
        <v>16</v>
      </c>
      <c r="B18" s="301">
        <v>43786</v>
      </c>
      <c r="C18" s="302">
        <v>214.21997099999999</v>
      </c>
      <c r="D18" s="303">
        <v>158.29445500838051</v>
      </c>
      <c r="E18" s="302">
        <f t="shared" si="0"/>
        <v>158.29445500838051</v>
      </c>
      <c r="F18" s="311"/>
      <c r="G18" s="208" t="str">
        <f t="shared" si="1"/>
        <v/>
      </c>
      <c r="H18" s="304" t="str">
        <f t="shared" si="2"/>
        <v/>
      </c>
      <c r="I18" s="305"/>
    </row>
    <row r="19" spans="1:9">
      <c r="A19" s="300">
        <v>17</v>
      </c>
      <c r="B19" s="301">
        <v>43787</v>
      </c>
      <c r="C19" s="302">
        <v>177.14007599999999</v>
      </c>
      <c r="D19" s="303">
        <v>158.29445500838051</v>
      </c>
      <c r="E19" s="302">
        <f t="shared" si="0"/>
        <v>158.29445500838051</v>
      </c>
      <c r="F19" s="311"/>
      <c r="G19" s="208" t="str">
        <f t="shared" si="1"/>
        <v/>
      </c>
      <c r="H19" s="304" t="str">
        <f t="shared" si="2"/>
        <v/>
      </c>
      <c r="I19" s="305"/>
    </row>
    <row r="20" spans="1:9">
      <c r="A20" s="300">
        <v>18</v>
      </c>
      <c r="B20" s="301">
        <v>43788</v>
      </c>
      <c r="C20" s="302">
        <v>96.379756999999998</v>
      </c>
      <c r="D20" s="303">
        <v>158.29445500838051</v>
      </c>
      <c r="E20" s="302">
        <f t="shared" si="0"/>
        <v>96.379756999999998</v>
      </c>
      <c r="F20" s="311"/>
      <c r="G20" s="208" t="str">
        <f t="shared" si="1"/>
        <v/>
      </c>
      <c r="H20" s="304" t="str">
        <f t="shared" si="2"/>
        <v/>
      </c>
      <c r="I20" s="305"/>
    </row>
    <row r="21" spans="1:9">
      <c r="A21" s="300">
        <v>19</v>
      </c>
      <c r="B21" s="301">
        <v>43789</v>
      </c>
      <c r="C21" s="302">
        <v>105.01419800000001</v>
      </c>
      <c r="D21" s="303">
        <v>158.29445500838051</v>
      </c>
      <c r="E21" s="302">
        <f t="shared" si="0"/>
        <v>105.01419800000001</v>
      </c>
      <c r="F21" s="311"/>
      <c r="G21" s="208" t="str">
        <f t="shared" si="1"/>
        <v/>
      </c>
      <c r="H21" s="304" t="str">
        <f t="shared" si="2"/>
        <v/>
      </c>
      <c r="I21" s="305"/>
    </row>
    <row r="22" spans="1:9">
      <c r="A22" s="300">
        <v>20</v>
      </c>
      <c r="B22" s="301">
        <v>43790</v>
      </c>
      <c r="C22" s="302">
        <v>136.28489199999999</v>
      </c>
      <c r="D22" s="303">
        <v>158.29445500838051</v>
      </c>
      <c r="E22" s="302">
        <f t="shared" si="0"/>
        <v>136.28489199999999</v>
      </c>
      <c r="F22" s="311"/>
      <c r="G22" s="208" t="str">
        <f t="shared" si="1"/>
        <v/>
      </c>
      <c r="H22" s="304" t="str">
        <f t="shared" si="2"/>
        <v/>
      </c>
      <c r="I22" s="305"/>
    </row>
    <row r="23" spans="1:9">
      <c r="A23" s="300">
        <v>21</v>
      </c>
      <c r="B23" s="301">
        <v>43791</v>
      </c>
      <c r="C23" s="302">
        <v>310.891122</v>
      </c>
      <c r="D23" s="303">
        <v>158.29445500838051</v>
      </c>
      <c r="E23" s="302">
        <f t="shared" si="0"/>
        <v>158.29445500838051</v>
      </c>
      <c r="F23" s="311"/>
      <c r="G23" s="208" t="str">
        <f t="shared" si="1"/>
        <v/>
      </c>
      <c r="H23" s="304" t="str">
        <f t="shared" si="2"/>
        <v/>
      </c>
      <c r="I23" s="305"/>
    </row>
    <row r="24" spans="1:9">
      <c r="A24" s="300">
        <v>22</v>
      </c>
      <c r="B24" s="301">
        <v>43792</v>
      </c>
      <c r="C24" s="302">
        <v>346.43145899999996</v>
      </c>
      <c r="D24" s="303">
        <v>158.29445500838051</v>
      </c>
      <c r="E24" s="302">
        <f t="shared" si="0"/>
        <v>158.29445500838051</v>
      </c>
      <c r="F24" s="311"/>
      <c r="G24" s="208" t="str">
        <f t="shared" si="1"/>
        <v/>
      </c>
      <c r="H24" s="304" t="str">
        <f t="shared" si="2"/>
        <v/>
      </c>
      <c r="I24" s="305"/>
    </row>
    <row r="25" spans="1:9">
      <c r="A25" s="300">
        <v>23</v>
      </c>
      <c r="B25" s="301">
        <v>43793</v>
      </c>
      <c r="C25" s="302">
        <v>257.93810400000001</v>
      </c>
      <c r="D25" s="303">
        <v>158.29445500838051</v>
      </c>
      <c r="E25" s="302">
        <f t="shared" si="0"/>
        <v>158.29445500838051</v>
      </c>
      <c r="F25" s="311"/>
      <c r="G25" s="208" t="str">
        <f t="shared" si="1"/>
        <v/>
      </c>
      <c r="H25" s="304" t="str">
        <f t="shared" si="2"/>
        <v/>
      </c>
      <c r="I25" s="305"/>
    </row>
    <row r="26" spans="1:9">
      <c r="A26" s="300">
        <v>24</v>
      </c>
      <c r="B26" s="301">
        <v>43794</v>
      </c>
      <c r="C26" s="302">
        <v>253.07458300000002</v>
      </c>
      <c r="D26" s="303">
        <v>158.29445500838051</v>
      </c>
      <c r="E26" s="302">
        <f t="shared" si="0"/>
        <v>158.29445500838051</v>
      </c>
      <c r="F26" s="311"/>
      <c r="G26" s="208" t="str">
        <f t="shared" si="1"/>
        <v/>
      </c>
      <c r="H26" s="304" t="str">
        <f t="shared" si="2"/>
        <v/>
      </c>
      <c r="I26" s="305"/>
    </row>
    <row r="27" spans="1:9">
      <c r="A27" s="300">
        <v>25</v>
      </c>
      <c r="B27" s="301">
        <v>43795</v>
      </c>
      <c r="C27" s="302">
        <v>272.91228599999999</v>
      </c>
      <c r="D27" s="303">
        <v>158.29445500838051</v>
      </c>
      <c r="E27" s="302">
        <f t="shared" si="0"/>
        <v>158.29445500838051</v>
      </c>
      <c r="F27" s="311"/>
      <c r="G27" s="208" t="str">
        <f t="shared" si="1"/>
        <v/>
      </c>
      <c r="H27" s="304" t="str">
        <f t="shared" si="2"/>
        <v/>
      </c>
      <c r="I27" s="305"/>
    </row>
    <row r="28" spans="1:9">
      <c r="A28" s="300">
        <v>26</v>
      </c>
      <c r="B28" s="301">
        <v>43796</v>
      </c>
      <c r="C28" s="302">
        <v>318.188783</v>
      </c>
      <c r="D28" s="303">
        <v>158.29445500838051</v>
      </c>
      <c r="E28" s="302">
        <f t="shared" si="0"/>
        <v>158.29445500838051</v>
      </c>
      <c r="F28" s="311"/>
      <c r="G28" s="208" t="str">
        <f t="shared" si="1"/>
        <v/>
      </c>
      <c r="H28" s="304" t="str">
        <f t="shared" si="2"/>
        <v/>
      </c>
      <c r="I28" s="305"/>
    </row>
    <row r="29" spans="1:9">
      <c r="A29" s="300">
        <v>27</v>
      </c>
      <c r="B29" s="301">
        <v>43797</v>
      </c>
      <c r="C29" s="302">
        <v>260.67021199999999</v>
      </c>
      <c r="D29" s="303">
        <v>158.29445500838051</v>
      </c>
      <c r="E29" s="302">
        <f t="shared" si="0"/>
        <v>158.29445500838051</v>
      </c>
      <c r="F29" s="311"/>
      <c r="G29" s="208" t="str">
        <f t="shared" si="1"/>
        <v/>
      </c>
      <c r="H29" s="304" t="str">
        <f t="shared" si="2"/>
        <v/>
      </c>
      <c r="I29" s="305"/>
    </row>
    <row r="30" spans="1:9">
      <c r="A30" s="300">
        <v>28</v>
      </c>
      <c r="B30" s="301">
        <v>43798</v>
      </c>
      <c r="C30" s="302">
        <v>122.29427</v>
      </c>
      <c r="D30" s="303">
        <v>158.29445500838051</v>
      </c>
      <c r="E30" s="302">
        <f t="shared" si="0"/>
        <v>122.29427</v>
      </c>
      <c r="F30" s="311"/>
      <c r="G30" s="208" t="str">
        <f t="shared" si="1"/>
        <v/>
      </c>
      <c r="H30" s="304" t="str">
        <f t="shared" si="2"/>
        <v/>
      </c>
      <c r="I30" s="305"/>
    </row>
    <row r="31" spans="1:9">
      <c r="A31" s="300">
        <v>29</v>
      </c>
      <c r="B31" s="301">
        <v>43799</v>
      </c>
      <c r="C31" s="302">
        <v>200.19029699999999</v>
      </c>
      <c r="D31" s="303">
        <v>158.29445500838051</v>
      </c>
      <c r="E31" s="302">
        <f t="shared" si="0"/>
        <v>158.29445500838051</v>
      </c>
      <c r="F31" s="311"/>
      <c r="G31" s="208" t="str">
        <f t="shared" si="1"/>
        <v/>
      </c>
      <c r="H31" s="304" t="str">
        <f t="shared" si="2"/>
        <v/>
      </c>
      <c r="I31" s="305"/>
    </row>
    <row r="32" spans="1:9">
      <c r="A32" s="300">
        <v>30</v>
      </c>
      <c r="B32" s="301">
        <v>43800</v>
      </c>
      <c r="C32" s="302">
        <v>123.85886000000001</v>
      </c>
      <c r="D32" s="303">
        <v>154.57471549703288</v>
      </c>
      <c r="E32" s="302">
        <f t="shared" si="0"/>
        <v>123.85886000000001</v>
      </c>
      <c r="F32" s="311"/>
      <c r="G32" s="208" t="str">
        <f t="shared" si="1"/>
        <v/>
      </c>
      <c r="H32" s="304" t="str">
        <f t="shared" si="2"/>
        <v/>
      </c>
      <c r="I32" s="305"/>
    </row>
    <row r="33" spans="1:9">
      <c r="A33" s="300">
        <v>31</v>
      </c>
      <c r="B33" s="301">
        <v>43801</v>
      </c>
      <c r="C33" s="302">
        <v>259.28905900000001</v>
      </c>
      <c r="D33" s="303">
        <v>154.57471549703288</v>
      </c>
      <c r="E33" s="302">
        <f t="shared" si="0"/>
        <v>154.57471549703288</v>
      </c>
      <c r="F33" s="311"/>
      <c r="G33" s="208" t="str">
        <f t="shared" si="1"/>
        <v/>
      </c>
      <c r="H33" s="304" t="str">
        <f t="shared" si="2"/>
        <v/>
      </c>
      <c r="I33" s="305"/>
    </row>
    <row r="34" spans="1:9">
      <c r="A34" s="300">
        <v>32</v>
      </c>
      <c r="B34" s="301">
        <v>43802</v>
      </c>
      <c r="C34" s="302">
        <v>171.43941800000002</v>
      </c>
      <c r="D34" s="303">
        <v>154.57471549703288</v>
      </c>
      <c r="E34" s="302">
        <f t="shared" si="0"/>
        <v>154.57471549703288</v>
      </c>
      <c r="F34" s="311"/>
      <c r="G34" s="208" t="str">
        <f t="shared" si="1"/>
        <v/>
      </c>
      <c r="H34" s="304" t="str">
        <f t="shared" si="2"/>
        <v/>
      </c>
      <c r="I34" s="305"/>
    </row>
    <row r="35" spans="1:9">
      <c r="A35" s="300">
        <v>33</v>
      </c>
      <c r="B35" s="301">
        <v>43803</v>
      </c>
      <c r="C35" s="302">
        <v>136.39610300000001</v>
      </c>
      <c r="D35" s="303">
        <v>154.57471549703288</v>
      </c>
      <c r="E35" s="302">
        <f t="shared" si="0"/>
        <v>136.39610300000001</v>
      </c>
      <c r="F35" s="311"/>
      <c r="G35" s="208" t="str">
        <f t="shared" si="1"/>
        <v/>
      </c>
      <c r="H35" s="304" t="str">
        <f t="shared" si="2"/>
        <v/>
      </c>
      <c r="I35" s="305"/>
    </row>
    <row r="36" spans="1:9">
      <c r="A36" s="300">
        <v>34</v>
      </c>
      <c r="B36" s="301">
        <v>43804</v>
      </c>
      <c r="C36" s="302">
        <v>171.32826699999998</v>
      </c>
      <c r="D36" s="303">
        <v>154.57471549703288</v>
      </c>
      <c r="E36" s="302">
        <f t="shared" si="0"/>
        <v>154.57471549703288</v>
      </c>
      <c r="F36" s="311"/>
      <c r="G36" s="208" t="str">
        <f t="shared" si="1"/>
        <v/>
      </c>
      <c r="H36" s="304" t="str">
        <f t="shared" si="2"/>
        <v/>
      </c>
      <c r="I36" s="305"/>
    </row>
    <row r="37" spans="1:9">
      <c r="A37" s="300">
        <v>35</v>
      </c>
      <c r="B37" s="301">
        <v>43805</v>
      </c>
      <c r="C37" s="302">
        <v>48.925923000000004</v>
      </c>
      <c r="D37" s="303">
        <v>154.57471549703288</v>
      </c>
      <c r="E37" s="302">
        <f t="shared" si="0"/>
        <v>48.925923000000004</v>
      </c>
      <c r="F37" s="311"/>
      <c r="G37" s="208" t="str">
        <f t="shared" si="1"/>
        <v/>
      </c>
      <c r="H37" s="304" t="str">
        <f t="shared" si="2"/>
        <v/>
      </c>
      <c r="I37" s="305"/>
    </row>
    <row r="38" spans="1:9">
      <c r="A38" s="300">
        <v>36</v>
      </c>
      <c r="B38" s="301">
        <v>43806</v>
      </c>
      <c r="C38" s="302">
        <v>36.688713999999997</v>
      </c>
      <c r="D38" s="303">
        <v>154.57471549703288</v>
      </c>
      <c r="E38" s="302">
        <f t="shared" si="0"/>
        <v>36.688713999999997</v>
      </c>
      <c r="F38" s="311"/>
      <c r="G38" s="208" t="str">
        <f t="shared" si="1"/>
        <v/>
      </c>
      <c r="H38" s="304" t="str">
        <f t="shared" si="2"/>
        <v/>
      </c>
      <c r="I38" s="305"/>
    </row>
    <row r="39" spans="1:9">
      <c r="A39" s="300">
        <v>37</v>
      </c>
      <c r="B39" s="301">
        <v>43807</v>
      </c>
      <c r="C39" s="302">
        <v>121.175737</v>
      </c>
      <c r="D39" s="303">
        <v>154.57471549703288</v>
      </c>
      <c r="E39" s="302">
        <f t="shared" si="0"/>
        <v>121.175737</v>
      </c>
      <c r="F39" s="311"/>
      <c r="G39" s="208" t="str">
        <f t="shared" si="1"/>
        <v/>
      </c>
      <c r="H39" s="304" t="str">
        <f t="shared" si="2"/>
        <v/>
      </c>
      <c r="I39" s="305"/>
    </row>
    <row r="40" spans="1:9">
      <c r="A40" s="300">
        <v>38</v>
      </c>
      <c r="B40" s="301">
        <v>43808</v>
      </c>
      <c r="C40" s="302">
        <v>205.07920199999998</v>
      </c>
      <c r="D40" s="303">
        <v>154.57471549703288</v>
      </c>
      <c r="E40" s="302">
        <f t="shared" si="0"/>
        <v>154.57471549703288</v>
      </c>
      <c r="F40" s="311"/>
      <c r="G40" s="208" t="str">
        <f t="shared" si="1"/>
        <v/>
      </c>
      <c r="H40" s="304" t="str">
        <f t="shared" si="2"/>
        <v/>
      </c>
      <c r="I40" s="305"/>
    </row>
    <row r="41" spans="1:9">
      <c r="A41" s="300">
        <v>39</v>
      </c>
      <c r="B41" s="301">
        <v>43809</v>
      </c>
      <c r="C41" s="302">
        <v>159.07757699999999</v>
      </c>
      <c r="D41" s="303">
        <v>154.57471549703288</v>
      </c>
      <c r="E41" s="302">
        <f t="shared" si="0"/>
        <v>154.57471549703288</v>
      </c>
      <c r="F41" s="311"/>
      <c r="G41" s="208" t="str">
        <f t="shared" si="1"/>
        <v/>
      </c>
      <c r="H41" s="304" t="str">
        <f t="shared" si="2"/>
        <v/>
      </c>
      <c r="I41" s="305"/>
    </row>
    <row r="42" spans="1:9">
      <c r="A42" s="300">
        <v>40</v>
      </c>
      <c r="B42" s="301">
        <v>43810</v>
      </c>
      <c r="C42" s="302">
        <v>250.818184</v>
      </c>
      <c r="D42" s="303">
        <v>154.57471549703288</v>
      </c>
      <c r="E42" s="302">
        <f t="shared" si="0"/>
        <v>154.57471549703288</v>
      </c>
      <c r="F42" s="311"/>
      <c r="G42" s="208" t="str">
        <f t="shared" si="1"/>
        <v/>
      </c>
      <c r="H42" s="304" t="str">
        <f t="shared" si="2"/>
        <v/>
      </c>
      <c r="I42" s="305"/>
    </row>
    <row r="43" spans="1:9">
      <c r="A43" s="300">
        <v>41</v>
      </c>
      <c r="B43" s="301">
        <v>43811</v>
      </c>
      <c r="C43" s="302">
        <v>375.04991699999999</v>
      </c>
      <c r="D43" s="303">
        <v>154.57471549703288</v>
      </c>
      <c r="E43" s="302">
        <f t="shared" si="0"/>
        <v>154.57471549703288</v>
      </c>
      <c r="F43" s="311"/>
      <c r="G43" s="208" t="str">
        <f t="shared" si="1"/>
        <v/>
      </c>
      <c r="H43" s="304" t="str">
        <f t="shared" si="2"/>
        <v/>
      </c>
      <c r="I43" s="305"/>
    </row>
    <row r="44" spans="1:9">
      <c r="A44" s="300">
        <v>42</v>
      </c>
      <c r="B44" s="301">
        <v>43812</v>
      </c>
      <c r="C44" s="302">
        <v>397.54071199999998</v>
      </c>
      <c r="D44" s="303">
        <v>154.57471549703288</v>
      </c>
      <c r="E44" s="302">
        <f t="shared" si="0"/>
        <v>154.57471549703288</v>
      </c>
      <c r="F44" s="311"/>
      <c r="G44" s="208" t="str">
        <f t="shared" si="1"/>
        <v/>
      </c>
      <c r="H44" s="304" t="str">
        <f t="shared" si="2"/>
        <v/>
      </c>
      <c r="I44" s="305"/>
    </row>
    <row r="45" spans="1:9">
      <c r="A45" s="300">
        <v>43</v>
      </c>
      <c r="B45" s="301">
        <v>43813</v>
      </c>
      <c r="C45" s="302">
        <v>306.04041599999999</v>
      </c>
      <c r="D45" s="303">
        <v>154.57471549703288</v>
      </c>
      <c r="E45" s="302">
        <f t="shared" si="0"/>
        <v>154.57471549703288</v>
      </c>
      <c r="F45" s="311"/>
      <c r="G45" s="208" t="str">
        <f t="shared" si="1"/>
        <v/>
      </c>
      <c r="H45" s="304" t="str">
        <f t="shared" si="2"/>
        <v/>
      </c>
      <c r="I45" s="305"/>
    </row>
    <row r="46" spans="1:9">
      <c r="A46" s="300">
        <v>44</v>
      </c>
      <c r="B46" s="301">
        <v>43814</v>
      </c>
      <c r="C46" s="302">
        <v>189.725176</v>
      </c>
      <c r="D46" s="303">
        <v>154.57471549703288</v>
      </c>
      <c r="E46" s="302">
        <f t="shared" si="0"/>
        <v>154.57471549703288</v>
      </c>
      <c r="F46" s="311"/>
      <c r="G46" s="208" t="str">
        <f t="shared" si="1"/>
        <v>D</v>
      </c>
      <c r="H46" s="304" t="str">
        <f t="shared" si="2"/>
        <v>154,6</v>
      </c>
      <c r="I46" s="305"/>
    </row>
    <row r="47" spans="1:9">
      <c r="A47" s="300">
        <v>45</v>
      </c>
      <c r="B47" s="301">
        <v>43815</v>
      </c>
      <c r="C47" s="302">
        <v>251.06848399999998</v>
      </c>
      <c r="D47" s="303">
        <v>154.57471549703288</v>
      </c>
      <c r="E47" s="302">
        <f t="shared" si="0"/>
        <v>154.57471549703288</v>
      </c>
      <c r="F47" s="311"/>
      <c r="G47" s="208" t="str">
        <f t="shared" si="1"/>
        <v/>
      </c>
      <c r="H47" s="304" t="str">
        <f t="shared" si="2"/>
        <v/>
      </c>
      <c r="I47" s="305"/>
    </row>
    <row r="48" spans="1:9">
      <c r="A48" s="300">
        <v>46</v>
      </c>
      <c r="B48" s="301">
        <v>43816</v>
      </c>
      <c r="C48" s="302">
        <v>112.453394</v>
      </c>
      <c r="D48" s="303">
        <v>154.57471549703288</v>
      </c>
      <c r="E48" s="302">
        <f t="shared" si="0"/>
        <v>112.453394</v>
      </c>
      <c r="F48" s="311"/>
      <c r="G48" s="208" t="str">
        <f t="shared" si="1"/>
        <v/>
      </c>
      <c r="H48" s="304" t="str">
        <f t="shared" si="2"/>
        <v/>
      </c>
      <c r="I48" s="305"/>
    </row>
    <row r="49" spans="1:9">
      <c r="A49" s="300">
        <v>47</v>
      </c>
      <c r="B49" s="301">
        <v>43817</v>
      </c>
      <c r="C49" s="302">
        <v>201.902681</v>
      </c>
      <c r="D49" s="303">
        <v>154.57471549703288</v>
      </c>
      <c r="E49" s="302">
        <f t="shared" si="0"/>
        <v>154.57471549703288</v>
      </c>
      <c r="F49" s="311"/>
      <c r="G49" s="208" t="str">
        <f t="shared" si="1"/>
        <v/>
      </c>
      <c r="H49" s="304" t="str">
        <f t="shared" si="2"/>
        <v/>
      </c>
      <c r="I49" s="305"/>
    </row>
    <row r="50" spans="1:9">
      <c r="A50" s="300">
        <v>48</v>
      </c>
      <c r="B50" s="301">
        <v>43818</v>
      </c>
      <c r="C50" s="302">
        <v>313.10053700000003</v>
      </c>
      <c r="D50" s="303">
        <v>154.57471549703288</v>
      </c>
      <c r="E50" s="302">
        <f t="shared" si="0"/>
        <v>154.57471549703288</v>
      </c>
      <c r="F50" s="311"/>
      <c r="G50" s="208" t="str">
        <f t="shared" si="1"/>
        <v/>
      </c>
      <c r="H50" s="304" t="str">
        <f t="shared" si="2"/>
        <v/>
      </c>
      <c r="I50" s="305"/>
    </row>
    <row r="51" spans="1:9">
      <c r="A51" s="300">
        <v>49</v>
      </c>
      <c r="B51" s="301">
        <v>43819</v>
      </c>
      <c r="C51" s="302">
        <v>308.41144000000003</v>
      </c>
      <c r="D51" s="303">
        <v>154.57471549703288</v>
      </c>
      <c r="E51" s="302">
        <f t="shared" si="0"/>
        <v>154.57471549703288</v>
      </c>
      <c r="F51" s="311"/>
      <c r="G51" s="208" t="str">
        <f t="shared" si="1"/>
        <v/>
      </c>
      <c r="H51" s="304" t="str">
        <f t="shared" si="2"/>
        <v/>
      </c>
      <c r="I51" s="305"/>
    </row>
    <row r="52" spans="1:9">
      <c r="A52" s="300">
        <v>50</v>
      </c>
      <c r="B52" s="301">
        <v>43820</v>
      </c>
      <c r="C52" s="302">
        <v>236.581973</v>
      </c>
      <c r="D52" s="303">
        <v>154.57471549703288</v>
      </c>
      <c r="E52" s="302">
        <f t="shared" si="0"/>
        <v>154.57471549703288</v>
      </c>
      <c r="F52" s="311"/>
      <c r="G52" s="208" t="str">
        <f t="shared" si="1"/>
        <v/>
      </c>
      <c r="H52" s="304" t="str">
        <f t="shared" si="2"/>
        <v/>
      </c>
      <c r="I52" s="305"/>
    </row>
    <row r="53" spans="1:9">
      <c r="A53" s="300">
        <v>51</v>
      </c>
      <c r="B53" s="301">
        <v>43821</v>
      </c>
      <c r="C53" s="302">
        <v>236.244902</v>
      </c>
      <c r="D53" s="303">
        <v>154.57471549703288</v>
      </c>
      <c r="E53" s="302">
        <f t="shared" si="0"/>
        <v>154.57471549703288</v>
      </c>
      <c r="F53" s="311"/>
      <c r="G53" s="208" t="str">
        <f t="shared" si="1"/>
        <v/>
      </c>
      <c r="H53" s="304" t="str">
        <f t="shared" si="2"/>
        <v/>
      </c>
      <c r="I53" s="305"/>
    </row>
    <row r="54" spans="1:9">
      <c r="A54" s="300">
        <v>52</v>
      </c>
      <c r="B54" s="301">
        <v>43822</v>
      </c>
      <c r="C54" s="302">
        <v>210.09326799999999</v>
      </c>
      <c r="D54" s="303">
        <v>154.57471549703288</v>
      </c>
      <c r="E54" s="302">
        <f t="shared" si="0"/>
        <v>154.57471549703288</v>
      </c>
      <c r="F54" s="311"/>
      <c r="G54" s="208" t="str">
        <f t="shared" si="1"/>
        <v/>
      </c>
      <c r="H54" s="304" t="str">
        <f t="shared" si="2"/>
        <v/>
      </c>
      <c r="I54" s="305"/>
    </row>
    <row r="55" spans="1:9">
      <c r="A55" s="300">
        <v>53</v>
      </c>
      <c r="B55" s="301">
        <v>43823</v>
      </c>
      <c r="C55" s="302">
        <v>119.56407</v>
      </c>
      <c r="D55" s="303">
        <v>154.57471549703288</v>
      </c>
      <c r="E55" s="302">
        <f t="shared" si="0"/>
        <v>119.56407</v>
      </c>
      <c r="F55" s="311"/>
      <c r="G55" s="208" t="str">
        <f t="shared" si="1"/>
        <v/>
      </c>
      <c r="H55" s="304" t="str">
        <f t="shared" si="2"/>
        <v/>
      </c>
      <c r="I55" s="305"/>
    </row>
    <row r="56" spans="1:9">
      <c r="A56" s="300">
        <v>54</v>
      </c>
      <c r="B56" s="301">
        <v>43824</v>
      </c>
      <c r="C56" s="302">
        <v>87.977371000000005</v>
      </c>
      <c r="D56" s="303">
        <v>154.57471549703288</v>
      </c>
      <c r="E56" s="302">
        <f t="shared" si="0"/>
        <v>87.977371000000005</v>
      </c>
      <c r="F56" s="311"/>
      <c r="G56" s="208" t="str">
        <f t="shared" si="1"/>
        <v/>
      </c>
      <c r="H56" s="304" t="str">
        <f t="shared" si="2"/>
        <v/>
      </c>
      <c r="I56" s="305"/>
    </row>
    <row r="57" spans="1:9">
      <c r="A57" s="300">
        <v>55</v>
      </c>
      <c r="B57" s="301">
        <v>43825</v>
      </c>
      <c r="C57" s="302">
        <v>112.29524400000001</v>
      </c>
      <c r="D57" s="303">
        <v>154.57471549703288</v>
      </c>
      <c r="E57" s="302">
        <f t="shared" si="0"/>
        <v>112.29524400000001</v>
      </c>
      <c r="F57" s="311"/>
      <c r="G57" s="208" t="str">
        <f t="shared" si="1"/>
        <v/>
      </c>
      <c r="H57" s="304" t="str">
        <f t="shared" si="2"/>
        <v/>
      </c>
      <c r="I57" s="305"/>
    </row>
    <row r="58" spans="1:9">
      <c r="A58" s="300">
        <v>56</v>
      </c>
      <c r="B58" s="301">
        <v>43826</v>
      </c>
      <c r="C58" s="302">
        <v>68.835712999999998</v>
      </c>
      <c r="D58" s="303">
        <v>154.57471549703288</v>
      </c>
      <c r="E58" s="302">
        <f t="shared" si="0"/>
        <v>68.835712999999998</v>
      </c>
      <c r="F58" s="311"/>
      <c r="G58" s="208" t="str">
        <f t="shared" si="1"/>
        <v/>
      </c>
      <c r="H58" s="304" t="str">
        <f t="shared" si="2"/>
        <v/>
      </c>
      <c r="I58" s="305"/>
    </row>
    <row r="59" spans="1:9">
      <c r="A59" s="300">
        <v>57</v>
      </c>
      <c r="B59" s="301">
        <v>43827</v>
      </c>
      <c r="C59" s="302">
        <v>58.400758000000003</v>
      </c>
      <c r="D59" s="303">
        <v>154.57471549703288</v>
      </c>
      <c r="E59" s="302">
        <f t="shared" si="0"/>
        <v>58.400758000000003</v>
      </c>
      <c r="F59" s="311"/>
      <c r="G59" s="208" t="str">
        <f t="shared" si="1"/>
        <v/>
      </c>
      <c r="H59" s="304" t="str">
        <f t="shared" si="2"/>
        <v/>
      </c>
      <c r="I59" s="305"/>
    </row>
    <row r="60" spans="1:9">
      <c r="A60" s="300">
        <v>58</v>
      </c>
      <c r="B60" s="301">
        <v>43828</v>
      </c>
      <c r="C60" s="302">
        <v>51.101322000000003</v>
      </c>
      <c r="D60" s="303">
        <v>154.57471549703288</v>
      </c>
      <c r="E60" s="302">
        <f t="shared" si="0"/>
        <v>51.101322000000003</v>
      </c>
      <c r="F60" s="311"/>
      <c r="G60" s="208" t="str">
        <f t="shared" si="1"/>
        <v/>
      </c>
      <c r="H60" s="304" t="str">
        <f t="shared" si="2"/>
        <v/>
      </c>
      <c r="I60" s="305"/>
    </row>
    <row r="61" spans="1:9">
      <c r="A61" s="300">
        <v>59</v>
      </c>
      <c r="B61" s="301">
        <v>43829</v>
      </c>
      <c r="C61" s="302">
        <v>48.095516000000003</v>
      </c>
      <c r="D61" s="303">
        <v>154.57471549703288</v>
      </c>
      <c r="E61" s="302">
        <f t="shared" si="0"/>
        <v>48.095516000000003</v>
      </c>
      <c r="F61" s="311"/>
      <c r="G61" s="208" t="str">
        <f t="shared" si="1"/>
        <v/>
      </c>
      <c r="H61" s="304" t="str">
        <f t="shared" si="2"/>
        <v/>
      </c>
      <c r="I61" s="305"/>
    </row>
    <row r="62" spans="1:9">
      <c r="A62" s="300">
        <v>60</v>
      </c>
      <c r="B62" s="301">
        <v>43830</v>
      </c>
      <c r="C62" s="302">
        <v>41.016286999999998</v>
      </c>
      <c r="D62" s="303">
        <v>154.57471549703288</v>
      </c>
      <c r="E62" s="302">
        <f t="shared" si="0"/>
        <v>41.016286999999998</v>
      </c>
      <c r="F62" s="311"/>
      <c r="G62" s="208" t="str">
        <f t="shared" si="1"/>
        <v/>
      </c>
      <c r="H62" s="304" t="str">
        <f t="shared" si="2"/>
        <v/>
      </c>
      <c r="I62" s="305"/>
    </row>
    <row r="63" spans="1:9">
      <c r="A63" s="300">
        <v>61</v>
      </c>
      <c r="B63" s="301">
        <v>43831</v>
      </c>
      <c r="C63" s="302">
        <v>22.725347000000003</v>
      </c>
      <c r="D63" s="303">
        <v>190.34769104719351</v>
      </c>
      <c r="E63" s="302">
        <f t="shared" si="0"/>
        <v>22.725347000000003</v>
      </c>
      <c r="F63" s="311"/>
      <c r="G63" s="208" t="str">
        <f t="shared" si="1"/>
        <v/>
      </c>
      <c r="H63" s="304" t="str">
        <f t="shared" si="2"/>
        <v/>
      </c>
      <c r="I63" s="305"/>
    </row>
    <row r="64" spans="1:9">
      <c r="A64" s="300">
        <v>62</v>
      </c>
      <c r="B64" s="301">
        <v>43832</v>
      </c>
      <c r="C64" s="302">
        <v>76.359752999999998</v>
      </c>
      <c r="D64" s="303">
        <v>190.34769104719351</v>
      </c>
      <c r="E64" s="302">
        <f t="shared" si="0"/>
        <v>76.359752999999998</v>
      </c>
      <c r="F64" s="311"/>
      <c r="G64" s="208" t="str">
        <f t="shared" si="1"/>
        <v/>
      </c>
      <c r="H64" s="304" t="str">
        <f t="shared" si="2"/>
        <v/>
      </c>
      <c r="I64" s="305"/>
    </row>
    <row r="65" spans="1:9">
      <c r="A65" s="300">
        <v>63</v>
      </c>
      <c r="B65" s="301">
        <v>43833</v>
      </c>
      <c r="C65" s="302">
        <v>82.357483999999999</v>
      </c>
      <c r="D65" s="303">
        <v>190.34769104719351</v>
      </c>
      <c r="E65" s="302">
        <f t="shared" si="0"/>
        <v>82.357483999999999</v>
      </c>
      <c r="F65" s="311"/>
      <c r="G65" s="208" t="str">
        <f t="shared" si="1"/>
        <v/>
      </c>
      <c r="H65" s="304" t="str">
        <f t="shared" si="2"/>
        <v/>
      </c>
      <c r="I65" s="305"/>
    </row>
    <row r="66" spans="1:9">
      <c r="A66" s="300">
        <v>64</v>
      </c>
      <c r="B66" s="301">
        <v>43834</v>
      </c>
      <c r="C66" s="302">
        <v>122.930384</v>
      </c>
      <c r="D66" s="303">
        <v>190.34769104719351</v>
      </c>
      <c r="E66" s="302">
        <f t="shared" si="0"/>
        <v>122.930384</v>
      </c>
      <c r="F66" s="311"/>
      <c r="G66" s="208" t="str">
        <f t="shared" si="1"/>
        <v/>
      </c>
      <c r="H66" s="304" t="str">
        <f t="shared" si="2"/>
        <v/>
      </c>
      <c r="I66" s="305"/>
    </row>
    <row r="67" spans="1:9">
      <c r="A67" s="300">
        <v>65</v>
      </c>
      <c r="B67" s="301">
        <v>43835</v>
      </c>
      <c r="C67" s="302">
        <v>58.951141999999997</v>
      </c>
      <c r="D67" s="303">
        <v>190.34769104719351</v>
      </c>
      <c r="E67" s="302">
        <f t="shared" ref="E67:E130" si="3">IF(C67&gt;D67,D67,C67)</f>
        <v>58.951141999999997</v>
      </c>
      <c r="F67" s="311"/>
      <c r="G67" s="208" t="str">
        <f t="shared" ref="G67:G130" si="4">IF(DAY(B67)=15,IF(MONTH(B67)=1,"E",IF(MONTH(B67)=2,"F",IF(MONTH(B67)=3,"M",IF(MONTH(B67)=4,"A",IF(MONTH(B67)=5,"M",IF(MONTH(B67)=6,"J",IF(MONTH(B67)=7,"J",IF(MONTH(B67)=8,"A",IF(MONTH(B67)=9,"S",IF(MONTH(B67)=10,"O",IF(MONTH(B67)=11,"N",IF(MONTH(B67)=12,"D","")))))))))))),"")</f>
        <v/>
      </c>
      <c r="H67" s="304" t="str">
        <f t="shared" ref="H67:H130" si="5">IF(DAY($B67)=15,TEXT(D67,"#,0"),"")</f>
        <v/>
      </c>
      <c r="I67" s="305"/>
    </row>
    <row r="68" spans="1:9">
      <c r="A68" s="300">
        <v>66</v>
      </c>
      <c r="B68" s="301">
        <v>43836</v>
      </c>
      <c r="C68" s="302">
        <v>46.909647</v>
      </c>
      <c r="D68" s="303">
        <v>190.34769104719351</v>
      </c>
      <c r="E68" s="302">
        <f t="shared" si="3"/>
        <v>46.909647</v>
      </c>
      <c r="F68" s="311"/>
      <c r="G68" s="208" t="str">
        <f t="shared" si="4"/>
        <v/>
      </c>
      <c r="H68" s="304" t="str">
        <f t="shared" si="5"/>
        <v/>
      </c>
      <c r="I68" s="305"/>
    </row>
    <row r="69" spans="1:9">
      <c r="A69" s="300">
        <v>67</v>
      </c>
      <c r="B69" s="301">
        <v>43837</v>
      </c>
      <c r="C69" s="302">
        <v>51.860508000000003</v>
      </c>
      <c r="D69" s="303">
        <v>190.34769104719351</v>
      </c>
      <c r="E69" s="302">
        <f t="shared" si="3"/>
        <v>51.860508000000003</v>
      </c>
      <c r="F69" s="311"/>
      <c r="G69" s="208" t="str">
        <f t="shared" si="4"/>
        <v/>
      </c>
      <c r="H69" s="304" t="str">
        <f t="shared" si="5"/>
        <v/>
      </c>
      <c r="I69" s="305"/>
    </row>
    <row r="70" spans="1:9">
      <c r="A70" s="300">
        <v>68</v>
      </c>
      <c r="B70" s="301">
        <v>43838</v>
      </c>
      <c r="C70" s="302">
        <v>55.688524000000001</v>
      </c>
      <c r="D70" s="303">
        <v>190.34769104719351</v>
      </c>
      <c r="E70" s="302">
        <f t="shared" si="3"/>
        <v>55.688524000000001</v>
      </c>
      <c r="F70" s="311"/>
      <c r="G70" s="208" t="str">
        <f t="shared" si="4"/>
        <v/>
      </c>
      <c r="H70" s="304" t="str">
        <f t="shared" si="5"/>
        <v/>
      </c>
      <c r="I70" s="305"/>
    </row>
    <row r="71" spans="1:9">
      <c r="A71" s="300">
        <v>69</v>
      </c>
      <c r="B71" s="301">
        <v>43839</v>
      </c>
      <c r="C71" s="302">
        <v>129.95991000000001</v>
      </c>
      <c r="D71" s="303">
        <v>190.34769104719351</v>
      </c>
      <c r="E71" s="302">
        <f t="shared" si="3"/>
        <v>129.95991000000001</v>
      </c>
      <c r="F71" s="311"/>
      <c r="G71" s="208" t="str">
        <f t="shared" si="4"/>
        <v/>
      </c>
      <c r="H71" s="304" t="str">
        <f t="shared" si="5"/>
        <v/>
      </c>
      <c r="I71" s="305"/>
    </row>
    <row r="72" spans="1:9">
      <c r="A72" s="300">
        <v>70</v>
      </c>
      <c r="B72" s="301">
        <v>43840</v>
      </c>
      <c r="C72" s="302">
        <v>167.80186499999999</v>
      </c>
      <c r="D72" s="303">
        <v>190.34769104719351</v>
      </c>
      <c r="E72" s="302">
        <f t="shared" si="3"/>
        <v>167.80186499999999</v>
      </c>
      <c r="F72" s="311"/>
      <c r="G72" s="208" t="str">
        <f t="shared" si="4"/>
        <v/>
      </c>
      <c r="H72" s="304" t="str">
        <f t="shared" si="5"/>
        <v/>
      </c>
      <c r="I72" s="305"/>
    </row>
    <row r="73" spans="1:9">
      <c r="A73" s="300">
        <v>71</v>
      </c>
      <c r="B73" s="301">
        <v>43841</v>
      </c>
      <c r="C73" s="302">
        <v>74.824380000000005</v>
      </c>
      <c r="D73" s="303">
        <v>190.34769104719351</v>
      </c>
      <c r="E73" s="302">
        <f t="shared" si="3"/>
        <v>74.824380000000005</v>
      </c>
      <c r="F73" s="311"/>
      <c r="G73" s="208" t="str">
        <f t="shared" si="4"/>
        <v/>
      </c>
      <c r="H73" s="304" t="str">
        <f t="shared" si="5"/>
        <v/>
      </c>
      <c r="I73" s="305"/>
    </row>
    <row r="74" spans="1:9">
      <c r="A74" s="300">
        <v>72</v>
      </c>
      <c r="B74" s="301">
        <v>43842</v>
      </c>
      <c r="C74" s="302">
        <v>55.224713000000001</v>
      </c>
      <c r="D74" s="303">
        <v>190.34769104719351</v>
      </c>
      <c r="E74" s="302">
        <f t="shared" si="3"/>
        <v>55.224713000000001</v>
      </c>
      <c r="F74" s="311"/>
      <c r="G74" s="208" t="str">
        <f t="shared" si="4"/>
        <v/>
      </c>
      <c r="H74" s="304" t="str">
        <f t="shared" si="5"/>
        <v/>
      </c>
      <c r="I74" s="305"/>
    </row>
    <row r="75" spans="1:9">
      <c r="A75" s="300">
        <v>73</v>
      </c>
      <c r="B75" s="301">
        <v>43843</v>
      </c>
      <c r="C75" s="302">
        <v>124.76872900000001</v>
      </c>
      <c r="D75" s="303">
        <v>190.34769104719351</v>
      </c>
      <c r="E75" s="302">
        <f t="shared" si="3"/>
        <v>124.76872900000001</v>
      </c>
      <c r="F75" s="311"/>
      <c r="G75" s="208" t="str">
        <f t="shared" si="4"/>
        <v/>
      </c>
      <c r="H75" s="304" t="str">
        <f t="shared" si="5"/>
        <v/>
      </c>
      <c r="I75" s="305"/>
    </row>
    <row r="76" spans="1:9">
      <c r="A76" s="300">
        <v>74</v>
      </c>
      <c r="B76" s="301">
        <v>43844</v>
      </c>
      <c r="C76" s="302">
        <v>189.80972200000002</v>
      </c>
      <c r="D76" s="303">
        <v>190.34769104719351</v>
      </c>
      <c r="E76" s="302">
        <f t="shared" si="3"/>
        <v>189.80972200000002</v>
      </c>
      <c r="F76" s="311"/>
      <c r="G76" s="208" t="str">
        <f t="shared" si="4"/>
        <v/>
      </c>
      <c r="H76" s="304" t="str">
        <f t="shared" si="5"/>
        <v/>
      </c>
      <c r="I76" s="305"/>
    </row>
    <row r="77" spans="1:9">
      <c r="A77" s="300">
        <v>75</v>
      </c>
      <c r="B77" s="301">
        <v>43845</v>
      </c>
      <c r="C77" s="302">
        <v>191.274269</v>
      </c>
      <c r="D77" s="303">
        <v>190.34769104719351</v>
      </c>
      <c r="E77" s="302">
        <f t="shared" si="3"/>
        <v>190.34769104719351</v>
      </c>
      <c r="F77" s="311"/>
      <c r="G77" s="208" t="str">
        <f t="shared" si="4"/>
        <v>E</v>
      </c>
      <c r="H77" s="304" t="str">
        <f t="shared" si="5"/>
        <v>190,3</v>
      </c>
      <c r="I77" s="305"/>
    </row>
    <row r="78" spans="1:9">
      <c r="A78" s="300">
        <v>76</v>
      </c>
      <c r="B78" s="301">
        <v>43846</v>
      </c>
      <c r="C78" s="302">
        <v>208.316542</v>
      </c>
      <c r="D78" s="303">
        <v>190.34769104719351</v>
      </c>
      <c r="E78" s="302">
        <f t="shared" si="3"/>
        <v>190.34769104719351</v>
      </c>
      <c r="F78" s="311"/>
      <c r="G78" s="208" t="str">
        <f t="shared" si="4"/>
        <v/>
      </c>
      <c r="H78" s="304" t="str">
        <f t="shared" si="5"/>
        <v/>
      </c>
      <c r="I78" s="305"/>
    </row>
    <row r="79" spans="1:9">
      <c r="A79" s="300">
        <v>77</v>
      </c>
      <c r="B79" s="301">
        <v>43847</v>
      </c>
      <c r="C79" s="302">
        <v>204.69009899999998</v>
      </c>
      <c r="D79" s="303">
        <v>190.34769104719351</v>
      </c>
      <c r="E79" s="302">
        <f t="shared" si="3"/>
        <v>190.34769104719351</v>
      </c>
      <c r="F79" s="311"/>
      <c r="G79" s="208" t="str">
        <f t="shared" si="4"/>
        <v/>
      </c>
      <c r="H79" s="304" t="str">
        <f t="shared" si="5"/>
        <v/>
      </c>
      <c r="I79" s="305"/>
    </row>
    <row r="80" spans="1:9">
      <c r="A80" s="300">
        <v>78</v>
      </c>
      <c r="B80" s="301">
        <v>43848</v>
      </c>
      <c r="C80" s="302">
        <v>192.59486900000002</v>
      </c>
      <c r="D80" s="303">
        <v>190.34769104719351</v>
      </c>
      <c r="E80" s="302">
        <f t="shared" si="3"/>
        <v>190.34769104719351</v>
      </c>
      <c r="F80" s="311"/>
      <c r="G80" s="208" t="str">
        <f t="shared" si="4"/>
        <v/>
      </c>
      <c r="H80" s="304" t="str">
        <f t="shared" si="5"/>
        <v/>
      </c>
      <c r="I80" s="305"/>
    </row>
    <row r="81" spans="1:9">
      <c r="A81" s="300">
        <v>79</v>
      </c>
      <c r="B81" s="301">
        <v>43849</v>
      </c>
      <c r="C81" s="302">
        <v>325.860681</v>
      </c>
      <c r="D81" s="303">
        <v>190.34769104719351</v>
      </c>
      <c r="E81" s="302">
        <f t="shared" si="3"/>
        <v>190.34769104719351</v>
      </c>
      <c r="F81" s="311"/>
      <c r="G81" s="208" t="str">
        <f t="shared" si="4"/>
        <v/>
      </c>
      <c r="H81" s="304" t="str">
        <f t="shared" si="5"/>
        <v/>
      </c>
      <c r="I81" s="305"/>
    </row>
    <row r="82" spans="1:9">
      <c r="A82" s="300">
        <v>80</v>
      </c>
      <c r="B82" s="301">
        <v>43850</v>
      </c>
      <c r="C82" s="302">
        <v>342.83825199999995</v>
      </c>
      <c r="D82" s="303">
        <v>190.34769104719351</v>
      </c>
      <c r="E82" s="302">
        <f t="shared" si="3"/>
        <v>190.34769104719351</v>
      </c>
      <c r="F82" s="311"/>
      <c r="G82" s="208" t="str">
        <f t="shared" si="4"/>
        <v/>
      </c>
      <c r="H82" s="304" t="str">
        <f t="shared" si="5"/>
        <v/>
      </c>
      <c r="I82" s="305"/>
    </row>
    <row r="83" spans="1:9">
      <c r="A83" s="300">
        <v>81</v>
      </c>
      <c r="B83" s="301">
        <v>43851</v>
      </c>
      <c r="C83" s="302">
        <v>275.09031400000003</v>
      </c>
      <c r="D83" s="303">
        <v>190.34769104719351</v>
      </c>
      <c r="E83" s="302">
        <f t="shared" si="3"/>
        <v>190.34769104719351</v>
      </c>
      <c r="F83" s="311"/>
      <c r="G83" s="208" t="str">
        <f t="shared" si="4"/>
        <v/>
      </c>
      <c r="H83" s="304" t="str">
        <f t="shared" si="5"/>
        <v/>
      </c>
      <c r="I83" s="305"/>
    </row>
    <row r="84" spans="1:9">
      <c r="A84" s="300">
        <v>82</v>
      </c>
      <c r="B84" s="301">
        <v>43852</v>
      </c>
      <c r="C84" s="302">
        <v>155.30303599999999</v>
      </c>
      <c r="D84" s="303">
        <v>190.34769104719351</v>
      </c>
      <c r="E84" s="302">
        <f t="shared" si="3"/>
        <v>155.30303599999999</v>
      </c>
      <c r="F84" s="311"/>
      <c r="G84" s="208" t="str">
        <f t="shared" si="4"/>
        <v/>
      </c>
      <c r="H84" s="304" t="str">
        <f t="shared" si="5"/>
        <v/>
      </c>
      <c r="I84" s="305"/>
    </row>
    <row r="85" spans="1:9">
      <c r="A85" s="300">
        <v>83</v>
      </c>
      <c r="B85" s="301">
        <v>43853</v>
      </c>
      <c r="C85" s="302">
        <v>78.354029000000011</v>
      </c>
      <c r="D85" s="303">
        <v>190.34769104719351</v>
      </c>
      <c r="E85" s="302">
        <f t="shared" si="3"/>
        <v>78.354029000000011</v>
      </c>
      <c r="F85" s="311"/>
      <c r="G85" s="208" t="str">
        <f t="shared" si="4"/>
        <v/>
      </c>
      <c r="H85" s="304" t="str">
        <f t="shared" si="5"/>
        <v/>
      </c>
      <c r="I85" s="305"/>
    </row>
    <row r="86" spans="1:9">
      <c r="A86" s="300">
        <v>84</v>
      </c>
      <c r="B86" s="301">
        <v>43854</v>
      </c>
      <c r="C86" s="302">
        <v>59.712023000000002</v>
      </c>
      <c r="D86" s="303">
        <v>190.34769104719351</v>
      </c>
      <c r="E86" s="302">
        <f t="shared" si="3"/>
        <v>59.712023000000002</v>
      </c>
      <c r="F86" s="311"/>
      <c r="G86" s="208" t="str">
        <f t="shared" si="4"/>
        <v/>
      </c>
      <c r="H86" s="304" t="str">
        <f t="shared" si="5"/>
        <v/>
      </c>
      <c r="I86" s="305"/>
    </row>
    <row r="87" spans="1:9">
      <c r="A87" s="300">
        <v>85</v>
      </c>
      <c r="B87" s="301">
        <v>43855</v>
      </c>
      <c r="C87" s="302">
        <v>45.160391000000004</v>
      </c>
      <c r="D87" s="303">
        <v>190.34769104719351</v>
      </c>
      <c r="E87" s="302">
        <f t="shared" si="3"/>
        <v>45.160391000000004</v>
      </c>
      <c r="F87" s="311"/>
      <c r="G87" s="208" t="str">
        <f t="shared" si="4"/>
        <v/>
      </c>
      <c r="H87" s="304" t="str">
        <f t="shared" si="5"/>
        <v/>
      </c>
      <c r="I87" s="305"/>
    </row>
    <row r="88" spans="1:9">
      <c r="A88" s="300">
        <v>86</v>
      </c>
      <c r="B88" s="301">
        <v>43856</v>
      </c>
      <c r="C88" s="302">
        <v>128.33123800000001</v>
      </c>
      <c r="D88" s="303">
        <v>190.34769104719351</v>
      </c>
      <c r="E88" s="302">
        <f t="shared" si="3"/>
        <v>128.33123800000001</v>
      </c>
      <c r="F88" s="311"/>
      <c r="G88" s="208" t="str">
        <f t="shared" si="4"/>
        <v/>
      </c>
      <c r="H88" s="304" t="str">
        <f t="shared" si="5"/>
        <v/>
      </c>
      <c r="I88" s="305"/>
    </row>
    <row r="89" spans="1:9">
      <c r="A89" s="300">
        <v>87</v>
      </c>
      <c r="B89" s="301">
        <v>43857</v>
      </c>
      <c r="C89" s="302">
        <v>259.00190400000002</v>
      </c>
      <c r="D89" s="303">
        <v>190.34769104719351</v>
      </c>
      <c r="E89" s="302">
        <f t="shared" si="3"/>
        <v>190.34769104719351</v>
      </c>
      <c r="F89" s="311"/>
      <c r="G89" s="208" t="str">
        <f t="shared" si="4"/>
        <v/>
      </c>
      <c r="H89" s="304" t="str">
        <f t="shared" si="5"/>
        <v/>
      </c>
      <c r="I89" s="305"/>
    </row>
    <row r="90" spans="1:9">
      <c r="A90" s="300">
        <v>88</v>
      </c>
      <c r="B90" s="301">
        <v>43858</v>
      </c>
      <c r="C90" s="302">
        <v>219.239542</v>
      </c>
      <c r="D90" s="303">
        <v>190.34769104719351</v>
      </c>
      <c r="E90" s="302">
        <f t="shared" si="3"/>
        <v>190.34769104719351</v>
      </c>
      <c r="F90" s="311"/>
      <c r="G90" s="208" t="str">
        <f t="shared" si="4"/>
        <v/>
      </c>
      <c r="H90" s="304" t="str">
        <f t="shared" si="5"/>
        <v/>
      </c>
      <c r="I90" s="305"/>
    </row>
    <row r="91" spans="1:9">
      <c r="A91" s="300">
        <v>89</v>
      </c>
      <c r="B91" s="301">
        <v>43859</v>
      </c>
      <c r="C91" s="302">
        <v>204.78335799999996</v>
      </c>
      <c r="D91" s="303">
        <v>190.34769104719351</v>
      </c>
      <c r="E91" s="302">
        <f t="shared" si="3"/>
        <v>190.34769104719351</v>
      </c>
      <c r="F91" s="311"/>
      <c r="G91" s="208" t="str">
        <f t="shared" si="4"/>
        <v/>
      </c>
      <c r="H91" s="304" t="str">
        <f t="shared" si="5"/>
        <v/>
      </c>
      <c r="I91" s="305"/>
    </row>
    <row r="92" spans="1:9">
      <c r="A92" s="300">
        <v>90</v>
      </c>
      <c r="B92" s="301">
        <v>43860</v>
      </c>
      <c r="C92" s="302">
        <v>225.79374099999998</v>
      </c>
      <c r="D92" s="303">
        <v>190.34769104719351</v>
      </c>
      <c r="E92" s="302">
        <f t="shared" si="3"/>
        <v>190.34769104719351</v>
      </c>
      <c r="F92" s="311"/>
      <c r="G92" s="208" t="str">
        <f t="shared" si="4"/>
        <v/>
      </c>
      <c r="H92" s="304" t="str">
        <f t="shared" si="5"/>
        <v/>
      </c>
      <c r="I92" s="305"/>
    </row>
    <row r="93" spans="1:9">
      <c r="A93" s="300">
        <v>91</v>
      </c>
      <c r="B93" s="301">
        <v>43861</v>
      </c>
      <c r="C93" s="302">
        <v>191.00114499999998</v>
      </c>
      <c r="D93" s="303">
        <v>190.34769104719351</v>
      </c>
      <c r="E93" s="302">
        <f t="shared" si="3"/>
        <v>190.34769104719351</v>
      </c>
      <c r="F93" s="311"/>
      <c r="G93" s="208" t="str">
        <f t="shared" si="4"/>
        <v/>
      </c>
      <c r="H93" s="304" t="str">
        <f t="shared" si="5"/>
        <v/>
      </c>
      <c r="I93" s="305"/>
    </row>
    <row r="94" spans="1:9">
      <c r="A94" s="300">
        <v>92</v>
      </c>
      <c r="B94" s="301">
        <v>43862</v>
      </c>
      <c r="C94" s="302">
        <v>230.90565800000002</v>
      </c>
      <c r="D94" s="303">
        <v>199.30530006395392</v>
      </c>
      <c r="E94" s="302">
        <f t="shared" si="3"/>
        <v>199.30530006395392</v>
      </c>
      <c r="F94" s="305">
        <f>YEAR(B124)</f>
        <v>2020</v>
      </c>
      <c r="G94" s="208" t="str">
        <f t="shared" si="4"/>
        <v/>
      </c>
      <c r="H94" s="304" t="str">
        <f t="shared" si="5"/>
        <v/>
      </c>
      <c r="I94" s="305"/>
    </row>
    <row r="95" spans="1:9">
      <c r="A95" s="300">
        <v>93</v>
      </c>
      <c r="B95" s="301">
        <v>43863</v>
      </c>
      <c r="C95" s="302">
        <v>162.83007599999999</v>
      </c>
      <c r="D95" s="303">
        <v>199.30530006395392</v>
      </c>
      <c r="E95" s="302">
        <f t="shared" si="3"/>
        <v>162.83007599999999</v>
      </c>
      <c r="F95" s="311"/>
      <c r="G95" s="208" t="str">
        <f t="shared" si="4"/>
        <v/>
      </c>
      <c r="H95" s="304" t="str">
        <f t="shared" si="5"/>
        <v/>
      </c>
      <c r="I95" s="305"/>
    </row>
    <row r="96" spans="1:9">
      <c r="A96" s="300">
        <v>94</v>
      </c>
      <c r="B96" s="301">
        <v>43864</v>
      </c>
      <c r="C96" s="302">
        <v>120.832114</v>
      </c>
      <c r="D96" s="303">
        <v>199.30530006395392</v>
      </c>
      <c r="E96" s="302">
        <f t="shared" si="3"/>
        <v>120.832114</v>
      </c>
      <c r="F96" s="311"/>
      <c r="G96" s="208" t="str">
        <f t="shared" si="4"/>
        <v/>
      </c>
      <c r="H96" s="304" t="str">
        <f t="shared" si="5"/>
        <v/>
      </c>
      <c r="I96" s="305"/>
    </row>
    <row r="97" spans="1:9">
      <c r="A97" s="300">
        <v>95</v>
      </c>
      <c r="B97" s="301">
        <v>43865</v>
      </c>
      <c r="C97" s="302">
        <v>186.04649499999999</v>
      </c>
      <c r="D97" s="303">
        <v>199.30530006395392</v>
      </c>
      <c r="E97" s="302">
        <f t="shared" si="3"/>
        <v>186.04649499999999</v>
      </c>
      <c r="F97" s="311"/>
      <c r="G97" s="208" t="str">
        <f t="shared" si="4"/>
        <v/>
      </c>
      <c r="H97" s="304" t="str">
        <f t="shared" si="5"/>
        <v/>
      </c>
      <c r="I97" s="305"/>
    </row>
    <row r="98" spans="1:9">
      <c r="A98" s="300">
        <v>96</v>
      </c>
      <c r="B98" s="301">
        <v>43866</v>
      </c>
      <c r="C98" s="302">
        <v>161.87779900000001</v>
      </c>
      <c r="D98" s="303">
        <v>199.30530006395392</v>
      </c>
      <c r="E98" s="302">
        <f t="shared" si="3"/>
        <v>161.87779900000001</v>
      </c>
      <c r="F98" s="311"/>
      <c r="G98" s="208" t="str">
        <f t="shared" si="4"/>
        <v/>
      </c>
      <c r="H98" s="304" t="str">
        <f t="shared" si="5"/>
        <v/>
      </c>
      <c r="I98" s="305"/>
    </row>
    <row r="99" spans="1:9">
      <c r="A99" s="300">
        <v>97</v>
      </c>
      <c r="B99" s="301">
        <v>43867</v>
      </c>
      <c r="C99" s="302">
        <v>139.702156</v>
      </c>
      <c r="D99" s="303">
        <v>199.30530006395392</v>
      </c>
      <c r="E99" s="302">
        <f t="shared" si="3"/>
        <v>139.702156</v>
      </c>
      <c r="F99" s="311"/>
      <c r="G99" s="208" t="str">
        <f t="shared" si="4"/>
        <v/>
      </c>
      <c r="H99" s="304" t="str">
        <f t="shared" si="5"/>
        <v/>
      </c>
      <c r="I99" s="305"/>
    </row>
    <row r="100" spans="1:9">
      <c r="A100" s="300">
        <v>98</v>
      </c>
      <c r="B100" s="301">
        <v>43868</v>
      </c>
      <c r="C100" s="302">
        <v>94.027539999999988</v>
      </c>
      <c r="D100" s="303">
        <v>199.30530006395392</v>
      </c>
      <c r="E100" s="302">
        <f t="shared" si="3"/>
        <v>94.027539999999988</v>
      </c>
      <c r="F100" s="311"/>
      <c r="G100" s="208" t="str">
        <f t="shared" si="4"/>
        <v/>
      </c>
      <c r="H100" s="304" t="str">
        <f t="shared" si="5"/>
        <v/>
      </c>
      <c r="I100" s="305"/>
    </row>
    <row r="101" spans="1:9">
      <c r="A101" s="300">
        <v>99</v>
      </c>
      <c r="B101" s="301">
        <v>43869</v>
      </c>
      <c r="C101" s="302">
        <v>67.131011000000001</v>
      </c>
      <c r="D101" s="303">
        <v>199.30530006395392</v>
      </c>
      <c r="E101" s="302">
        <f t="shared" si="3"/>
        <v>67.131011000000001</v>
      </c>
      <c r="F101" s="311"/>
      <c r="G101" s="208" t="str">
        <f t="shared" si="4"/>
        <v/>
      </c>
      <c r="H101" s="304" t="str">
        <f t="shared" si="5"/>
        <v/>
      </c>
      <c r="I101" s="305"/>
    </row>
    <row r="102" spans="1:9">
      <c r="A102" s="300">
        <v>100</v>
      </c>
      <c r="B102" s="301">
        <v>43870</v>
      </c>
      <c r="C102" s="302">
        <v>161.85495800000001</v>
      </c>
      <c r="D102" s="303">
        <v>199.30530006395392</v>
      </c>
      <c r="E102" s="302">
        <f t="shared" si="3"/>
        <v>161.85495800000001</v>
      </c>
      <c r="F102" s="311"/>
      <c r="G102" s="208" t="str">
        <f t="shared" si="4"/>
        <v/>
      </c>
      <c r="H102" s="304" t="str">
        <f t="shared" si="5"/>
        <v/>
      </c>
      <c r="I102" s="305"/>
    </row>
    <row r="103" spans="1:9">
      <c r="A103" s="300">
        <v>101</v>
      </c>
      <c r="B103" s="301">
        <v>43871</v>
      </c>
      <c r="C103" s="302">
        <v>218.58601000000002</v>
      </c>
      <c r="D103" s="303">
        <v>199.30530006395392</v>
      </c>
      <c r="E103" s="302">
        <f t="shared" si="3"/>
        <v>199.30530006395392</v>
      </c>
      <c r="F103" s="311"/>
      <c r="G103" s="208" t="str">
        <f t="shared" si="4"/>
        <v/>
      </c>
      <c r="H103" s="304" t="str">
        <f t="shared" si="5"/>
        <v/>
      </c>
      <c r="I103" s="305"/>
    </row>
    <row r="104" spans="1:9">
      <c r="A104" s="300">
        <v>102</v>
      </c>
      <c r="B104" s="301">
        <v>43872</v>
      </c>
      <c r="C104" s="302">
        <v>109.13270599999998</v>
      </c>
      <c r="D104" s="303">
        <v>199.30530006395392</v>
      </c>
      <c r="E104" s="302">
        <f t="shared" si="3"/>
        <v>109.13270599999998</v>
      </c>
      <c r="F104" s="311"/>
      <c r="G104" s="208" t="str">
        <f t="shared" si="4"/>
        <v/>
      </c>
      <c r="H104" s="304" t="str">
        <f t="shared" si="5"/>
        <v/>
      </c>
      <c r="I104" s="305"/>
    </row>
    <row r="105" spans="1:9">
      <c r="A105" s="300">
        <v>103</v>
      </c>
      <c r="B105" s="301">
        <v>43873</v>
      </c>
      <c r="C105" s="302">
        <v>41.696413</v>
      </c>
      <c r="D105" s="303">
        <v>199.30530006395392</v>
      </c>
      <c r="E105" s="302">
        <f t="shared" si="3"/>
        <v>41.696413</v>
      </c>
      <c r="F105" s="311"/>
      <c r="G105" s="208" t="str">
        <f t="shared" si="4"/>
        <v/>
      </c>
      <c r="H105" s="304" t="str">
        <f t="shared" si="5"/>
        <v/>
      </c>
      <c r="I105" s="305"/>
    </row>
    <row r="106" spans="1:9">
      <c r="A106" s="300">
        <v>104</v>
      </c>
      <c r="B106" s="301">
        <v>43874</v>
      </c>
      <c r="C106" s="302">
        <v>157.776815</v>
      </c>
      <c r="D106" s="303">
        <v>199.30530006395392</v>
      </c>
      <c r="E106" s="302">
        <f t="shared" si="3"/>
        <v>157.776815</v>
      </c>
      <c r="F106" s="311"/>
      <c r="G106" s="208" t="str">
        <f t="shared" si="4"/>
        <v/>
      </c>
      <c r="H106" s="304" t="str">
        <f t="shared" si="5"/>
        <v/>
      </c>
      <c r="I106" s="305"/>
    </row>
    <row r="107" spans="1:9">
      <c r="A107" s="300">
        <v>105</v>
      </c>
      <c r="B107" s="301">
        <v>43875</v>
      </c>
      <c r="C107" s="302">
        <v>66.234709000000009</v>
      </c>
      <c r="D107" s="303">
        <v>199.30530006395392</v>
      </c>
      <c r="E107" s="302">
        <f t="shared" si="3"/>
        <v>66.234709000000009</v>
      </c>
      <c r="F107" s="311"/>
      <c r="G107" s="208" t="str">
        <f t="shared" si="4"/>
        <v/>
      </c>
      <c r="H107" s="304" t="str">
        <f t="shared" si="5"/>
        <v/>
      </c>
      <c r="I107" s="305"/>
    </row>
    <row r="108" spans="1:9">
      <c r="A108" s="300">
        <v>106</v>
      </c>
      <c r="B108" s="301">
        <v>43876</v>
      </c>
      <c r="C108" s="302">
        <v>118.31930699999999</v>
      </c>
      <c r="D108" s="303">
        <v>199.30530006395392</v>
      </c>
      <c r="E108" s="302">
        <f t="shared" si="3"/>
        <v>118.31930699999999</v>
      </c>
      <c r="F108" s="311"/>
      <c r="G108" s="208" t="str">
        <f t="shared" si="4"/>
        <v>F</v>
      </c>
      <c r="H108" s="304" t="str">
        <f t="shared" si="5"/>
        <v>199,3</v>
      </c>
      <c r="I108" s="305"/>
    </row>
    <row r="109" spans="1:9">
      <c r="A109" s="300">
        <v>107</v>
      </c>
      <c r="B109" s="301">
        <v>43877</v>
      </c>
      <c r="C109" s="302">
        <v>183.91886199999999</v>
      </c>
      <c r="D109" s="303">
        <v>199.30530006395392</v>
      </c>
      <c r="E109" s="302">
        <f t="shared" si="3"/>
        <v>183.91886199999999</v>
      </c>
      <c r="F109" s="311"/>
      <c r="G109" s="208" t="str">
        <f t="shared" si="4"/>
        <v/>
      </c>
      <c r="H109" s="304" t="str">
        <f t="shared" si="5"/>
        <v/>
      </c>
      <c r="I109" s="305"/>
    </row>
    <row r="110" spans="1:9">
      <c r="A110" s="300">
        <v>108</v>
      </c>
      <c r="B110" s="301">
        <v>43878</v>
      </c>
      <c r="C110" s="302">
        <v>177.314727</v>
      </c>
      <c r="D110" s="303">
        <v>199.30530006395392</v>
      </c>
      <c r="E110" s="302">
        <f t="shared" si="3"/>
        <v>177.314727</v>
      </c>
      <c r="F110" s="311"/>
      <c r="G110" s="208" t="str">
        <f t="shared" si="4"/>
        <v/>
      </c>
      <c r="H110" s="304" t="str">
        <f t="shared" si="5"/>
        <v/>
      </c>
      <c r="I110" s="305"/>
    </row>
    <row r="111" spans="1:9">
      <c r="A111" s="300">
        <v>109</v>
      </c>
      <c r="B111" s="301">
        <v>43879</v>
      </c>
      <c r="C111" s="302">
        <v>108.73075800000001</v>
      </c>
      <c r="D111" s="303">
        <v>199.30530006395392</v>
      </c>
      <c r="E111" s="302">
        <f t="shared" si="3"/>
        <v>108.73075800000001</v>
      </c>
      <c r="F111" s="311"/>
      <c r="G111" s="208" t="str">
        <f t="shared" si="4"/>
        <v/>
      </c>
      <c r="H111" s="304" t="str">
        <f t="shared" si="5"/>
        <v/>
      </c>
      <c r="I111" s="305"/>
    </row>
    <row r="112" spans="1:9">
      <c r="A112" s="300">
        <v>110</v>
      </c>
      <c r="B112" s="301">
        <v>43880</v>
      </c>
      <c r="C112" s="302">
        <v>80.605675000000005</v>
      </c>
      <c r="D112" s="303">
        <v>199.30530006395392</v>
      </c>
      <c r="E112" s="302">
        <f t="shared" si="3"/>
        <v>80.605675000000005</v>
      </c>
      <c r="F112" s="311"/>
      <c r="G112" s="208" t="str">
        <f t="shared" si="4"/>
        <v/>
      </c>
      <c r="H112" s="304" t="str">
        <f t="shared" si="5"/>
        <v/>
      </c>
      <c r="I112" s="305"/>
    </row>
    <row r="113" spans="1:9">
      <c r="A113" s="300">
        <v>111</v>
      </c>
      <c r="B113" s="301">
        <v>43881</v>
      </c>
      <c r="C113" s="302">
        <v>96.188664000000003</v>
      </c>
      <c r="D113" s="303">
        <v>199.30530006395392</v>
      </c>
      <c r="E113" s="302">
        <f t="shared" si="3"/>
        <v>96.188664000000003</v>
      </c>
      <c r="F113" s="311"/>
      <c r="G113" s="208" t="str">
        <f t="shared" si="4"/>
        <v/>
      </c>
      <c r="H113" s="304" t="str">
        <f t="shared" si="5"/>
        <v/>
      </c>
      <c r="I113" s="305"/>
    </row>
    <row r="114" spans="1:9">
      <c r="A114" s="300">
        <v>112</v>
      </c>
      <c r="B114" s="301">
        <v>43882</v>
      </c>
      <c r="C114" s="302">
        <v>96.746811000000008</v>
      </c>
      <c r="D114" s="303">
        <v>199.30530006395392</v>
      </c>
      <c r="E114" s="302">
        <f t="shared" si="3"/>
        <v>96.746811000000008</v>
      </c>
      <c r="F114" s="311"/>
      <c r="G114" s="208" t="str">
        <f t="shared" si="4"/>
        <v/>
      </c>
      <c r="H114" s="304" t="str">
        <f t="shared" si="5"/>
        <v/>
      </c>
      <c r="I114" s="305"/>
    </row>
    <row r="115" spans="1:9">
      <c r="A115" s="300">
        <v>113</v>
      </c>
      <c r="B115" s="301">
        <v>43883</v>
      </c>
      <c r="C115" s="302">
        <v>54.389516999999998</v>
      </c>
      <c r="D115" s="303">
        <v>199.30530006395392</v>
      </c>
      <c r="E115" s="302">
        <f t="shared" si="3"/>
        <v>54.389516999999998</v>
      </c>
      <c r="F115" s="311"/>
      <c r="G115" s="208" t="str">
        <f t="shared" si="4"/>
        <v/>
      </c>
      <c r="H115" s="304" t="str">
        <f t="shared" si="5"/>
        <v/>
      </c>
      <c r="I115" s="305"/>
    </row>
    <row r="116" spans="1:9">
      <c r="A116" s="300">
        <v>114</v>
      </c>
      <c r="B116" s="301">
        <v>43884</v>
      </c>
      <c r="C116" s="302">
        <v>52.171697000000002</v>
      </c>
      <c r="D116" s="303">
        <v>199.30530006395392</v>
      </c>
      <c r="E116" s="302">
        <f t="shared" si="3"/>
        <v>52.171697000000002</v>
      </c>
      <c r="F116" s="311"/>
      <c r="G116" s="208" t="str">
        <f t="shared" si="4"/>
        <v/>
      </c>
      <c r="H116" s="304" t="str">
        <f t="shared" si="5"/>
        <v/>
      </c>
      <c r="I116" s="305"/>
    </row>
    <row r="117" spans="1:9">
      <c r="A117" s="300">
        <v>115</v>
      </c>
      <c r="B117" s="301">
        <v>43885</v>
      </c>
      <c r="C117" s="302">
        <v>67.420505999999989</v>
      </c>
      <c r="D117" s="303">
        <v>199.30530006395392</v>
      </c>
      <c r="E117" s="302">
        <f t="shared" si="3"/>
        <v>67.420505999999989</v>
      </c>
      <c r="F117" s="311"/>
      <c r="G117" s="208" t="str">
        <f t="shared" si="4"/>
        <v/>
      </c>
      <c r="H117" s="304" t="str">
        <f t="shared" si="5"/>
        <v/>
      </c>
      <c r="I117" s="305"/>
    </row>
    <row r="118" spans="1:9">
      <c r="A118" s="300">
        <v>116</v>
      </c>
      <c r="B118" s="301">
        <v>43886</v>
      </c>
      <c r="C118" s="302">
        <v>210.54205199999998</v>
      </c>
      <c r="D118" s="303">
        <v>199.30530006395392</v>
      </c>
      <c r="E118" s="302">
        <f t="shared" si="3"/>
        <v>199.30530006395392</v>
      </c>
      <c r="F118" s="311"/>
      <c r="G118" s="208" t="str">
        <f t="shared" si="4"/>
        <v/>
      </c>
      <c r="H118" s="304" t="str">
        <f t="shared" si="5"/>
        <v/>
      </c>
      <c r="I118" s="305"/>
    </row>
    <row r="119" spans="1:9">
      <c r="A119" s="300">
        <v>117</v>
      </c>
      <c r="B119" s="301">
        <v>43887</v>
      </c>
      <c r="C119" s="302">
        <v>235.18856599999998</v>
      </c>
      <c r="D119" s="303">
        <v>199.30530006395392</v>
      </c>
      <c r="E119" s="302">
        <f t="shared" si="3"/>
        <v>199.30530006395392</v>
      </c>
      <c r="F119" s="311"/>
      <c r="G119" s="208" t="str">
        <f t="shared" si="4"/>
        <v/>
      </c>
      <c r="H119" s="304" t="str">
        <f t="shared" si="5"/>
        <v/>
      </c>
      <c r="I119" s="305"/>
    </row>
    <row r="120" spans="1:9">
      <c r="A120" s="300">
        <v>118</v>
      </c>
      <c r="B120" s="301">
        <v>43888</v>
      </c>
      <c r="C120" s="302">
        <v>279.29949599999998</v>
      </c>
      <c r="D120" s="303">
        <v>199.30530006395392</v>
      </c>
      <c r="E120" s="302">
        <f t="shared" si="3"/>
        <v>199.30530006395392</v>
      </c>
      <c r="F120" s="311"/>
      <c r="G120" s="208" t="str">
        <f t="shared" si="4"/>
        <v/>
      </c>
      <c r="H120" s="304" t="str">
        <f t="shared" si="5"/>
        <v/>
      </c>
      <c r="I120" s="305"/>
    </row>
    <row r="121" spans="1:9">
      <c r="A121" s="300">
        <v>119</v>
      </c>
      <c r="B121" s="301">
        <v>43889</v>
      </c>
      <c r="C121" s="302">
        <v>169.36241700000002</v>
      </c>
      <c r="D121" s="303">
        <v>199.30530006395392</v>
      </c>
      <c r="E121" s="302">
        <f t="shared" si="3"/>
        <v>169.36241700000002</v>
      </c>
      <c r="F121" s="311"/>
      <c r="G121" s="208" t="str">
        <f t="shared" si="4"/>
        <v/>
      </c>
      <c r="H121" s="304" t="str">
        <f t="shared" si="5"/>
        <v/>
      </c>
      <c r="I121" s="305"/>
    </row>
    <row r="122" spans="1:9">
      <c r="A122" s="300">
        <v>120</v>
      </c>
      <c r="B122" s="301">
        <v>43890</v>
      </c>
      <c r="C122" s="302">
        <v>329.35033199999998</v>
      </c>
      <c r="D122" s="303">
        <v>199.30530006395392</v>
      </c>
      <c r="E122" s="302">
        <f t="shared" si="3"/>
        <v>199.30530006395392</v>
      </c>
      <c r="F122" s="311"/>
      <c r="G122" s="208" t="str">
        <f t="shared" si="4"/>
        <v/>
      </c>
      <c r="H122" s="304" t="str">
        <f t="shared" si="5"/>
        <v/>
      </c>
      <c r="I122" s="305"/>
    </row>
    <row r="123" spans="1:9">
      <c r="A123" s="300">
        <v>121</v>
      </c>
      <c r="B123" s="301">
        <v>43891</v>
      </c>
      <c r="C123" s="302">
        <v>356.06030500000003</v>
      </c>
      <c r="D123" s="303">
        <v>197.73887366862095</v>
      </c>
      <c r="E123" s="302">
        <f t="shared" si="3"/>
        <v>197.73887366862095</v>
      </c>
      <c r="F123" s="311"/>
      <c r="G123" s="208" t="str">
        <f t="shared" si="4"/>
        <v/>
      </c>
      <c r="H123" s="304" t="str">
        <f t="shared" si="5"/>
        <v/>
      </c>
      <c r="I123" s="305"/>
    </row>
    <row r="124" spans="1:9">
      <c r="A124" s="300">
        <v>122</v>
      </c>
      <c r="B124" s="301">
        <v>43892</v>
      </c>
      <c r="C124" s="302">
        <v>343.43933399999997</v>
      </c>
      <c r="D124" s="303">
        <v>191.36020032447189</v>
      </c>
      <c r="E124" s="302">
        <f t="shared" si="3"/>
        <v>191.36020032447189</v>
      </c>
      <c r="F124" s="311"/>
      <c r="G124" s="208" t="str">
        <f t="shared" si="4"/>
        <v/>
      </c>
      <c r="H124" s="304" t="str">
        <f t="shared" si="5"/>
        <v/>
      </c>
      <c r="I124" s="305"/>
    </row>
    <row r="125" spans="1:9">
      <c r="A125" s="300">
        <v>123</v>
      </c>
      <c r="B125" s="301">
        <v>43893</v>
      </c>
      <c r="C125" s="302">
        <v>343.36612700000001</v>
      </c>
      <c r="D125" s="303">
        <v>191.36020032447189</v>
      </c>
      <c r="E125" s="302">
        <f t="shared" si="3"/>
        <v>191.36020032447189</v>
      </c>
      <c r="F125" s="311"/>
      <c r="G125" s="208" t="str">
        <f t="shared" si="4"/>
        <v/>
      </c>
      <c r="H125" s="304" t="str">
        <f t="shared" si="5"/>
        <v/>
      </c>
      <c r="I125" s="305"/>
    </row>
    <row r="126" spans="1:9">
      <c r="A126" s="300">
        <v>124</v>
      </c>
      <c r="B126" s="301">
        <v>43894</v>
      </c>
      <c r="C126" s="302">
        <v>292.942429</v>
      </c>
      <c r="D126" s="303">
        <v>191.36020032447189</v>
      </c>
      <c r="E126" s="302">
        <f t="shared" si="3"/>
        <v>191.36020032447189</v>
      </c>
      <c r="F126" s="311"/>
      <c r="G126" s="208" t="str">
        <f t="shared" si="4"/>
        <v/>
      </c>
      <c r="H126" s="304" t="str">
        <f t="shared" si="5"/>
        <v/>
      </c>
      <c r="I126" s="305"/>
    </row>
    <row r="127" spans="1:9">
      <c r="A127" s="300">
        <v>125</v>
      </c>
      <c r="B127" s="301">
        <v>43895</v>
      </c>
      <c r="C127" s="302">
        <v>350.05911199999997</v>
      </c>
      <c r="D127" s="303">
        <v>191.36020032447189</v>
      </c>
      <c r="E127" s="302">
        <f t="shared" si="3"/>
        <v>191.36020032447189</v>
      </c>
      <c r="F127" s="311"/>
      <c r="G127" s="208" t="str">
        <f t="shared" si="4"/>
        <v/>
      </c>
      <c r="H127" s="304" t="str">
        <f t="shared" si="5"/>
        <v/>
      </c>
      <c r="I127" s="305"/>
    </row>
    <row r="128" spans="1:9">
      <c r="A128" s="300">
        <v>126</v>
      </c>
      <c r="B128" s="301">
        <v>43896</v>
      </c>
      <c r="C128" s="302">
        <v>353.81008299999996</v>
      </c>
      <c r="D128" s="303">
        <v>191.36020032447189</v>
      </c>
      <c r="E128" s="302">
        <f t="shared" si="3"/>
        <v>191.36020032447189</v>
      </c>
      <c r="F128" s="311"/>
      <c r="G128" s="208" t="str">
        <f t="shared" si="4"/>
        <v/>
      </c>
      <c r="H128" s="304" t="str">
        <f t="shared" si="5"/>
        <v/>
      </c>
      <c r="I128" s="305"/>
    </row>
    <row r="129" spans="1:9">
      <c r="A129" s="300">
        <v>127</v>
      </c>
      <c r="B129" s="301">
        <v>43897</v>
      </c>
      <c r="C129" s="302">
        <v>206.33933100000002</v>
      </c>
      <c r="D129" s="303">
        <v>191.36020032447189</v>
      </c>
      <c r="E129" s="302">
        <f t="shared" si="3"/>
        <v>191.36020032447189</v>
      </c>
      <c r="F129" s="311"/>
      <c r="G129" s="208" t="str">
        <f t="shared" si="4"/>
        <v/>
      </c>
      <c r="H129" s="304" t="str">
        <f t="shared" si="5"/>
        <v/>
      </c>
      <c r="I129" s="305"/>
    </row>
    <row r="130" spans="1:9">
      <c r="A130" s="300">
        <v>128</v>
      </c>
      <c r="B130" s="301">
        <v>43898</v>
      </c>
      <c r="C130" s="302">
        <v>172.75144299999999</v>
      </c>
      <c r="D130" s="303">
        <v>191.36020032447189</v>
      </c>
      <c r="E130" s="302">
        <f t="shared" si="3"/>
        <v>172.75144299999999</v>
      </c>
      <c r="F130" s="311"/>
      <c r="G130" s="208" t="str">
        <f t="shared" si="4"/>
        <v/>
      </c>
      <c r="H130" s="304" t="str">
        <f t="shared" si="5"/>
        <v/>
      </c>
      <c r="I130" s="305"/>
    </row>
    <row r="131" spans="1:9">
      <c r="A131" s="300">
        <v>129</v>
      </c>
      <c r="B131" s="301">
        <v>43899</v>
      </c>
      <c r="C131" s="302">
        <v>226.30976100000001</v>
      </c>
      <c r="D131" s="303">
        <v>191.36020032447189</v>
      </c>
      <c r="E131" s="302">
        <f t="shared" ref="E131:E194" si="6">IF(C131&gt;D131,D131,C131)</f>
        <v>191.36020032447189</v>
      </c>
      <c r="F131" s="311"/>
      <c r="G131" s="208" t="str">
        <f t="shared" ref="G131:G194" si="7">IF(DAY(B131)=15,IF(MONTH(B131)=1,"E",IF(MONTH(B131)=2,"F",IF(MONTH(B131)=3,"M",IF(MONTH(B131)=4,"A",IF(MONTH(B131)=5,"M",IF(MONTH(B131)=6,"J",IF(MONTH(B131)=7,"J",IF(MONTH(B131)=8,"A",IF(MONTH(B131)=9,"S",IF(MONTH(B131)=10,"O",IF(MONTH(B131)=11,"N",IF(MONTH(B131)=12,"D","")))))))))))),"")</f>
        <v/>
      </c>
      <c r="H131" s="304" t="str">
        <f t="shared" ref="H131:H194" si="8">IF(DAY($B131)=15,TEXT(D131,"#,0"),"")</f>
        <v/>
      </c>
      <c r="I131" s="305"/>
    </row>
    <row r="132" spans="1:9">
      <c r="A132" s="300">
        <v>130</v>
      </c>
      <c r="B132" s="301">
        <v>43900</v>
      </c>
      <c r="C132" s="302">
        <v>149.84728000000001</v>
      </c>
      <c r="D132" s="303">
        <v>191.36020032447189</v>
      </c>
      <c r="E132" s="302">
        <f t="shared" si="6"/>
        <v>149.84728000000001</v>
      </c>
      <c r="F132" s="311"/>
      <c r="G132" s="208" t="str">
        <f t="shared" si="7"/>
        <v/>
      </c>
      <c r="H132" s="304" t="str">
        <f t="shared" si="8"/>
        <v/>
      </c>
      <c r="I132" s="305"/>
    </row>
    <row r="133" spans="1:9">
      <c r="A133" s="300">
        <v>131</v>
      </c>
      <c r="B133" s="301">
        <v>43901</v>
      </c>
      <c r="C133" s="302">
        <v>74.675634000000002</v>
      </c>
      <c r="D133" s="303">
        <v>191.36020032447189</v>
      </c>
      <c r="E133" s="302">
        <f t="shared" si="6"/>
        <v>74.675634000000002</v>
      </c>
      <c r="F133" s="311"/>
      <c r="G133" s="208" t="str">
        <f t="shared" si="7"/>
        <v/>
      </c>
      <c r="H133" s="304" t="str">
        <f t="shared" si="8"/>
        <v/>
      </c>
      <c r="I133" s="305"/>
    </row>
    <row r="134" spans="1:9">
      <c r="A134" s="300">
        <v>132</v>
      </c>
      <c r="B134" s="301">
        <v>43902</v>
      </c>
      <c r="C134" s="302">
        <v>89.800191999999996</v>
      </c>
      <c r="D134" s="303">
        <v>191.36020032447189</v>
      </c>
      <c r="E134" s="302">
        <f t="shared" si="6"/>
        <v>89.800191999999996</v>
      </c>
      <c r="F134" s="311"/>
      <c r="G134" s="208" t="str">
        <f t="shared" si="7"/>
        <v/>
      </c>
      <c r="H134" s="304" t="str">
        <f t="shared" si="8"/>
        <v/>
      </c>
      <c r="I134" s="305"/>
    </row>
    <row r="135" spans="1:9">
      <c r="A135" s="300">
        <v>133</v>
      </c>
      <c r="B135" s="301">
        <v>43903</v>
      </c>
      <c r="C135" s="302">
        <v>148.69305599999998</v>
      </c>
      <c r="D135" s="303">
        <v>191.36020032447189</v>
      </c>
      <c r="E135" s="302">
        <f t="shared" si="6"/>
        <v>148.69305599999998</v>
      </c>
      <c r="F135" s="311"/>
      <c r="G135" s="208" t="str">
        <f t="shared" si="7"/>
        <v/>
      </c>
      <c r="H135" s="304" t="str">
        <f t="shared" si="8"/>
        <v/>
      </c>
      <c r="I135" s="305"/>
    </row>
    <row r="136" spans="1:9">
      <c r="A136" s="300">
        <v>134</v>
      </c>
      <c r="B136" s="301">
        <v>43904</v>
      </c>
      <c r="C136" s="302">
        <v>56.137732999999997</v>
      </c>
      <c r="D136" s="303">
        <v>191.36020032447189</v>
      </c>
      <c r="E136" s="302">
        <f t="shared" si="6"/>
        <v>56.137732999999997</v>
      </c>
      <c r="F136" s="311"/>
      <c r="G136" s="208" t="str">
        <f t="shared" si="7"/>
        <v/>
      </c>
      <c r="H136" s="304" t="str">
        <f t="shared" si="8"/>
        <v/>
      </c>
      <c r="I136" s="305"/>
    </row>
    <row r="137" spans="1:9">
      <c r="A137" s="300">
        <v>135</v>
      </c>
      <c r="B137" s="301">
        <v>43905</v>
      </c>
      <c r="C137" s="302">
        <v>149.07385099999999</v>
      </c>
      <c r="D137" s="303">
        <v>191.36020032447189</v>
      </c>
      <c r="E137" s="302">
        <f t="shared" si="6"/>
        <v>149.07385099999999</v>
      </c>
      <c r="F137" s="311"/>
      <c r="G137" s="208" t="str">
        <f t="shared" si="7"/>
        <v>M</v>
      </c>
      <c r="H137" s="304" t="str">
        <f t="shared" si="8"/>
        <v>191,4</v>
      </c>
      <c r="I137" s="305"/>
    </row>
    <row r="138" spans="1:9">
      <c r="A138" s="300">
        <v>136</v>
      </c>
      <c r="B138" s="301">
        <v>43906</v>
      </c>
      <c r="C138" s="302">
        <v>246.623379</v>
      </c>
      <c r="D138" s="303">
        <v>191.36020032447189</v>
      </c>
      <c r="E138" s="302">
        <f t="shared" si="6"/>
        <v>191.36020032447189</v>
      </c>
      <c r="F138" s="311"/>
      <c r="G138" s="208" t="str">
        <f t="shared" si="7"/>
        <v/>
      </c>
      <c r="H138" s="304" t="str">
        <f t="shared" si="8"/>
        <v/>
      </c>
      <c r="I138" s="305"/>
    </row>
    <row r="139" spans="1:9">
      <c r="A139" s="300">
        <v>137</v>
      </c>
      <c r="B139" s="301">
        <v>43907</v>
      </c>
      <c r="C139" s="302">
        <v>220.31973499999998</v>
      </c>
      <c r="D139" s="303">
        <v>191.36020032447189</v>
      </c>
      <c r="E139" s="302">
        <f t="shared" si="6"/>
        <v>191.36020032447189</v>
      </c>
      <c r="F139" s="311"/>
      <c r="G139" s="208" t="str">
        <f t="shared" si="7"/>
        <v/>
      </c>
      <c r="H139" s="304" t="str">
        <f t="shared" si="8"/>
        <v/>
      </c>
      <c r="I139" s="305"/>
    </row>
    <row r="140" spans="1:9">
      <c r="A140" s="300">
        <v>138</v>
      </c>
      <c r="B140" s="301">
        <v>43908</v>
      </c>
      <c r="C140" s="302">
        <v>113.821556</v>
      </c>
      <c r="D140" s="303">
        <v>191.36020032447189</v>
      </c>
      <c r="E140" s="302">
        <f t="shared" si="6"/>
        <v>113.821556</v>
      </c>
      <c r="F140" s="311"/>
      <c r="G140" s="208" t="str">
        <f t="shared" si="7"/>
        <v/>
      </c>
      <c r="H140" s="304" t="str">
        <f t="shared" si="8"/>
        <v/>
      </c>
      <c r="I140" s="305"/>
    </row>
    <row r="141" spans="1:9">
      <c r="A141" s="300">
        <v>139</v>
      </c>
      <c r="B141" s="301">
        <v>43909</v>
      </c>
      <c r="C141" s="302">
        <v>116.584445</v>
      </c>
      <c r="D141" s="303">
        <v>191.36020032447189</v>
      </c>
      <c r="E141" s="302">
        <f t="shared" si="6"/>
        <v>116.584445</v>
      </c>
      <c r="F141" s="311"/>
      <c r="G141" s="208" t="str">
        <f t="shared" si="7"/>
        <v/>
      </c>
      <c r="H141" s="304" t="str">
        <f t="shared" si="8"/>
        <v/>
      </c>
      <c r="I141" s="305"/>
    </row>
    <row r="142" spans="1:9">
      <c r="A142" s="300">
        <v>140</v>
      </c>
      <c r="B142" s="301">
        <v>43910</v>
      </c>
      <c r="C142" s="302">
        <v>130.32207099999999</v>
      </c>
      <c r="D142" s="303">
        <v>191.36020032447189</v>
      </c>
      <c r="E142" s="302">
        <f t="shared" si="6"/>
        <v>130.32207099999999</v>
      </c>
      <c r="F142" s="311"/>
      <c r="G142" s="208" t="str">
        <f t="shared" si="7"/>
        <v/>
      </c>
      <c r="H142" s="304" t="str">
        <f t="shared" si="8"/>
        <v/>
      </c>
      <c r="I142" s="305"/>
    </row>
    <row r="143" spans="1:9">
      <c r="A143" s="300">
        <v>141</v>
      </c>
      <c r="B143" s="301">
        <v>43911</v>
      </c>
      <c r="C143" s="302">
        <v>70.128062999999997</v>
      </c>
      <c r="D143" s="303">
        <v>191.36020032447189</v>
      </c>
      <c r="E143" s="302">
        <f t="shared" si="6"/>
        <v>70.128062999999997</v>
      </c>
      <c r="F143" s="311"/>
      <c r="G143" s="208" t="str">
        <f t="shared" si="7"/>
        <v/>
      </c>
      <c r="H143" s="304" t="str">
        <f t="shared" si="8"/>
        <v/>
      </c>
      <c r="I143" s="305"/>
    </row>
    <row r="144" spans="1:9">
      <c r="A144" s="300">
        <v>142</v>
      </c>
      <c r="B144" s="301">
        <v>43912</v>
      </c>
      <c r="C144" s="302">
        <v>47.946801000000001</v>
      </c>
      <c r="D144" s="303">
        <v>191.36020032447189</v>
      </c>
      <c r="E144" s="302">
        <f t="shared" si="6"/>
        <v>47.946801000000001</v>
      </c>
      <c r="F144" s="311"/>
      <c r="G144" s="208" t="str">
        <f t="shared" si="7"/>
        <v/>
      </c>
      <c r="H144" s="304" t="str">
        <f t="shared" si="8"/>
        <v/>
      </c>
      <c r="I144" s="305"/>
    </row>
    <row r="145" spans="1:9">
      <c r="A145" s="300">
        <v>143</v>
      </c>
      <c r="B145" s="301">
        <v>43913</v>
      </c>
      <c r="C145" s="302">
        <v>120.01166000000001</v>
      </c>
      <c r="D145" s="303">
        <v>191.36020032447189</v>
      </c>
      <c r="E145" s="302">
        <f t="shared" si="6"/>
        <v>120.01166000000001</v>
      </c>
      <c r="F145" s="311"/>
      <c r="G145" s="208" t="str">
        <f t="shared" si="7"/>
        <v/>
      </c>
      <c r="H145" s="304" t="str">
        <f t="shared" si="8"/>
        <v/>
      </c>
      <c r="I145" s="305"/>
    </row>
    <row r="146" spans="1:9">
      <c r="A146" s="300">
        <v>144</v>
      </c>
      <c r="B146" s="301">
        <v>43914</v>
      </c>
      <c r="C146" s="302">
        <v>133.16797599999998</v>
      </c>
      <c r="D146" s="303">
        <v>191.36020032447189</v>
      </c>
      <c r="E146" s="302">
        <f t="shared" si="6"/>
        <v>133.16797599999998</v>
      </c>
      <c r="F146" s="311"/>
      <c r="G146" s="208" t="str">
        <f t="shared" si="7"/>
        <v/>
      </c>
      <c r="H146" s="304" t="str">
        <f t="shared" si="8"/>
        <v/>
      </c>
      <c r="I146" s="305"/>
    </row>
    <row r="147" spans="1:9">
      <c r="A147" s="300">
        <v>145</v>
      </c>
      <c r="B147" s="301">
        <v>43915</v>
      </c>
      <c r="C147" s="302">
        <v>54.625858000000001</v>
      </c>
      <c r="D147" s="303">
        <v>191.36020032447189</v>
      </c>
      <c r="E147" s="302">
        <f t="shared" si="6"/>
        <v>54.625858000000001</v>
      </c>
      <c r="F147" s="311"/>
      <c r="G147" s="208" t="str">
        <f t="shared" si="7"/>
        <v/>
      </c>
      <c r="H147" s="304" t="str">
        <f t="shared" si="8"/>
        <v/>
      </c>
      <c r="I147" s="305"/>
    </row>
    <row r="148" spans="1:9">
      <c r="A148" s="300">
        <v>146</v>
      </c>
      <c r="B148" s="301">
        <v>43916</v>
      </c>
      <c r="C148" s="302">
        <v>196.67629500000001</v>
      </c>
      <c r="D148" s="303">
        <v>191.36020032447189</v>
      </c>
      <c r="E148" s="302">
        <f t="shared" si="6"/>
        <v>191.36020032447189</v>
      </c>
      <c r="F148" s="311"/>
      <c r="G148" s="208" t="str">
        <f t="shared" si="7"/>
        <v/>
      </c>
      <c r="H148" s="304" t="str">
        <f t="shared" si="8"/>
        <v/>
      </c>
      <c r="I148" s="305"/>
    </row>
    <row r="149" spans="1:9">
      <c r="A149" s="300">
        <v>147</v>
      </c>
      <c r="B149" s="301">
        <v>43917</v>
      </c>
      <c r="C149" s="302">
        <v>110.13828100000001</v>
      </c>
      <c r="D149" s="303">
        <v>191.36020032447189</v>
      </c>
      <c r="E149" s="302">
        <f t="shared" si="6"/>
        <v>110.13828100000001</v>
      </c>
      <c r="F149" s="311"/>
      <c r="G149" s="208" t="str">
        <f t="shared" si="7"/>
        <v/>
      </c>
      <c r="H149" s="304" t="str">
        <f t="shared" si="8"/>
        <v/>
      </c>
      <c r="I149" s="305"/>
    </row>
    <row r="150" spans="1:9">
      <c r="A150" s="300">
        <v>148</v>
      </c>
      <c r="B150" s="301">
        <v>43918</v>
      </c>
      <c r="C150" s="302">
        <v>36.911139999999996</v>
      </c>
      <c r="D150" s="303">
        <v>191.36020032447189</v>
      </c>
      <c r="E150" s="302">
        <f t="shared" si="6"/>
        <v>36.911139999999996</v>
      </c>
      <c r="F150" s="311"/>
      <c r="G150" s="208" t="str">
        <f t="shared" si="7"/>
        <v/>
      </c>
      <c r="H150" s="304" t="str">
        <f t="shared" si="8"/>
        <v/>
      </c>
      <c r="I150" s="305"/>
    </row>
    <row r="151" spans="1:9">
      <c r="A151" s="300">
        <v>149</v>
      </c>
      <c r="B151" s="301">
        <v>43919</v>
      </c>
      <c r="C151" s="302">
        <v>154.91969899999998</v>
      </c>
      <c r="D151" s="303">
        <v>191.36020032447189</v>
      </c>
      <c r="E151" s="302">
        <f t="shared" si="6"/>
        <v>154.91969899999998</v>
      </c>
      <c r="F151" s="311"/>
      <c r="G151" s="208" t="str">
        <f t="shared" si="7"/>
        <v/>
      </c>
      <c r="H151" s="304" t="str">
        <f t="shared" si="8"/>
        <v/>
      </c>
      <c r="I151" s="305"/>
    </row>
    <row r="152" spans="1:9">
      <c r="A152" s="300">
        <v>150</v>
      </c>
      <c r="B152" s="301">
        <v>43920</v>
      </c>
      <c r="C152" s="302">
        <v>234.16220199999998</v>
      </c>
      <c r="D152" s="303">
        <v>191.36020032447189</v>
      </c>
      <c r="E152" s="302">
        <f t="shared" si="6"/>
        <v>191.36020032447189</v>
      </c>
      <c r="F152" s="311"/>
      <c r="G152" s="208" t="str">
        <f t="shared" si="7"/>
        <v/>
      </c>
      <c r="H152" s="304" t="str">
        <f t="shared" si="8"/>
        <v/>
      </c>
      <c r="I152" s="305"/>
    </row>
    <row r="153" spans="1:9">
      <c r="A153" s="300">
        <v>151</v>
      </c>
      <c r="B153" s="301">
        <v>43921</v>
      </c>
      <c r="C153" s="302">
        <v>209.101292</v>
      </c>
      <c r="D153" s="303">
        <v>191.36020032447189</v>
      </c>
      <c r="E153" s="302">
        <f t="shared" si="6"/>
        <v>191.36020032447189</v>
      </c>
      <c r="F153" s="311"/>
      <c r="G153" s="208" t="str">
        <f t="shared" si="7"/>
        <v/>
      </c>
      <c r="H153" s="304" t="str">
        <f t="shared" si="8"/>
        <v/>
      </c>
      <c r="I153" s="305"/>
    </row>
    <row r="154" spans="1:9">
      <c r="A154" s="300">
        <v>152</v>
      </c>
      <c r="B154" s="301">
        <v>43922</v>
      </c>
      <c r="C154" s="302">
        <v>85.494511000000003</v>
      </c>
      <c r="D154" s="303">
        <v>157.99441729871316</v>
      </c>
      <c r="E154" s="302">
        <f t="shared" si="6"/>
        <v>85.494511000000003</v>
      </c>
      <c r="F154" s="311"/>
      <c r="G154" s="208" t="str">
        <f t="shared" si="7"/>
        <v/>
      </c>
      <c r="H154" s="304" t="str">
        <f t="shared" si="8"/>
        <v/>
      </c>
      <c r="I154" s="305"/>
    </row>
    <row r="155" spans="1:9">
      <c r="A155" s="300">
        <v>153</v>
      </c>
      <c r="B155" s="301">
        <v>43923</v>
      </c>
      <c r="C155" s="302">
        <v>120.50856200000001</v>
      </c>
      <c r="D155" s="303">
        <v>157.99441729871316</v>
      </c>
      <c r="E155" s="302">
        <f t="shared" si="6"/>
        <v>120.50856200000001</v>
      </c>
      <c r="F155" s="311"/>
      <c r="G155" s="208" t="str">
        <f t="shared" si="7"/>
        <v/>
      </c>
      <c r="H155" s="304" t="str">
        <f t="shared" si="8"/>
        <v/>
      </c>
      <c r="I155" s="305"/>
    </row>
    <row r="156" spans="1:9">
      <c r="A156" s="300">
        <v>154</v>
      </c>
      <c r="B156" s="301">
        <v>43924</v>
      </c>
      <c r="C156" s="302">
        <v>95.716239000000002</v>
      </c>
      <c r="D156" s="303">
        <v>157.99441729871316</v>
      </c>
      <c r="E156" s="302">
        <f t="shared" si="6"/>
        <v>95.716239000000002</v>
      </c>
      <c r="F156" s="311"/>
      <c r="G156" s="208" t="str">
        <f t="shared" si="7"/>
        <v/>
      </c>
      <c r="H156" s="304" t="str">
        <f t="shared" si="8"/>
        <v/>
      </c>
      <c r="I156" s="305"/>
    </row>
    <row r="157" spans="1:9">
      <c r="A157" s="300">
        <v>155</v>
      </c>
      <c r="B157" s="301">
        <v>43925</v>
      </c>
      <c r="C157" s="302">
        <v>188.43538899999999</v>
      </c>
      <c r="D157" s="303">
        <v>157.99441729871316</v>
      </c>
      <c r="E157" s="302">
        <f t="shared" si="6"/>
        <v>157.99441729871316</v>
      </c>
      <c r="F157" s="311"/>
      <c r="G157" s="208" t="str">
        <f t="shared" si="7"/>
        <v/>
      </c>
      <c r="H157" s="304" t="str">
        <f t="shared" si="8"/>
        <v/>
      </c>
      <c r="I157" s="305"/>
    </row>
    <row r="158" spans="1:9">
      <c r="A158" s="300">
        <v>156</v>
      </c>
      <c r="B158" s="301">
        <v>43926</v>
      </c>
      <c r="C158" s="302">
        <v>188.59655600000002</v>
      </c>
      <c r="D158" s="303">
        <v>157.99441729871316</v>
      </c>
      <c r="E158" s="302">
        <f t="shared" si="6"/>
        <v>157.99441729871316</v>
      </c>
      <c r="F158" s="311"/>
      <c r="G158" s="208" t="str">
        <f t="shared" si="7"/>
        <v/>
      </c>
      <c r="H158" s="304" t="str">
        <f t="shared" si="8"/>
        <v/>
      </c>
      <c r="I158" s="305"/>
    </row>
    <row r="159" spans="1:9">
      <c r="A159" s="300">
        <v>157</v>
      </c>
      <c r="B159" s="301">
        <v>43927</v>
      </c>
      <c r="C159" s="302">
        <v>87.856709000000009</v>
      </c>
      <c r="D159" s="303">
        <v>157.99441729871316</v>
      </c>
      <c r="E159" s="302">
        <f t="shared" si="6"/>
        <v>87.856709000000009</v>
      </c>
      <c r="F159" s="311"/>
      <c r="G159" s="208" t="str">
        <f t="shared" si="7"/>
        <v/>
      </c>
      <c r="H159" s="304" t="str">
        <f t="shared" si="8"/>
        <v/>
      </c>
      <c r="I159" s="305"/>
    </row>
    <row r="160" spans="1:9">
      <c r="A160" s="300">
        <v>158</v>
      </c>
      <c r="B160" s="301">
        <v>43928</v>
      </c>
      <c r="C160" s="302">
        <v>75.264637000000008</v>
      </c>
      <c r="D160" s="303">
        <v>157.99441729871316</v>
      </c>
      <c r="E160" s="302">
        <f t="shared" si="6"/>
        <v>75.264637000000008</v>
      </c>
      <c r="F160" s="311"/>
      <c r="G160" s="208" t="str">
        <f t="shared" si="7"/>
        <v/>
      </c>
      <c r="H160" s="304" t="str">
        <f t="shared" si="8"/>
        <v/>
      </c>
      <c r="I160" s="305"/>
    </row>
    <row r="161" spans="1:9">
      <c r="A161" s="300">
        <v>159</v>
      </c>
      <c r="B161" s="301">
        <v>43929</v>
      </c>
      <c r="C161" s="302">
        <v>64.523509000000004</v>
      </c>
      <c r="D161" s="303">
        <v>157.99441729871316</v>
      </c>
      <c r="E161" s="302">
        <f t="shared" si="6"/>
        <v>64.523509000000004</v>
      </c>
      <c r="F161" s="311"/>
      <c r="G161" s="208" t="str">
        <f t="shared" si="7"/>
        <v/>
      </c>
      <c r="H161" s="304" t="str">
        <f t="shared" si="8"/>
        <v/>
      </c>
      <c r="I161" s="305"/>
    </row>
    <row r="162" spans="1:9">
      <c r="A162" s="300">
        <v>160</v>
      </c>
      <c r="B162" s="301">
        <v>43930</v>
      </c>
      <c r="C162" s="302">
        <v>87.74248200000001</v>
      </c>
      <c r="D162" s="303">
        <v>157.99441729871316</v>
      </c>
      <c r="E162" s="302">
        <f t="shared" si="6"/>
        <v>87.74248200000001</v>
      </c>
      <c r="F162" s="311"/>
      <c r="G162" s="208" t="str">
        <f t="shared" si="7"/>
        <v/>
      </c>
      <c r="H162" s="304" t="str">
        <f t="shared" si="8"/>
        <v/>
      </c>
      <c r="I162" s="305"/>
    </row>
    <row r="163" spans="1:9">
      <c r="A163" s="300">
        <v>161</v>
      </c>
      <c r="B163" s="301">
        <v>43931</v>
      </c>
      <c r="C163" s="302">
        <v>81.504300000000001</v>
      </c>
      <c r="D163" s="303">
        <v>157.99441729871316</v>
      </c>
      <c r="E163" s="302">
        <f t="shared" si="6"/>
        <v>81.504300000000001</v>
      </c>
      <c r="F163" s="311"/>
      <c r="G163" s="208" t="str">
        <f t="shared" si="7"/>
        <v/>
      </c>
      <c r="H163" s="304" t="str">
        <f t="shared" si="8"/>
        <v/>
      </c>
      <c r="I163" s="305"/>
    </row>
    <row r="164" spans="1:9">
      <c r="A164" s="300">
        <v>162</v>
      </c>
      <c r="B164" s="301">
        <v>43932</v>
      </c>
      <c r="C164" s="302">
        <v>70.530736000000005</v>
      </c>
      <c r="D164" s="303">
        <v>157.99441729871316</v>
      </c>
      <c r="E164" s="302">
        <f t="shared" si="6"/>
        <v>70.530736000000005</v>
      </c>
      <c r="F164" s="311"/>
      <c r="G164" s="208" t="str">
        <f t="shared" si="7"/>
        <v/>
      </c>
      <c r="H164" s="304" t="str">
        <f t="shared" si="8"/>
        <v/>
      </c>
      <c r="I164" s="305"/>
    </row>
    <row r="165" spans="1:9">
      <c r="A165" s="300">
        <v>163</v>
      </c>
      <c r="B165" s="301">
        <v>43933</v>
      </c>
      <c r="C165" s="302">
        <v>103.15505499999999</v>
      </c>
      <c r="D165" s="303">
        <v>157.99441729871316</v>
      </c>
      <c r="E165" s="302">
        <f t="shared" si="6"/>
        <v>103.15505499999999</v>
      </c>
      <c r="F165" s="311"/>
      <c r="G165" s="208" t="str">
        <f t="shared" si="7"/>
        <v/>
      </c>
      <c r="H165" s="304" t="str">
        <f t="shared" si="8"/>
        <v/>
      </c>
      <c r="I165" s="305"/>
    </row>
    <row r="166" spans="1:9">
      <c r="A166" s="300">
        <v>164</v>
      </c>
      <c r="B166" s="301">
        <v>43934</v>
      </c>
      <c r="C166" s="302">
        <v>74.568534999999997</v>
      </c>
      <c r="D166" s="303">
        <v>157.99441729871316</v>
      </c>
      <c r="E166" s="302">
        <f t="shared" si="6"/>
        <v>74.568534999999997</v>
      </c>
      <c r="F166" s="311"/>
      <c r="G166" s="208" t="str">
        <f t="shared" si="7"/>
        <v/>
      </c>
      <c r="H166" s="304" t="str">
        <f t="shared" si="8"/>
        <v/>
      </c>
      <c r="I166" s="305"/>
    </row>
    <row r="167" spans="1:9">
      <c r="A167" s="300">
        <v>165</v>
      </c>
      <c r="B167" s="301">
        <v>43935</v>
      </c>
      <c r="C167" s="302">
        <v>98.351004000000003</v>
      </c>
      <c r="D167" s="303">
        <v>157.99441729871316</v>
      </c>
      <c r="E167" s="302">
        <f t="shared" si="6"/>
        <v>98.351004000000003</v>
      </c>
      <c r="F167" s="311"/>
      <c r="G167" s="208" t="str">
        <f t="shared" si="7"/>
        <v/>
      </c>
      <c r="H167" s="304" t="str">
        <f t="shared" si="8"/>
        <v/>
      </c>
      <c r="I167" s="305"/>
    </row>
    <row r="168" spans="1:9">
      <c r="A168" s="300">
        <v>166</v>
      </c>
      <c r="B168" s="301">
        <v>43936</v>
      </c>
      <c r="C168" s="302">
        <v>189.98884000000001</v>
      </c>
      <c r="D168" s="303">
        <v>157.99441729871316</v>
      </c>
      <c r="E168" s="302">
        <f t="shared" si="6"/>
        <v>157.99441729871316</v>
      </c>
      <c r="F168" s="311"/>
      <c r="G168" s="208" t="str">
        <f t="shared" si="7"/>
        <v>A</v>
      </c>
      <c r="H168" s="304" t="str">
        <f t="shared" si="8"/>
        <v>158,0</v>
      </c>
      <c r="I168" s="305"/>
    </row>
    <row r="169" spans="1:9">
      <c r="A169" s="300">
        <v>167</v>
      </c>
      <c r="B169" s="301">
        <v>43937</v>
      </c>
      <c r="C169" s="302">
        <v>210.43480300000002</v>
      </c>
      <c r="D169" s="303">
        <v>157.99441729871316</v>
      </c>
      <c r="E169" s="302">
        <f t="shared" si="6"/>
        <v>157.99441729871316</v>
      </c>
      <c r="F169" s="311"/>
      <c r="G169" s="208" t="str">
        <f t="shared" si="7"/>
        <v/>
      </c>
      <c r="H169" s="304" t="str">
        <f t="shared" si="8"/>
        <v/>
      </c>
      <c r="I169" s="305"/>
    </row>
    <row r="170" spans="1:9">
      <c r="A170" s="300">
        <v>168</v>
      </c>
      <c r="B170" s="301">
        <v>43938</v>
      </c>
      <c r="C170" s="302">
        <v>160.61517699999999</v>
      </c>
      <c r="D170" s="303">
        <v>157.99441729871316</v>
      </c>
      <c r="E170" s="302">
        <f t="shared" si="6"/>
        <v>157.99441729871316</v>
      </c>
      <c r="F170" s="311"/>
      <c r="G170" s="208" t="str">
        <f t="shared" si="7"/>
        <v/>
      </c>
      <c r="H170" s="304" t="str">
        <f t="shared" si="8"/>
        <v/>
      </c>
      <c r="I170" s="305"/>
    </row>
    <row r="171" spans="1:9">
      <c r="A171" s="300">
        <v>169</v>
      </c>
      <c r="B171" s="301">
        <v>43939</v>
      </c>
      <c r="C171" s="302">
        <v>47.134428999999997</v>
      </c>
      <c r="D171" s="303">
        <v>157.99441729871316</v>
      </c>
      <c r="E171" s="302">
        <f t="shared" si="6"/>
        <v>47.134428999999997</v>
      </c>
      <c r="F171" s="311"/>
      <c r="G171" s="208" t="str">
        <f t="shared" si="7"/>
        <v/>
      </c>
      <c r="H171" s="304" t="str">
        <f t="shared" si="8"/>
        <v/>
      </c>
      <c r="I171" s="305"/>
    </row>
    <row r="172" spans="1:9">
      <c r="A172" s="300">
        <v>170</v>
      </c>
      <c r="B172" s="301">
        <v>43940</v>
      </c>
      <c r="C172" s="302">
        <v>72.963836000000001</v>
      </c>
      <c r="D172" s="303">
        <v>157.99441729871316</v>
      </c>
      <c r="E172" s="302">
        <f t="shared" si="6"/>
        <v>72.963836000000001</v>
      </c>
      <c r="F172" s="311"/>
      <c r="G172" s="208" t="str">
        <f t="shared" si="7"/>
        <v/>
      </c>
      <c r="H172" s="304" t="str">
        <f t="shared" si="8"/>
        <v/>
      </c>
      <c r="I172" s="305"/>
    </row>
    <row r="173" spans="1:9">
      <c r="A173" s="300">
        <v>171</v>
      </c>
      <c r="B173" s="301">
        <v>43941</v>
      </c>
      <c r="C173" s="302">
        <v>133.62629100000001</v>
      </c>
      <c r="D173" s="303">
        <v>157.99441729871316</v>
      </c>
      <c r="E173" s="302">
        <f t="shared" si="6"/>
        <v>133.62629100000001</v>
      </c>
      <c r="F173" s="311"/>
      <c r="G173" s="208" t="str">
        <f t="shared" si="7"/>
        <v/>
      </c>
      <c r="H173" s="304" t="str">
        <f t="shared" si="8"/>
        <v/>
      </c>
      <c r="I173" s="305"/>
    </row>
    <row r="174" spans="1:9">
      <c r="A174" s="300">
        <v>172</v>
      </c>
      <c r="B174" s="301">
        <v>43942</v>
      </c>
      <c r="C174" s="302">
        <v>176.23869699999997</v>
      </c>
      <c r="D174" s="303">
        <v>157.99441729871316</v>
      </c>
      <c r="E174" s="302">
        <f t="shared" si="6"/>
        <v>157.99441729871316</v>
      </c>
      <c r="F174" s="311"/>
      <c r="G174" s="208" t="str">
        <f t="shared" si="7"/>
        <v/>
      </c>
      <c r="H174" s="304" t="str">
        <f t="shared" si="8"/>
        <v/>
      </c>
      <c r="I174" s="305"/>
    </row>
    <row r="175" spans="1:9">
      <c r="A175" s="300">
        <v>173</v>
      </c>
      <c r="B175" s="301">
        <v>43943</v>
      </c>
      <c r="C175" s="302">
        <v>130.76599200000001</v>
      </c>
      <c r="D175" s="303">
        <v>157.99441729871316</v>
      </c>
      <c r="E175" s="302">
        <f t="shared" si="6"/>
        <v>130.76599200000001</v>
      </c>
      <c r="F175" s="311"/>
      <c r="G175" s="208" t="str">
        <f t="shared" si="7"/>
        <v/>
      </c>
      <c r="H175" s="304" t="str">
        <f t="shared" si="8"/>
        <v/>
      </c>
      <c r="I175" s="305"/>
    </row>
    <row r="176" spans="1:9">
      <c r="A176" s="300">
        <v>174</v>
      </c>
      <c r="B176" s="301">
        <v>43944</v>
      </c>
      <c r="C176" s="302">
        <v>60.851399999999998</v>
      </c>
      <c r="D176" s="303">
        <v>157.99441729871316</v>
      </c>
      <c r="E176" s="302">
        <f t="shared" si="6"/>
        <v>60.851399999999998</v>
      </c>
      <c r="F176" s="311"/>
      <c r="G176" s="208" t="str">
        <f t="shared" si="7"/>
        <v/>
      </c>
      <c r="H176" s="304" t="str">
        <f t="shared" si="8"/>
        <v/>
      </c>
      <c r="I176" s="305"/>
    </row>
    <row r="177" spans="1:9">
      <c r="A177" s="300">
        <v>175</v>
      </c>
      <c r="B177" s="301">
        <v>43945</v>
      </c>
      <c r="C177" s="302">
        <v>82.625645999999989</v>
      </c>
      <c r="D177" s="303">
        <v>157.99441729871316</v>
      </c>
      <c r="E177" s="302">
        <f t="shared" si="6"/>
        <v>82.625645999999989</v>
      </c>
      <c r="F177" s="311"/>
      <c r="G177" s="208" t="str">
        <f t="shared" si="7"/>
        <v/>
      </c>
      <c r="H177" s="304" t="str">
        <f t="shared" si="8"/>
        <v/>
      </c>
      <c r="I177" s="305"/>
    </row>
    <row r="178" spans="1:9">
      <c r="A178" s="300">
        <v>176</v>
      </c>
      <c r="B178" s="301">
        <v>43946</v>
      </c>
      <c r="C178" s="302">
        <v>35.887877000000003</v>
      </c>
      <c r="D178" s="303">
        <v>157.99441729871316</v>
      </c>
      <c r="E178" s="302">
        <f t="shared" si="6"/>
        <v>35.887877000000003</v>
      </c>
      <c r="F178" s="311"/>
      <c r="G178" s="208" t="str">
        <f t="shared" si="7"/>
        <v/>
      </c>
      <c r="H178" s="304" t="str">
        <f t="shared" si="8"/>
        <v/>
      </c>
      <c r="I178" s="305"/>
    </row>
    <row r="179" spans="1:9">
      <c r="A179" s="300">
        <v>177</v>
      </c>
      <c r="B179" s="301">
        <v>43947</v>
      </c>
      <c r="C179" s="302">
        <v>57.652014999999999</v>
      </c>
      <c r="D179" s="303">
        <v>157.99441729871316</v>
      </c>
      <c r="E179" s="302">
        <f t="shared" si="6"/>
        <v>57.652014999999999</v>
      </c>
      <c r="F179" s="311"/>
      <c r="G179" s="208" t="str">
        <f t="shared" si="7"/>
        <v/>
      </c>
      <c r="H179" s="304" t="str">
        <f t="shared" si="8"/>
        <v/>
      </c>
      <c r="I179" s="305"/>
    </row>
    <row r="180" spans="1:9">
      <c r="A180" s="300">
        <v>178</v>
      </c>
      <c r="B180" s="301">
        <v>43948</v>
      </c>
      <c r="C180" s="302">
        <v>114.832217</v>
      </c>
      <c r="D180" s="303">
        <v>157.99441729871316</v>
      </c>
      <c r="E180" s="302">
        <f t="shared" si="6"/>
        <v>114.832217</v>
      </c>
      <c r="F180" s="311"/>
      <c r="G180" s="208" t="str">
        <f t="shared" si="7"/>
        <v/>
      </c>
      <c r="H180" s="304" t="str">
        <f t="shared" si="8"/>
        <v/>
      </c>
      <c r="I180" s="305"/>
    </row>
    <row r="181" spans="1:9">
      <c r="A181" s="300">
        <v>179</v>
      </c>
      <c r="B181" s="301">
        <v>43949</v>
      </c>
      <c r="C181" s="302">
        <v>180.68583699999999</v>
      </c>
      <c r="D181" s="303">
        <v>157.99441729871316</v>
      </c>
      <c r="E181" s="302">
        <f t="shared" si="6"/>
        <v>157.99441729871316</v>
      </c>
      <c r="F181" s="311"/>
      <c r="G181" s="208" t="str">
        <f t="shared" si="7"/>
        <v/>
      </c>
      <c r="H181" s="304" t="str">
        <f t="shared" si="8"/>
        <v/>
      </c>
      <c r="I181" s="305"/>
    </row>
    <row r="182" spans="1:9">
      <c r="A182" s="300">
        <v>180</v>
      </c>
      <c r="B182" s="301">
        <v>43950</v>
      </c>
      <c r="C182" s="302">
        <v>246.37021300000001</v>
      </c>
      <c r="D182" s="303">
        <v>157.99441729871316</v>
      </c>
      <c r="E182" s="302">
        <f t="shared" si="6"/>
        <v>157.99441729871316</v>
      </c>
      <c r="F182" s="311"/>
      <c r="G182" s="208" t="str">
        <f t="shared" si="7"/>
        <v/>
      </c>
      <c r="H182" s="304" t="str">
        <f t="shared" si="8"/>
        <v/>
      </c>
      <c r="I182" s="305"/>
    </row>
    <row r="183" spans="1:9">
      <c r="A183" s="300">
        <v>181</v>
      </c>
      <c r="B183" s="301">
        <v>43951</v>
      </c>
      <c r="C183" s="302">
        <v>316.74278000000004</v>
      </c>
      <c r="D183" s="303">
        <v>157.99441729871316</v>
      </c>
      <c r="E183" s="302">
        <f t="shared" si="6"/>
        <v>157.99441729871316</v>
      </c>
      <c r="F183" s="311"/>
      <c r="G183" s="208" t="str">
        <f t="shared" si="7"/>
        <v/>
      </c>
      <c r="H183" s="304" t="str">
        <f t="shared" si="8"/>
        <v/>
      </c>
      <c r="I183" s="305"/>
    </row>
    <row r="184" spans="1:9">
      <c r="A184" s="300">
        <v>182</v>
      </c>
      <c r="B184" s="301">
        <v>43952</v>
      </c>
      <c r="C184" s="302">
        <v>265.81452900000005</v>
      </c>
      <c r="D184" s="303">
        <v>142.04868651196702</v>
      </c>
      <c r="E184" s="302">
        <f t="shared" si="6"/>
        <v>142.04868651196702</v>
      </c>
      <c r="F184" s="311"/>
      <c r="G184" s="208" t="str">
        <f t="shared" si="7"/>
        <v/>
      </c>
      <c r="H184" s="304" t="str">
        <f t="shared" si="8"/>
        <v/>
      </c>
      <c r="I184" s="305"/>
    </row>
    <row r="185" spans="1:9">
      <c r="A185" s="300">
        <v>183</v>
      </c>
      <c r="B185" s="301">
        <v>43953</v>
      </c>
      <c r="C185" s="302">
        <v>151.97775799999999</v>
      </c>
      <c r="D185" s="303">
        <v>142.04868651196702</v>
      </c>
      <c r="E185" s="302">
        <f t="shared" si="6"/>
        <v>142.04868651196702</v>
      </c>
      <c r="F185" s="311"/>
      <c r="G185" s="208" t="str">
        <f t="shared" si="7"/>
        <v/>
      </c>
      <c r="H185" s="304" t="str">
        <f t="shared" si="8"/>
        <v/>
      </c>
      <c r="I185" s="305"/>
    </row>
    <row r="186" spans="1:9">
      <c r="A186" s="300">
        <v>184</v>
      </c>
      <c r="B186" s="301">
        <v>43954</v>
      </c>
      <c r="C186" s="302">
        <v>63.662382000000001</v>
      </c>
      <c r="D186" s="303">
        <v>142.04868651196702</v>
      </c>
      <c r="E186" s="302">
        <f t="shared" si="6"/>
        <v>63.662382000000001</v>
      </c>
      <c r="F186" s="305"/>
      <c r="G186" s="208" t="str">
        <f t="shared" si="7"/>
        <v/>
      </c>
      <c r="H186" s="304" t="str">
        <f t="shared" si="8"/>
        <v/>
      </c>
      <c r="I186" s="305"/>
    </row>
    <row r="187" spans="1:9">
      <c r="A187" s="300">
        <v>185</v>
      </c>
      <c r="B187" s="301">
        <v>43955</v>
      </c>
      <c r="C187" s="302">
        <v>223.58004699999998</v>
      </c>
      <c r="D187" s="303">
        <v>142.04868651196702</v>
      </c>
      <c r="E187" s="302">
        <f t="shared" si="6"/>
        <v>142.04868651196702</v>
      </c>
      <c r="F187" s="311"/>
      <c r="G187" s="208" t="str">
        <f t="shared" si="7"/>
        <v/>
      </c>
      <c r="H187" s="304" t="str">
        <f t="shared" si="8"/>
        <v/>
      </c>
      <c r="I187" s="305"/>
    </row>
    <row r="188" spans="1:9">
      <c r="A188" s="300">
        <v>186</v>
      </c>
      <c r="B188" s="301">
        <v>43956</v>
      </c>
      <c r="C188" s="302">
        <v>106.923464</v>
      </c>
      <c r="D188" s="303">
        <v>142.04868651196702</v>
      </c>
      <c r="E188" s="302">
        <f t="shared" si="6"/>
        <v>106.923464</v>
      </c>
      <c r="F188" s="311"/>
      <c r="G188" s="208" t="str">
        <f t="shared" si="7"/>
        <v/>
      </c>
      <c r="H188" s="304" t="str">
        <f t="shared" si="8"/>
        <v/>
      </c>
      <c r="I188" s="305"/>
    </row>
    <row r="189" spans="1:9">
      <c r="A189" s="300">
        <v>187</v>
      </c>
      <c r="B189" s="301">
        <v>43957</v>
      </c>
      <c r="C189" s="302">
        <v>49.506938999999996</v>
      </c>
      <c r="D189" s="303">
        <v>142.04868651196702</v>
      </c>
      <c r="E189" s="302">
        <f t="shared" si="6"/>
        <v>49.506938999999996</v>
      </c>
      <c r="F189" s="311"/>
      <c r="G189" s="208" t="str">
        <f t="shared" si="7"/>
        <v/>
      </c>
      <c r="H189" s="304" t="str">
        <f t="shared" si="8"/>
        <v/>
      </c>
      <c r="I189" s="305"/>
    </row>
    <row r="190" spans="1:9">
      <c r="A190" s="300">
        <v>188</v>
      </c>
      <c r="B190" s="301">
        <v>43958</v>
      </c>
      <c r="C190" s="302">
        <v>153.99167399999999</v>
      </c>
      <c r="D190" s="303">
        <v>142.04868651196702</v>
      </c>
      <c r="E190" s="302">
        <f t="shared" si="6"/>
        <v>142.04868651196702</v>
      </c>
      <c r="F190" s="311"/>
      <c r="G190" s="208" t="str">
        <f t="shared" si="7"/>
        <v/>
      </c>
      <c r="H190" s="304" t="str">
        <f t="shared" si="8"/>
        <v/>
      </c>
      <c r="I190" s="305"/>
    </row>
    <row r="191" spans="1:9">
      <c r="A191" s="300">
        <v>189</v>
      </c>
      <c r="B191" s="301">
        <v>43959</v>
      </c>
      <c r="C191" s="302">
        <v>115.455065</v>
      </c>
      <c r="D191" s="303">
        <v>142.04868651196702</v>
      </c>
      <c r="E191" s="302">
        <f t="shared" si="6"/>
        <v>115.455065</v>
      </c>
      <c r="F191" s="311"/>
      <c r="G191" s="208" t="str">
        <f t="shared" si="7"/>
        <v/>
      </c>
      <c r="H191" s="304" t="str">
        <f t="shared" si="8"/>
        <v/>
      </c>
      <c r="I191" s="305"/>
    </row>
    <row r="192" spans="1:9">
      <c r="A192" s="300">
        <v>190</v>
      </c>
      <c r="B192" s="301">
        <v>43960</v>
      </c>
      <c r="C192" s="302">
        <v>108.09086500000001</v>
      </c>
      <c r="D192" s="303">
        <v>142.04868651196702</v>
      </c>
      <c r="E192" s="302">
        <f t="shared" si="6"/>
        <v>108.09086500000001</v>
      </c>
      <c r="F192" s="311"/>
      <c r="G192" s="208" t="str">
        <f t="shared" si="7"/>
        <v/>
      </c>
      <c r="H192" s="304" t="str">
        <f t="shared" si="8"/>
        <v/>
      </c>
      <c r="I192" s="305"/>
    </row>
    <row r="193" spans="1:9">
      <c r="A193" s="300">
        <v>191</v>
      </c>
      <c r="B193" s="301">
        <v>43961</v>
      </c>
      <c r="C193" s="302">
        <v>151.32789700000001</v>
      </c>
      <c r="D193" s="303">
        <v>142.04868651196702</v>
      </c>
      <c r="E193" s="302">
        <f t="shared" si="6"/>
        <v>142.04868651196702</v>
      </c>
      <c r="F193" s="311"/>
      <c r="G193" s="208" t="str">
        <f t="shared" si="7"/>
        <v/>
      </c>
      <c r="H193" s="304" t="str">
        <f t="shared" si="8"/>
        <v/>
      </c>
      <c r="I193" s="305"/>
    </row>
    <row r="194" spans="1:9">
      <c r="A194" s="300">
        <v>192</v>
      </c>
      <c r="B194" s="301">
        <v>43962</v>
      </c>
      <c r="C194" s="302">
        <v>185.10229000000001</v>
      </c>
      <c r="D194" s="303">
        <v>142.04868651196702</v>
      </c>
      <c r="E194" s="302">
        <f t="shared" si="6"/>
        <v>142.04868651196702</v>
      </c>
      <c r="F194" s="311"/>
      <c r="G194" s="208" t="str">
        <f t="shared" si="7"/>
        <v/>
      </c>
      <c r="H194" s="304" t="str">
        <f t="shared" si="8"/>
        <v/>
      </c>
      <c r="I194" s="305"/>
    </row>
    <row r="195" spans="1:9">
      <c r="A195" s="300">
        <v>193</v>
      </c>
      <c r="B195" s="301">
        <v>43963</v>
      </c>
      <c r="C195" s="302">
        <v>61.266795999999999</v>
      </c>
      <c r="D195" s="303">
        <v>142.04868651196702</v>
      </c>
      <c r="E195" s="302">
        <f t="shared" ref="E195:E258" si="9">IF(C195&gt;D195,D195,C195)</f>
        <v>61.266795999999999</v>
      </c>
      <c r="F195" s="311"/>
      <c r="G195" s="208" t="str">
        <f t="shared" ref="G195:G258" si="10">IF(DAY(B195)=15,IF(MONTH(B195)=1,"E",IF(MONTH(B195)=2,"F",IF(MONTH(B195)=3,"M",IF(MONTH(B195)=4,"A",IF(MONTH(B195)=5,"M",IF(MONTH(B195)=6,"J",IF(MONTH(B195)=7,"J",IF(MONTH(B195)=8,"A",IF(MONTH(B195)=9,"S",IF(MONTH(B195)=10,"O",IF(MONTH(B195)=11,"N",IF(MONTH(B195)=12,"D","")))))))))))),"")</f>
        <v/>
      </c>
      <c r="H195" s="304" t="str">
        <f t="shared" ref="H195:H258" si="11">IF(DAY($B195)=15,TEXT(D195,"#,0"),"")</f>
        <v/>
      </c>
      <c r="I195" s="305"/>
    </row>
    <row r="196" spans="1:9">
      <c r="A196" s="300">
        <v>194</v>
      </c>
      <c r="B196" s="301">
        <v>43964</v>
      </c>
      <c r="C196" s="302">
        <v>67.756039999999999</v>
      </c>
      <c r="D196" s="303">
        <v>142.04868651196702</v>
      </c>
      <c r="E196" s="302">
        <f t="shared" si="9"/>
        <v>67.756039999999999</v>
      </c>
      <c r="F196" s="311"/>
      <c r="G196" s="208" t="str">
        <f t="shared" si="10"/>
        <v/>
      </c>
      <c r="H196" s="304" t="str">
        <f t="shared" si="11"/>
        <v/>
      </c>
      <c r="I196" s="305"/>
    </row>
    <row r="197" spans="1:9">
      <c r="A197" s="300">
        <v>195</v>
      </c>
      <c r="B197" s="301">
        <v>43965</v>
      </c>
      <c r="C197" s="302">
        <v>148.54701399999999</v>
      </c>
      <c r="D197" s="303">
        <v>142.04868651196702</v>
      </c>
      <c r="E197" s="302">
        <f t="shared" si="9"/>
        <v>142.04868651196702</v>
      </c>
      <c r="F197" s="311"/>
      <c r="G197" s="208" t="str">
        <f t="shared" si="10"/>
        <v/>
      </c>
      <c r="H197" s="304" t="str">
        <f t="shared" si="11"/>
        <v/>
      </c>
      <c r="I197" s="305"/>
    </row>
    <row r="198" spans="1:9">
      <c r="A198" s="300">
        <v>196</v>
      </c>
      <c r="B198" s="301">
        <v>43966</v>
      </c>
      <c r="C198" s="302">
        <v>178.96913000000001</v>
      </c>
      <c r="D198" s="303">
        <v>142.04868651196702</v>
      </c>
      <c r="E198" s="302">
        <f t="shared" si="9"/>
        <v>142.04868651196702</v>
      </c>
      <c r="F198" s="311"/>
      <c r="G198" s="208" t="str">
        <f t="shared" si="10"/>
        <v>M</v>
      </c>
      <c r="H198" s="304" t="str">
        <f t="shared" si="11"/>
        <v>142,0</v>
      </c>
      <c r="I198" s="305"/>
    </row>
    <row r="199" spans="1:9">
      <c r="A199" s="300">
        <v>197</v>
      </c>
      <c r="B199" s="301">
        <v>43967</v>
      </c>
      <c r="C199" s="302">
        <v>189.75271300000003</v>
      </c>
      <c r="D199" s="303">
        <v>142.04868651196702</v>
      </c>
      <c r="E199" s="302">
        <f t="shared" si="9"/>
        <v>142.04868651196702</v>
      </c>
      <c r="F199" s="311"/>
      <c r="G199" s="208" t="str">
        <f t="shared" si="10"/>
        <v/>
      </c>
      <c r="H199" s="304" t="str">
        <f t="shared" si="11"/>
        <v/>
      </c>
      <c r="I199" s="305"/>
    </row>
    <row r="200" spans="1:9">
      <c r="A200" s="300">
        <v>198</v>
      </c>
      <c r="B200" s="301">
        <v>43968</v>
      </c>
      <c r="C200" s="302">
        <v>114.18745</v>
      </c>
      <c r="D200" s="303">
        <v>142.04868651196702</v>
      </c>
      <c r="E200" s="302">
        <f t="shared" si="9"/>
        <v>114.18745</v>
      </c>
      <c r="F200" s="311"/>
      <c r="G200" s="208" t="str">
        <f t="shared" si="10"/>
        <v/>
      </c>
      <c r="H200" s="304" t="str">
        <f t="shared" si="11"/>
        <v/>
      </c>
      <c r="I200" s="305"/>
    </row>
    <row r="201" spans="1:9">
      <c r="A201" s="300">
        <v>199</v>
      </c>
      <c r="B201" s="301">
        <v>43969</v>
      </c>
      <c r="C201" s="302">
        <v>100.416403</v>
      </c>
      <c r="D201" s="303">
        <v>142.04868651196702</v>
      </c>
      <c r="E201" s="302">
        <f t="shared" si="9"/>
        <v>100.416403</v>
      </c>
      <c r="F201" s="311"/>
      <c r="G201" s="208" t="str">
        <f t="shared" si="10"/>
        <v/>
      </c>
      <c r="H201" s="304" t="str">
        <f t="shared" si="11"/>
        <v/>
      </c>
      <c r="I201" s="305"/>
    </row>
    <row r="202" spans="1:9">
      <c r="A202" s="300">
        <v>200</v>
      </c>
      <c r="B202" s="301">
        <v>43970</v>
      </c>
      <c r="C202" s="302">
        <v>108.03171299999998</v>
      </c>
      <c r="D202" s="303">
        <v>142.04868651196702</v>
      </c>
      <c r="E202" s="302">
        <f t="shared" si="9"/>
        <v>108.03171299999998</v>
      </c>
      <c r="F202" s="311"/>
      <c r="G202" s="208" t="str">
        <f t="shared" si="10"/>
        <v/>
      </c>
      <c r="H202" s="304" t="str">
        <f t="shared" si="11"/>
        <v/>
      </c>
      <c r="I202" s="305"/>
    </row>
    <row r="203" spans="1:9">
      <c r="A203" s="300">
        <v>201</v>
      </c>
      <c r="B203" s="301">
        <v>43971</v>
      </c>
      <c r="C203" s="302">
        <v>48.323706000000001</v>
      </c>
      <c r="D203" s="303">
        <v>142.04868651196702</v>
      </c>
      <c r="E203" s="302">
        <f t="shared" si="9"/>
        <v>48.323706000000001</v>
      </c>
      <c r="F203" s="311"/>
      <c r="G203" s="208" t="str">
        <f t="shared" si="10"/>
        <v/>
      </c>
      <c r="H203" s="304" t="str">
        <f t="shared" si="11"/>
        <v/>
      </c>
      <c r="I203" s="305"/>
    </row>
    <row r="204" spans="1:9">
      <c r="A204" s="300">
        <v>202</v>
      </c>
      <c r="B204" s="301">
        <v>43972</v>
      </c>
      <c r="C204" s="302">
        <v>46.976317000000002</v>
      </c>
      <c r="D204" s="303">
        <v>142.04868651196702</v>
      </c>
      <c r="E204" s="302">
        <f t="shared" si="9"/>
        <v>46.976317000000002</v>
      </c>
      <c r="F204" s="311"/>
      <c r="G204" s="208" t="str">
        <f t="shared" si="10"/>
        <v/>
      </c>
      <c r="H204" s="304" t="str">
        <f t="shared" si="11"/>
        <v/>
      </c>
      <c r="I204" s="305"/>
    </row>
    <row r="205" spans="1:9">
      <c r="A205" s="300">
        <v>203</v>
      </c>
      <c r="B205" s="301">
        <v>43973</v>
      </c>
      <c r="C205" s="302">
        <v>46.023482999999999</v>
      </c>
      <c r="D205" s="303">
        <v>142.04868651196702</v>
      </c>
      <c r="E205" s="302">
        <f t="shared" si="9"/>
        <v>46.023482999999999</v>
      </c>
      <c r="F205" s="311"/>
      <c r="G205" s="208" t="str">
        <f t="shared" si="10"/>
        <v/>
      </c>
      <c r="H205" s="304" t="str">
        <f t="shared" si="11"/>
        <v/>
      </c>
      <c r="I205" s="305"/>
    </row>
    <row r="206" spans="1:9">
      <c r="A206" s="300">
        <v>204</v>
      </c>
      <c r="B206" s="301">
        <v>43974</v>
      </c>
      <c r="C206" s="302">
        <v>151.53487699999999</v>
      </c>
      <c r="D206" s="303">
        <v>142.04868651196702</v>
      </c>
      <c r="E206" s="302">
        <f t="shared" si="9"/>
        <v>142.04868651196702</v>
      </c>
      <c r="F206" s="311"/>
      <c r="G206" s="208" t="str">
        <f t="shared" si="10"/>
        <v/>
      </c>
      <c r="H206" s="304" t="str">
        <f t="shared" si="11"/>
        <v/>
      </c>
      <c r="I206" s="305"/>
    </row>
    <row r="207" spans="1:9">
      <c r="A207" s="300">
        <v>205</v>
      </c>
      <c r="B207" s="301">
        <v>43975</v>
      </c>
      <c r="C207" s="302">
        <v>159.31672900000001</v>
      </c>
      <c r="D207" s="303">
        <v>142.04868651196702</v>
      </c>
      <c r="E207" s="302">
        <f t="shared" si="9"/>
        <v>142.04868651196702</v>
      </c>
      <c r="F207" s="311"/>
      <c r="G207" s="208" t="str">
        <f t="shared" si="10"/>
        <v/>
      </c>
      <c r="H207" s="304" t="str">
        <f t="shared" si="11"/>
        <v/>
      </c>
      <c r="I207" s="305"/>
    </row>
    <row r="208" spans="1:9">
      <c r="A208" s="300">
        <v>206</v>
      </c>
      <c r="B208" s="301">
        <v>43976</v>
      </c>
      <c r="C208" s="302">
        <v>153.39779800000002</v>
      </c>
      <c r="D208" s="303">
        <v>142.04868651196702</v>
      </c>
      <c r="E208" s="302">
        <f t="shared" si="9"/>
        <v>142.04868651196702</v>
      </c>
      <c r="F208" s="311"/>
      <c r="G208" s="208" t="str">
        <f t="shared" si="10"/>
        <v/>
      </c>
      <c r="H208" s="304" t="str">
        <f t="shared" si="11"/>
        <v/>
      </c>
      <c r="I208" s="305"/>
    </row>
    <row r="209" spans="1:9">
      <c r="A209" s="300">
        <v>207</v>
      </c>
      <c r="B209" s="301">
        <v>43977</v>
      </c>
      <c r="C209" s="302">
        <v>203.94939300000001</v>
      </c>
      <c r="D209" s="303">
        <v>142.04868651196702</v>
      </c>
      <c r="E209" s="302">
        <f t="shared" si="9"/>
        <v>142.04868651196702</v>
      </c>
      <c r="F209" s="311"/>
      <c r="G209" s="208" t="str">
        <f t="shared" si="10"/>
        <v/>
      </c>
      <c r="H209" s="304" t="str">
        <f t="shared" si="11"/>
        <v/>
      </c>
      <c r="I209" s="305"/>
    </row>
    <row r="210" spans="1:9">
      <c r="A210" s="300">
        <v>208</v>
      </c>
      <c r="B210" s="301">
        <v>43978</v>
      </c>
      <c r="C210" s="302">
        <v>171.21968200000001</v>
      </c>
      <c r="D210" s="303">
        <v>142.04868651196702</v>
      </c>
      <c r="E210" s="302">
        <f t="shared" si="9"/>
        <v>142.04868651196702</v>
      </c>
      <c r="F210" s="311"/>
      <c r="G210" s="208" t="str">
        <f t="shared" si="10"/>
        <v/>
      </c>
      <c r="H210" s="304" t="str">
        <f t="shared" si="11"/>
        <v/>
      </c>
      <c r="I210" s="305"/>
    </row>
    <row r="211" spans="1:9">
      <c r="A211" s="300">
        <v>209</v>
      </c>
      <c r="B211" s="301">
        <v>43979</v>
      </c>
      <c r="C211" s="302">
        <v>117.85414</v>
      </c>
      <c r="D211" s="303">
        <v>142.04868651196702</v>
      </c>
      <c r="E211" s="302">
        <f t="shared" si="9"/>
        <v>117.85414</v>
      </c>
      <c r="F211" s="311"/>
      <c r="G211" s="208" t="str">
        <f t="shared" si="10"/>
        <v/>
      </c>
      <c r="H211" s="304" t="str">
        <f t="shared" si="11"/>
        <v/>
      </c>
      <c r="I211" s="305"/>
    </row>
    <row r="212" spans="1:9">
      <c r="A212" s="300">
        <v>210</v>
      </c>
      <c r="B212" s="301">
        <v>43980</v>
      </c>
      <c r="C212" s="302">
        <v>72.900422000000006</v>
      </c>
      <c r="D212" s="303">
        <v>142.04868651196702</v>
      </c>
      <c r="E212" s="302">
        <f t="shared" si="9"/>
        <v>72.900422000000006</v>
      </c>
      <c r="F212" s="311"/>
      <c r="G212" s="208" t="str">
        <f t="shared" si="10"/>
        <v/>
      </c>
      <c r="H212" s="304" t="str">
        <f t="shared" si="11"/>
        <v/>
      </c>
      <c r="I212" s="305"/>
    </row>
    <row r="213" spans="1:9">
      <c r="A213" s="300">
        <v>211</v>
      </c>
      <c r="B213" s="301">
        <v>43981</v>
      </c>
      <c r="C213" s="302">
        <v>97.419388000000012</v>
      </c>
      <c r="D213" s="303">
        <v>142.04868651196702</v>
      </c>
      <c r="E213" s="302">
        <f t="shared" si="9"/>
        <v>97.419388000000012</v>
      </c>
      <c r="F213" s="311"/>
      <c r="G213" s="208" t="str">
        <f t="shared" si="10"/>
        <v/>
      </c>
      <c r="H213" s="304" t="str">
        <f t="shared" si="11"/>
        <v/>
      </c>
      <c r="I213" s="305"/>
    </row>
    <row r="214" spans="1:9">
      <c r="A214" s="300">
        <v>212</v>
      </c>
      <c r="B214" s="301">
        <v>43982</v>
      </c>
      <c r="C214" s="302">
        <v>92.422785999999988</v>
      </c>
      <c r="D214" s="303">
        <v>142.04868651196702</v>
      </c>
      <c r="E214" s="302">
        <f t="shared" si="9"/>
        <v>92.422785999999988</v>
      </c>
      <c r="F214" s="311"/>
      <c r="G214" s="208" t="str">
        <f t="shared" si="10"/>
        <v/>
      </c>
      <c r="H214" s="304" t="str">
        <f t="shared" si="11"/>
        <v/>
      </c>
      <c r="I214" s="305"/>
    </row>
    <row r="215" spans="1:9">
      <c r="A215" s="300">
        <v>213</v>
      </c>
      <c r="B215" s="301">
        <v>43983</v>
      </c>
      <c r="C215" s="302">
        <v>46.177878000000007</v>
      </c>
      <c r="D215" s="303">
        <v>117.98799468998862</v>
      </c>
      <c r="E215" s="302">
        <f t="shared" si="9"/>
        <v>46.177878000000007</v>
      </c>
      <c r="F215" s="311"/>
      <c r="G215" s="208" t="str">
        <f t="shared" si="10"/>
        <v/>
      </c>
      <c r="H215" s="304" t="str">
        <f t="shared" si="11"/>
        <v/>
      </c>
      <c r="I215" s="305"/>
    </row>
    <row r="216" spans="1:9">
      <c r="A216" s="300">
        <v>214</v>
      </c>
      <c r="B216" s="301">
        <v>43984</v>
      </c>
      <c r="C216" s="302">
        <v>41.044094999999999</v>
      </c>
      <c r="D216" s="303">
        <v>117.98799468998862</v>
      </c>
      <c r="E216" s="302">
        <f t="shared" si="9"/>
        <v>41.044094999999999</v>
      </c>
      <c r="F216" s="305"/>
      <c r="G216" s="208" t="str">
        <f t="shared" si="10"/>
        <v/>
      </c>
      <c r="H216" s="304" t="str">
        <f t="shared" si="11"/>
        <v/>
      </c>
      <c r="I216" s="305"/>
    </row>
    <row r="217" spans="1:9">
      <c r="A217" s="300">
        <v>215</v>
      </c>
      <c r="B217" s="301">
        <v>43985</v>
      </c>
      <c r="C217" s="302">
        <v>85.875314000000003</v>
      </c>
      <c r="D217" s="303">
        <v>117.98799468998862</v>
      </c>
      <c r="E217" s="302">
        <f t="shared" si="9"/>
        <v>85.875314000000003</v>
      </c>
      <c r="F217" s="311"/>
      <c r="G217" s="208" t="str">
        <f t="shared" si="10"/>
        <v/>
      </c>
      <c r="H217" s="304" t="str">
        <f t="shared" si="11"/>
        <v/>
      </c>
      <c r="I217" s="305"/>
    </row>
    <row r="218" spans="1:9">
      <c r="A218" s="300">
        <v>216</v>
      </c>
      <c r="B218" s="301">
        <v>43986</v>
      </c>
      <c r="C218" s="302">
        <v>204.54746699999998</v>
      </c>
      <c r="D218" s="303">
        <v>117.98799468998862</v>
      </c>
      <c r="E218" s="302">
        <f t="shared" si="9"/>
        <v>117.98799468998862</v>
      </c>
      <c r="F218" s="311"/>
      <c r="G218" s="208" t="str">
        <f t="shared" si="10"/>
        <v/>
      </c>
      <c r="H218" s="304" t="str">
        <f t="shared" si="11"/>
        <v/>
      </c>
      <c r="I218" s="305"/>
    </row>
    <row r="219" spans="1:9">
      <c r="A219" s="300">
        <v>217</v>
      </c>
      <c r="B219" s="301">
        <v>43987</v>
      </c>
      <c r="C219" s="302">
        <v>116.340019</v>
      </c>
      <c r="D219" s="303">
        <v>117.98799468998862</v>
      </c>
      <c r="E219" s="302">
        <f t="shared" si="9"/>
        <v>116.340019</v>
      </c>
      <c r="F219" s="311"/>
      <c r="G219" s="208" t="str">
        <f t="shared" si="10"/>
        <v/>
      </c>
      <c r="H219" s="304" t="str">
        <f t="shared" si="11"/>
        <v/>
      </c>
      <c r="I219" s="305"/>
    </row>
    <row r="220" spans="1:9">
      <c r="A220" s="300">
        <v>218</v>
      </c>
      <c r="B220" s="301">
        <v>43988</v>
      </c>
      <c r="C220" s="302">
        <v>90.861163000000005</v>
      </c>
      <c r="D220" s="303">
        <v>117.98799468998862</v>
      </c>
      <c r="E220" s="302">
        <f t="shared" si="9"/>
        <v>90.861163000000005</v>
      </c>
      <c r="F220" s="311"/>
      <c r="G220" s="208" t="str">
        <f t="shared" si="10"/>
        <v/>
      </c>
      <c r="H220" s="304" t="str">
        <f t="shared" si="11"/>
        <v/>
      </c>
      <c r="I220" s="305"/>
    </row>
    <row r="221" spans="1:9">
      <c r="A221" s="300">
        <v>219</v>
      </c>
      <c r="B221" s="301">
        <v>43989</v>
      </c>
      <c r="C221" s="302">
        <v>193.785405</v>
      </c>
      <c r="D221" s="303">
        <v>117.98799468998862</v>
      </c>
      <c r="E221" s="302">
        <f t="shared" si="9"/>
        <v>117.98799468998862</v>
      </c>
      <c r="F221" s="311"/>
      <c r="G221" s="208" t="str">
        <f t="shared" si="10"/>
        <v/>
      </c>
      <c r="H221" s="304" t="str">
        <f t="shared" si="11"/>
        <v/>
      </c>
      <c r="I221" s="305"/>
    </row>
    <row r="222" spans="1:9">
      <c r="A222" s="300">
        <v>220</v>
      </c>
      <c r="B222" s="301">
        <v>43990</v>
      </c>
      <c r="C222" s="302">
        <v>177.117988</v>
      </c>
      <c r="D222" s="303">
        <v>117.98799468998862</v>
      </c>
      <c r="E222" s="302">
        <f t="shared" si="9"/>
        <v>117.98799468998862</v>
      </c>
      <c r="F222" s="311"/>
      <c r="G222" s="208" t="str">
        <f t="shared" si="10"/>
        <v/>
      </c>
      <c r="H222" s="304" t="str">
        <f t="shared" si="11"/>
        <v/>
      </c>
      <c r="I222" s="305"/>
    </row>
    <row r="223" spans="1:9">
      <c r="A223" s="300">
        <v>221</v>
      </c>
      <c r="B223" s="301">
        <v>43991</v>
      </c>
      <c r="C223" s="302">
        <v>138.041811</v>
      </c>
      <c r="D223" s="303">
        <v>117.98799468998862</v>
      </c>
      <c r="E223" s="302">
        <f t="shared" si="9"/>
        <v>117.98799468998862</v>
      </c>
      <c r="F223" s="311"/>
      <c r="G223" s="208" t="str">
        <f t="shared" si="10"/>
        <v/>
      </c>
      <c r="H223" s="304" t="str">
        <f t="shared" si="11"/>
        <v/>
      </c>
      <c r="I223" s="305"/>
    </row>
    <row r="224" spans="1:9">
      <c r="A224" s="300">
        <v>222</v>
      </c>
      <c r="B224" s="301">
        <v>43992</v>
      </c>
      <c r="C224" s="302">
        <v>86.257873000000004</v>
      </c>
      <c r="D224" s="303">
        <v>117.98799468998862</v>
      </c>
      <c r="E224" s="302">
        <f t="shared" si="9"/>
        <v>86.257873000000004</v>
      </c>
      <c r="F224" s="311"/>
      <c r="G224" s="208" t="str">
        <f t="shared" si="10"/>
        <v/>
      </c>
      <c r="H224" s="304" t="str">
        <f t="shared" si="11"/>
        <v/>
      </c>
      <c r="I224" s="305"/>
    </row>
    <row r="225" spans="1:9">
      <c r="A225" s="300">
        <v>223</v>
      </c>
      <c r="B225" s="301">
        <v>43993</v>
      </c>
      <c r="C225" s="302">
        <v>209.45258599999997</v>
      </c>
      <c r="D225" s="303">
        <v>117.98799468998862</v>
      </c>
      <c r="E225" s="302">
        <f t="shared" si="9"/>
        <v>117.98799468998862</v>
      </c>
      <c r="F225" s="311"/>
      <c r="G225" s="208" t="str">
        <f t="shared" si="10"/>
        <v/>
      </c>
      <c r="H225" s="304" t="str">
        <f t="shared" si="11"/>
        <v/>
      </c>
      <c r="I225" s="305"/>
    </row>
    <row r="226" spans="1:9">
      <c r="A226" s="300">
        <v>224</v>
      </c>
      <c r="B226" s="301">
        <v>43994</v>
      </c>
      <c r="C226" s="302">
        <v>253.76886199999998</v>
      </c>
      <c r="D226" s="303">
        <v>117.98799468998862</v>
      </c>
      <c r="E226" s="302">
        <f t="shared" si="9"/>
        <v>117.98799468998862</v>
      </c>
      <c r="F226" s="311"/>
      <c r="G226" s="208" t="str">
        <f t="shared" si="10"/>
        <v/>
      </c>
      <c r="H226" s="304" t="str">
        <f t="shared" si="11"/>
        <v/>
      </c>
      <c r="I226" s="305"/>
    </row>
    <row r="227" spans="1:9">
      <c r="A227" s="300">
        <v>225</v>
      </c>
      <c r="B227" s="301">
        <v>43995</v>
      </c>
      <c r="C227" s="302">
        <v>169.01295999999999</v>
      </c>
      <c r="D227" s="303">
        <v>117.98799468998862</v>
      </c>
      <c r="E227" s="302">
        <f t="shared" si="9"/>
        <v>117.98799468998862</v>
      </c>
      <c r="F227" s="311"/>
      <c r="G227" s="208" t="str">
        <f t="shared" si="10"/>
        <v/>
      </c>
      <c r="H227" s="304" t="str">
        <f t="shared" si="11"/>
        <v/>
      </c>
      <c r="I227" s="305"/>
    </row>
    <row r="228" spans="1:9">
      <c r="A228" s="300">
        <v>226</v>
      </c>
      <c r="B228" s="301">
        <v>43996</v>
      </c>
      <c r="C228" s="302">
        <v>79.483829</v>
      </c>
      <c r="D228" s="303">
        <v>117.98799468998862</v>
      </c>
      <c r="E228" s="302">
        <f t="shared" si="9"/>
        <v>79.483829</v>
      </c>
      <c r="F228" s="311"/>
      <c r="G228" s="208" t="str">
        <f t="shared" si="10"/>
        <v/>
      </c>
      <c r="H228" s="304" t="str">
        <f t="shared" si="11"/>
        <v/>
      </c>
      <c r="I228" s="305"/>
    </row>
    <row r="229" spans="1:9">
      <c r="A229" s="300">
        <v>227</v>
      </c>
      <c r="B229" s="301">
        <v>43997</v>
      </c>
      <c r="C229" s="302">
        <v>83.040767000000002</v>
      </c>
      <c r="D229" s="303">
        <v>117.98799468998862</v>
      </c>
      <c r="E229" s="302">
        <f t="shared" si="9"/>
        <v>83.040767000000002</v>
      </c>
      <c r="F229" s="311"/>
      <c r="G229" s="208" t="str">
        <f t="shared" si="10"/>
        <v>J</v>
      </c>
      <c r="H229" s="304" t="str">
        <f t="shared" si="11"/>
        <v>118,0</v>
      </c>
      <c r="I229" s="305"/>
    </row>
    <row r="230" spans="1:9">
      <c r="A230" s="300">
        <v>228</v>
      </c>
      <c r="B230" s="301">
        <v>43998</v>
      </c>
      <c r="C230" s="302">
        <v>112.983405</v>
      </c>
      <c r="D230" s="303">
        <v>117.98799468998862</v>
      </c>
      <c r="E230" s="302">
        <f t="shared" si="9"/>
        <v>112.983405</v>
      </c>
      <c r="F230" s="305"/>
      <c r="G230" s="208" t="str">
        <f t="shared" si="10"/>
        <v/>
      </c>
      <c r="H230" s="304" t="str">
        <f t="shared" si="11"/>
        <v/>
      </c>
      <c r="I230" s="305"/>
    </row>
    <row r="231" spans="1:9">
      <c r="A231" s="300">
        <v>229</v>
      </c>
      <c r="B231" s="301">
        <v>43999</v>
      </c>
      <c r="C231" s="302">
        <v>64.546361000000005</v>
      </c>
      <c r="D231" s="303">
        <v>117.98799468998862</v>
      </c>
      <c r="E231" s="302">
        <f t="shared" si="9"/>
        <v>64.546361000000005</v>
      </c>
      <c r="F231" s="311"/>
      <c r="G231" s="208" t="str">
        <f t="shared" si="10"/>
        <v/>
      </c>
      <c r="H231" s="304" t="str">
        <f t="shared" si="11"/>
        <v/>
      </c>
      <c r="I231" s="305"/>
    </row>
    <row r="232" spans="1:9">
      <c r="A232" s="300">
        <v>230</v>
      </c>
      <c r="B232" s="301">
        <v>44000</v>
      </c>
      <c r="C232" s="302">
        <v>48.089733000000003</v>
      </c>
      <c r="D232" s="303">
        <v>117.98799468998862</v>
      </c>
      <c r="E232" s="302">
        <f t="shared" si="9"/>
        <v>48.089733000000003</v>
      </c>
      <c r="F232" s="311"/>
      <c r="G232" s="208" t="str">
        <f t="shared" si="10"/>
        <v/>
      </c>
      <c r="H232" s="304" t="str">
        <f t="shared" si="11"/>
        <v/>
      </c>
      <c r="I232" s="305"/>
    </row>
    <row r="233" spans="1:9">
      <c r="A233" s="300">
        <v>231</v>
      </c>
      <c r="B233" s="301">
        <v>44001</v>
      </c>
      <c r="C233" s="302">
        <v>56.371910999999997</v>
      </c>
      <c r="D233" s="303">
        <v>117.98799468998862</v>
      </c>
      <c r="E233" s="302">
        <f t="shared" si="9"/>
        <v>56.371910999999997</v>
      </c>
      <c r="F233" s="311"/>
      <c r="G233" s="208" t="str">
        <f t="shared" si="10"/>
        <v/>
      </c>
      <c r="H233" s="304" t="str">
        <f t="shared" si="11"/>
        <v/>
      </c>
      <c r="I233" s="305"/>
    </row>
    <row r="234" spans="1:9">
      <c r="A234" s="300">
        <v>232</v>
      </c>
      <c r="B234" s="301">
        <v>44002</v>
      </c>
      <c r="C234" s="302">
        <v>56.804876999999998</v>
      </c>
      <c r="D234" s="303">
        <v>117.98799468998862</v>
      </c>
      <c r="E234" s="302">
        <f t="shared" si="9"/>
        <v>56.804876999999998</v>
      </c>
      <c r="F234" s="311"/>
      <c r="G234" s="208" t="str">
        <f t="shared" si="10"/>
        <v/>
      </c>
      <c r="H234" s="304" t="str">
        <f t="shared" si="11"/>
        <v/>
      </c>
      <c r="I234" s="305"/>
    </row>
    <row r="235" spans="1:9">
      <c r="A235" s="300">
        <v>233</v>
      </c>
      <c r="B235" s="301">
        <v>44003</v>
      </c>
      <c r="C235" s="302">
        <v>93.508905999999996</v>
      </c>
      <c r="D235" s="303">
        <v>117.98799468998862</v>
      </c>
      <c r="E235" s="302">
        <f t="shared" si="9"/>
        <v>93.508905999999996</v>
      </c>
      <c r="F235" s="311"/>
      <c r="G235" s="208" t="str">
        <f t="shared" si="10"/>
        <v/>
      </c>
      <c r="H235" s="304" t="str">
        <f t="shared" si="11"/>
        <v/>
      </c>
      <c r="I235" s="305"/>
    </row>
    <row r="236" spans="1:9">
      <c r="A236" s="300">
        <v>234</v>
      </c>
      <c r="B236" s="301">
        <v>44004</v>
      </c>
      <c r="C236" s="302">
        <v>131.30022999999997</v>
      </c>
      <c r="D236" s="303">
        <v>117.98799468998862</v>
      </c>
      <c r="E236" s="302">
        <f t="shared" si="9"/>
        <v>117.98799468998862</v>
      </c>
      <c r="F236" s="311"/>
      <c r="G236" s="208" t="str">
        <f t="shared" si="10"/>
        <v/>
      </c>
      <c r="H236" s="304" t="str">
        <f t="shared" si="11"/>
        <v/>
      </c>
      <c r="I236" s="305"/>
    </row>
    <row r="237" spans="1:9">
      <c r="A237" s="300">
        <v>235</v>
      </c>
      <c r="B237" s="301">
        <v>44005</v>
      </c>
      <c r="C237" s="302">
        <v>101.871376</v>
      </c>
      <c r="D237" s="303">
        <v>117.98799468998862</v>
      </c>
      <c r="E237" s="302">
        <f t="shared" si="9"/>
        <v>101.871376</v>
      </c>
      <c r="F237" s="311"/>
      <c r="G237" s="208" t="str">
        <f t="shared" si="10"/>
        <v/>
      </c>
      <c r="H237" s="304" t="str">
        <f t="shared" si="11"/>
        <v/>
      </c>
      <c r="I237" s="305"/>
    </row>
    <row r="238" spans="1:9">
      <c r="A238" s="300">
        <v>236</v>
      </c>
      <c r="B238" s="301">
        <v>44006</v>
      </c>
      <c r="C238" s="302">
        <v>89.436520999999999</v>
      </c>
      <c r="D238" s="303">
        <v>117.98799468998862</v>
      </c>
      <c r="E238" s="302">
        <f t="shared" si="9"/>
        <v>89.436520999999999</v>
      </c>
      <c r="F238" s="311"/>
      <c r="G238" s="208" t="str">
        <f t="shared" si="10"/>
        <v/>
      </c>
      <c r="H238" s="304" t="str">
        <f t="shared" si="11"/>
        <v/>
      </c>
      <c r="I238" s="305"/>
    </row>
    <row r="239" spans="1:9">
      <c r="A239" s="300">
        <v>237</v>
      </c>
      <c r="B239" s="301">
        <v>44007</v>
      </c>
      <c r="C239" s="302">
        <v>82.739983999999993</v>
      </c>
      <c r="D239" s="303">
        <v>117.98799468998862</v>
      </c>
      <c r="E239" s="302">
        <f t="shared" si="9"/>
        <v>82.739983999999993</v>
      </c>
      <c r="F239" s="311"/>
      <c r="G239" s="208" t="str">
        <f t="shared" si="10"/>
        <v/>
      </c>
      <c r="H239" s="304" t="str">
        <f t="shared" si="11"/>
        <v/>
      </c>
      <c r="I239" s="305"/>
    </row>
    <row r="240" spans="1:9">
      <c r="A240" s="300">
        <v>238</v>
      </c>
      <c r="B240" s="301">
        <v>44008</v>
      </c>
      <c r="C240" s="302">
        <v>112.994186</v>
      </c>
      <c r="D240" s="303">
        <v>117.98799468998862</v>
      </c>
      <c r="E240" s="302">
        <f t="shared" si="9"/>
        <v>112.994186</v>
      </c>
      <c r="F240" s="311"/>
      <c r="G240" s="208" t="str">
        <f t="shared" si="10"/>
        <v/>
      </c>
      <c r="H240" s="304" t="str">
        <f t="shared" si="11"/>
        <v/>
      </c>
      <c r="I240" s="305"/>
    </row>
    <row r="241" spans="1:9">
      <c r="A241" s="300">
        <v>239</v>
      </c>
      <c r="B241" s="301">
        <v>44009</v>
      </c>
      <c r="C241" s="302">
        <v>91.894996000000006</v>
      </c>
      <c r="D241" s="303">
        <v>117.98799468998862</v>
      </c>
      <c r="E241" s="302">
        <f t="shared" si="9"/>
        <v>91.894996000000006</v>
      </c>
      <c r="F241" s="311"/>
      <c r="G241" s="208" t="str">
        <f t="shared" si="10"/>
        <v/>
      </c>
      <c r="H241" s="304" t="str">
        <f t="shared" si="11"/>
        <v/>
      </c>
      <c r="I241" s="305"/>
    </row>
    <row r="242" spans="1:9">
      <c r="A242" s="300">
        <v>240</v>
      </c>
      <c r="B242" s="301">
        <v>44010</v>
      </c>
      <c r="C242" s="302">
        <v>63.899411000000001</v>
      </c>
      <c r="D242" s="303">
        <v>117.98799468998862</v>
      </c>
      <c r="E242" s="302">
        <f t="shared" si="9"/>
        <v>63.899411000000001</v>
      </c>
      <c r="F242" s="311"/>
      <c r="G242" s="208" t="str">
        <f t="shared" si="10"/>
        <v/>
      </c>
      <c r="H242" s="304" t="str">
        <f t="shared" si="11"/>
        <v/>
      </c>
      <c r="I242" s="305"/>
    </row>
    <row r="243" spans="1:9">
      <c r="A243" s="300">
        <v>241</v>
      </c>
      <c r="B243" s="301">
        <v>44011</v>
      </c>
      <c r="C243" s="302">
        <v>91.831024999999997</v>
      </c>
      <c r="D243" s="303">
        <v>117.98799468998862</v>
      </c>
      <c r="E243" s="302">
        <f t="shared" si="9"/>
        <v>91.831024999999997</v>
      </c>
      <c r="F243" s="311"/>
      <c r="G243" s="208" t="str">
        <f t="shared" si="10"/>
        <v/>
      </c>
      <c r="H243" s="304" t="str">
        <f t="shared" si="11"/>
        <v/>
      </c>
      <c r="I243" s="305"/>
    </row>
    <row r="244" spans="1:9">
      <c r="A244" s="300">
        <v>242</v>
      </c>
      <c r="B244" s="301">
        <v>44012</v>
      </c>
      <c r="C244" s="302">
        <v>94.42276600000001</v>
      </c>
      <c r="D244" s="303">
        <v>117.98799468998862</v>
      </c>
      <c r="E244" s="302">
        <f t="shared" si="9"/>
        <v>94.42276600000001</v>
      </c>
      <c r="F244" s="311"/>
      <c r="G244" s="208" t="str">
        <f t="shared" si="10"/>
        <v/>
      </c>
      <c r="H244" s="304" t="str">
        <f t="shared" si="11"/>
        <v/>
      </c>
      <c r="I244" s="305"/>
    </row>
    <row r="245" spans="1:9">
      <c r="A245" s="300">
        <v>243</v>
      </c>
      <c r="B245" s="301">
        <v>44013</v>
      </c>
      <c r="C245" s="302">
        <v>90.985439999999997</v>
      </c>
      <c r="D245" s="303">
        <v>114.16743186792735</v>
      </c>
      <c r="E245" s="302">
        <f t="shared" si="9"/>
        <v>90.985439999999997</v>
      </c>
      <c r="F245" s="311"/>
      <c r="G245" s="208" t="str">
        <f t="shared" si="10"/>
        <v/>
      </c>
      <c r="H245" s="304" t="str">
        <f t="shared" si="11"/>
        <v/>
      </c>
      <c r="I245" s="305"/>
    </row>
    <row r="246" spans="1:9">
      <c r="A246" s="300">
        <v>244</v>
      </c>
      <c r="B246" s="301">
        <v>44014</v>
      </c>
      <c r="C246" s="302">
        <v>123.16968300000001</v>
      </c>
      <c r="D246" s="303">
        <v>114.16743186792735</v>
      </c>
      <c r="E246" s="302">
        <f t="shared" si="9"/>
        <v>114.16743186792735</v>
      </c>
      <c r="F246" s="311"/>
      <c r="G246" s="208" t="str">
        <f t="shared" si="10"/>
        <v/>
      </c>
      <c r="H246" s="304" t="str">
        <f t="shared" si="11"/>
        <v/>
      </c>
      <c r="I246" s="305"/>
    </row>
    <row r="247" spans="1:9">
      <c r="A247" s="300">
        <v>245</v>
      </c>
      <c r="B247" s="301">
        <v>44015</v>
      </c>
      <c r="C247" s="302">
        <v>137.04141499999997</v>
      </c>
      <c r="D247" s="303">
        <v>114.16743186792735</v>
      </c>
      <c r="E247" s="302">
        <f t="shared" si="9"/>
        <v>114.16743186792735</v>
      </c>
      <c r="F247" s="305"/>
      <c r="G247" s="208" t="str">
        <f t="shared" si="10"/>
        <v/>
      </c>
      <c r="H247" s="304" t="str">
        <f t="shared" si="11"/>
        <v/>
      </c>
      <c r="I247" s="305"/>
    </row>
    <row r="248" spans="1:9">
      <c r="A248" s="300">
        <v>246</v>
      </c>
      <c r="B248" s="301">
        <v>44016</v>
      </c>
      <c r="C248" s="302">
        <v>102.957401</v>
      </c>
      <c r="D248" s="303">
        <v>114.16743186792735</v>
      </c>
      <c r="E248" s="302">
        <f t="shared" si="9"/>
        <v>102.957401</v>
      </c>
      <c r="F248" s="311"/>
      <c r="G248" s="208" t="str">
        <f t="shared" si="10"/>
        <v/>
      </c>
      <c r="H248" s="304" t="str">
        <f t="shared" si="11"/>
        <v/>
      </c>
      <c r="I248" s="305"/>
    </row>
    <row r="249" spans="1:9">
      <c r="A249" s="300">
        <v>247</v>
      </c>
      <c r="B249" s="301">
        <v>44017</v>
      </c>
      <c r="C249" s="302">
        <v>117.405108</v>
      </c>
      <c r="D249" s="303">
        <v>114.16743186792735</v>
      </c>
      <c r="E249" s="302">
        <f t="shared" si="9"/>
        <v>114.16743186792735</v>
      </c>
      <c r="F249" s="311"/>
      <c r="G249" s="208" t="str">
        <f t="shared" si="10"/>
        <v/>
      </c>
      <c r="H249" s="304" t="str">
        <f t="shared" si="11"/>
        <v/>
      </c>
      <c r="I249" s="305"/>
    </row>
    <row r="250" spans="1:9">
      <c r="A250" s="300">
        <v>248</v>
      </c>
      <c r="B250" s="301">
        <v>44018</v>
      </c>
      <c r="C250" s="302">
        <v>213.713482</v>
      </c>
      <c r="D250" s="303">
        <v>114.16743186792735</v>
      </c>
      <c r="E250" s="302">
        <f t="shared" si="9"/>
        <v>114.16743186792735</v>
      </c>
      <c r="F250" s="311"/>
      <c r="G250" s="208" t="str">
        <f t="shared" si="10"/>
        <v/>
      </c>
      <c r="H250" s="304" t="str">
        <f t="shared" si="11"/>
        <v/>
      </c>
      <c r="I250" s="305"/>
    </row>
    <row r="251" spans="1:9">
      <c r="A251" s="300">
        <v>249</v>
      </c>
      <c r="B251" s="301">
        <v>44019</v>
      </c>
      <c r="C251" s="302">
        <v>133.55902499999999</v>
      </c>
      <c r="D251" s="303">
        <v>114.16743186792735</v>
      </c>
      <c r="E251" s="302">
        <f t="shared" si="9"/>
        <v>114.16743186792735</v>
      </c>
      <c r="F251" s="311"/>
      <c r="G251" s="208" t="str">
        <f t="shared" si="10"/>
        <v/>
      </c>
      <c r="H251" s="304" t="str">
        <f t="shared" si="11"/>
        <v/>
      </c>
      <c r="I251" s="305"/>
    </row>
    <row r="252" spans="1:9">
      <c r="A252" s="300">
        <v>250</v>
      </c>
      <c r="B252" s="301">
        <v>44020</v>
      </c>
      <c r="C252" s="302">
        <v>153.37607299999999</v>
      </c>
      <c r="D252" s="303">
        <v>114.16743186792735</v>
      </c>
      <c r="E252" s="302">
        <f t="shared" si="9"/>
        <v>114.16743186792735</v>
      </c>
      <c r="F252" s="311"/>
      <c r="G252" s="208" t="str">
        <f t="shared" si="10"/>
        <v/>
      </c>
      <c r="H252" s="304" t="str">
        <f t="shared" si="11"/>
        <v/>
      </c>
      <c r="I252" s="305"/>
    </row>
    <row r="253" spans="1:9">
      <c r="A253" s="300">
        <v>251</v>
      </c>
      <c r="B253" s="301">
        <v>44021</v>
      </c>
      <c r="C253" s="302">
        <v>97.588069000000004</v>
      </c>
      <c r="D253" s="303">
        <v>114.16743186792735</v>
      </c>
      <c r="E253" s="302">
        <f t="shared" si="9"/>
        <v>97.588069000000004</v>
      </c>
      <c r="F253" s="311"/>
      <c r="G253" s="208" t="str">
        <f t="shared" si="10"/>
        <v/>
      </c>
      <c r="H253" s="304" t="str">
        <f t="shared" si="11"/>
        <v/>
      </c>
      <c r="I253" s="305"/>
    </row>
    <row r="254" spans="1:9">
      <c r="A254" s="300">
        <v>252</v>
      </c>
      <c r="B254" s="301">
        <v>44022</v>
      </c>
      <c r="C254" s="302">
        <v>132.11793699999998</v>
      </c>
      <c r="D254" s="303">
        <v>114.16743186792735</v>
      </c>
      <c r="E254" s="302">
        <f t="shared" si="9"/>
        <v>114.16743186792735</v>
      </c>
      <c r="F254" s="311"/>
      <c r="G254" s="208" t="str">
        <f t="shared" si="10"/>
        <v/>
      </c>
      <c r="H254" s="304" t="str">
        <f t="shared" si="11"/>
        <v/>
      </c>
      <c r="I254" s="305"/>
    </row>
    <row r="255" spans="1:9">
      <c r="A255" s="300">
        <v>253</v>
      </c>
      <c r="B255" s="301">
        <v>44023</v>
      </c>
      <c r="C255" s="302">
        <v>217.17510499999997</v>
      </c>
      <c r="D255" s="303">
        <v>114.16743186792735</v>
      </c>
      <c r="E255" s="302">
        <f t="shared" si="9"/>
        <v>114.16743186792735</v>
      </c>
      <c r="F255" s="311"/>
      <c r="G255" s="208" t="str">
        <f t="shared" si="10"/>
        <v/>
      </c>
      <c r="H255" s="304" t="str">
        <f t="shared" si="11"/>
        <v/>
      </c>
      <c r="I255" s="305"/>
    </row>
    <row r="256" spans="1:9">
      <c r="A256" s="300">
        <v>254</v>
      </c>
      <c r="B256" s="301">
        <v>44024</v>
      </c>
      <c r="C256" s="302">
        <v>172.88303299999998</v>
      </c>
      <c r="D256" s="303">
        <v>114.16743186792735</v>
      </c>
      <c r="E256" s="302">
        <f t="shared" si="9"/>
        <v>114.16743186792735</v>
      </c>
      <c r="F256" s="311"/>
      <c r="G256" s="208" t="str">
        <f t="shared" si="10"/>
        <v/>
      </c>
      <c r="H256" s="304" t="str">
        <f t="shared" si="11"/>
        <v/>
      </c>
      <c r="I256" s="305"/>
    </row>
    <row r="257" spans="1:9">
      <c r="A257" s="300">
        <v>255</v>
      </c>
      <c r="B257" s="301">
        <v>44025</v>
      </c>
      <c r="C257" s="302">
        <v>188.836975</v>
      </c>
      <c r="D257" s="303">
        <v>114.16743186792735</v>
      </c>
      <c r="E257" s="302">
        <f t="shared" si="9"/>
        <v>114.16743186792735</v>
      </c>
      <c r="F257" s="311"/>
      <c r="G257" s="208" t="str">
        <f t="shared" si="10"/>
        <v/>
      </c>
      <c r="H257" s="304" t="str">
        <f t="shared" si="11"/>
        <v/>
      </c>
      <c r="I257" s="305"/>
    </row>
    <row r="258" spans="1:9">
      <c r="A258" s="300">
        <v>256</v>
      </c>
      <c r="B258" s="301">
        <v>44026</v>
      </c>
      <c r="C258" s="302">
        <v>199.31800799999999</v>
      </c>
      <c r="D258" s="303">
        <v>114.16743186792735</v>
      </c>
      <c r="E258" s="302">
        <f t="shared" si="9"/>
        <v>114.16743186792735</v>
      </c>
      <c r="F258" s="311"/>
      <c r="G258" s="208" t="str">
        <f t="shared" si="10"/>
        <v/>
      </c>
      <c r="H258" s="304" t="str">
        <f t="shared" si="11"/>
        <v/>
      </c>
      <c r="I258" s="305"/>
    </row>
    <row r="259" spans="1:9">
      <c r="A259" s="300">
        <v>257</v>
      </c>
      <c r="B259" s="301">
        <v>44027</v>
      </c>
      <c r="C259" s="302">
        <v>223.74370999999999</v>
      </c>
      <c r="D259" s="303">
        <v>114.16743186792735</v>
      </c>
      <c r="E259" s="302">
        <f t="shared" ref="E259:E322" si="12">IF(C259&gt;D259,D259,C259)</f>
        <v>114.16743186792735</v>
      </c>
      <c r="F259" s="311"/>
      <c r="G259" s="208" t="str">
        <f t="shared" ref="G259:G322" si="13">IF(DAY(B259)=15,IF(MONTH(B259)=1,"E",IF(MONTH(B259)=2,"F",IF(MONTH(B259)=3,"M",IF(MONTH(B259)=4,"A",IF(MONTH(B259)=5,"M",IF(MONTH(B259)=6,"J",IF(MONTH(B259)=7,"J",IF(MONTH(B259)=8,"A",IF(MONTH(B259)=9,"S",IF(MONTH(B259)=10,"O",IF(MONTH(B259)=11,"N",IF(MONTH(B259)=12,"D","")))))))))))),"")</f>
        <v>J</v>
      </c>
      <c r="H259" s="304" t="str">
        <f t="shared" ref="H259:H322" si="14">IF(DAY($B259)=15,TEXT(D259,"#,0"),"")</f>
        <v>114,2</v>
      </c>
      <c r="I259" s="305"/>
    </row>
    <row r="260" spans="1:9">
      <c r="A260" s="300">
        <v>258</v>
      </c>
      <c r="B260" s="301">
        <v>44028</v>
      </c>
      <c r="C260" s="302">
        <v>196.46447100000003</v>
      </c>
      <c r="D260" s="303">
        <v>114.16743186792735</v>
      </c>
      <c r="E260" s="302">
        <f t="shared" si="12"/>
        <v>114.16743186792735</v>
      </c>
      <c r="F260" s="311"/>
      <c r="G260" s="208" t="str">
        <f t="shared" si="13"/>
        <v/>
      </c>
      <c r="H260" s="304" t="str">
        <f t="shared" si="14"/>
        <v/>
      </c>
      <c r="I260" s="305"/>
    </row>
    <row r="261" spans="1:9">
      <c r="A261" s="300">
        <v>259</v>
      </c>
      <c r="B261" s="301">
        <v>44029</v>
      </c>
      <c r="C261" s="302">
        <v>212.92841300000001</v>
      </c>
      <c r="D261" s="303">
        <v>114.16743186792735</v>
      </c>
      <c r="E261" s="302">
        <f t="shared" si="12"/>
        <v>114.16743186792735</v>
      </c>
      <c r="G261" s="208" t="str">
        <f t="shared" si="13"/>
        <v/>
      </c>
      <c r="H261" s="304" t="str">
        <f t="shared" si="14"/>
        <v/>
      </c>
      <c r="I261" s="305"/>
    </row>
    <row r="262" spans="1:9">
      <c r="A262" s="300">
        <v>260</v>
      </c>
      <c r="B262" s="301">
        <v>44030</v>
      </c>
      <c r="C262" s="302">
        <v>87.872212000000005</v>
      </c>
      <c r="D262" s="303">
        <v>114.16743186792735</v>
      </c>
      <c r="E262" s="302">
        <f t="shared" si="12"/>
        <v>87.872212000000005</v>
      </c>
      <c r="F262" s="311"/>
      <c r="G262" s="208" t="str">
        <f t="shared" si="13"/>
        <v/>
      </c>
      <c r="H262" s="304" t="str">
        <f t="shared" si="14"/>
        <v/>
      </c>
      <c r="I262" s="305"/>
    </row>
    <row r="263" spans="1:9">
      <c r="A263" s="300">
        <v>261</v>
      </c>
      <c r="B263" s="301">
        <v>44031</v>
      </c>
      <c r="C263" s="302">
        <v>76.107695000000007</v>
      </c>
      <c r="D263" s="303">
        <v>114.16743186792735</v>
      </c>
      <c r="E263" s="302">
        <f t="shared" si="12"/>
        <v>76.107695000000007</v>
      </c>
      <c r="F263" s="311"/>
      <c r="G263" s="208" t="str">
        <f t="shared" si="13"/>
        <v/>
      </c>
      <c r="H263" s="304" t="str">
        <f t="shared" si="14"/>
        <v/>
      </c>
      <c r="I263" s="305"/>
    </row>
    <row r="264" spans="1:9">
      <c r="A264" s="300">
        <v>262</v>
      </c>
      <c r="B264" s="301">
        <v>44032</v>
      </c>
      <c r="C264" s="302">
        <v>136.62175500000001</v>
      </c>
      <c r="D264" s="303">
        <v>114.16743186792735</v>
      </c>
      <c r="E264" s="302">
        <f t="shared" si="12"/>
        <v>114.16743186792735</v>
      </c>
      <c r="F264" s="311"/>
      <c r="G264" s="208" t="str">
        <f t="shared" si="13"/>
        <v/>
      </c>
      <c r="H264" s="304" t="str">
        <f t="shared" si="14"/>
        <v/>
      </c>
      <c r="I264" s="305"/>
    </row>
    <row r="265" spans="1:9">
      <c r="A265" s="300">
        <v>263</v>
      </c>
      <c r="B265" s="301">
        <v>44033</v>
      </c>
      <c r="C265" s="302">
        <v>167.21426500000001</v>
      </c>
      <c r="D265" s="303">
        <v>114.16743186792735</v>
      </c>
      <c r="E265" s="302">
        <f t="shared" si="12"/>
        <v>114.16743186792735</v>
      </c>
      <c r="F265" s="311"/>
      <c r="G265" s="208" t="str">
        <f t="shared" si="13"/>
        <v/>
      </c>
      <c r="H265" s="304" t="str">
        <f t="shared" si="14"/>
        <v/>
      </c>
      <c r="I265" s="305"/>
    </row>
    <row r="266" spans="1:9">
      <c r="A266" s="300">
        <v>264</v>
      </c>
      <c r="B266" s="301">
        <v>44034</v>
      </c>
      <c r="C266" s="302">
        <v>79.771640000000005</v>
      </c>
      <c r="D266" s="303">
        <v>114.16743186792735</v>
      </c>
      <c r="E266" s="302">
        <f t="shared" si="12"/>
        <v>79.771640000000005</v>
      </c>
      <c r="F266" s="311"/>
      <c r="G266" s="208" t="str">
        <f t="shared" si="13"/>
        <v/>
      </c>
      <c r="H266" s="304" t="str">
        <f t="shared" si="14"/>
        <v/>
      </c>
      <c r="I266" s="305"/>
    </row>
    <row r="267" spans="1:9">
      <c r="A267" s="300">
        <v>265</v>
      </c>
      <c r="B267" s="301">
        <v>44035</v>
      </c>
      <c r="C267" s="302">
        <v>66.864471000000009</v>
      </c>
      <c r="D267" s="303">
        <v>114.16743186792735</v>
      </c>
      <c r="E267" s="302">
        <f t="shared" si="12"/>
        <v>66.864471000000009</v>
      </c>
      <c r="F267" s="311"/>
      <c r="G267" s="208" t="str">
        <f t="shared" si="13"/>
        <v/>
      </c>
      <c r="H267" s="304" t="str">
        <f t="shared" si="14"/>
        <v/>
      </c>
      <c r="I267" s="305"/>
    </row>
    <row r="268" spans="1:9">
      <c r="A268" s="300">
        <v>266</v>
      </c>
      <c r="B268" s="301">
        <v>44036</v>
      </c>
      <c r="C268" s="302">
        <v>109.483653</v>
      </c>
      <c r="D268" s="303">
        <v>114.16743186792735</v>
      </c>
      <c r="E268" s="302">
        <f t="shared" si="12"/>
        <v>109.483653</v>
      </c>
      <c r="F268" s="311"/>
      <c r="G268" s="208" t="str">
        <f t="shared" si="13"/>
        <v/>
      </c>
      <c r="H268" s="304" t="str">
        <f t="shared" si="14"/>
        <v/>
      </c>
      <c r="I268" s="305"/>
    </row>
    <row r="269" spans="1:9">
      <c r="A269" s="300">
        <v>267</v>
      </c>
      <c r="B269" s="301">
        <v>44037</v>
      </c>
      <c r="C269" s="302">
        <v>75.007659000000004</v>
      </c>
      <c r="D269" s="303">
        <v>114.16743186792735</v>
      </c>
      <c r="E269" s="302">
        <f t="shared" si="12"/>
        <v>75.007659000000004</v>
      </c>
      <c r="F269" s="311"/>
      <c r="G269" s="208" t="str">
        <f t="shared" si="13"/>
        <v/>
      </c>
      <c r="H269" s="304" t="str">
        <f t="shared" si="14"/>
        <v/>
      </c>
      <c r="I269" s="305"/>
    </row>
    <row r="270" spans="1:9">
      <c r="A270" s="300">
        <v>268</v>
      </c>
      <c r="B270" s="301">
        <v>44038</v>
      </c>
      <c r="C270" s="302">
        <v>65.888727000000003</v>
      </c>
      <c r="D270" s="303">
        <v>114.16743186792735</v>
      </c>
      <c r="E270" s="302">
        <f t="shared" si="12"/>
        <v>65.888727000000003</v>
      </c>
      <c r="F270" s="311"/>
      <c r="G270" s="208" t="str">
        <f t="shared" si="13"/>
        <v/>
      </c>
      <c r="H270" s="304" t="str">
        <f t="shared" si="14"/>
        <v/>
      </c>
      <c r="I270" s="305"/>
    </row>
    <row r="271" spans="1:9">
      <c r="A271" s="300">
        <v>269</v>
      </c>
      <c r="B271" s="301">
        <v>44039</v>
      </c>
      <c r="C271" s="302">
        <v>101.78352099999999</v>
      </c>
      <c r="D271" s="303">
        <v>114.16743186792735</v>
      </c>
      <c r="E271" s="302">
        <f t="shared" si="12"/>
        <v>101.78352099999999</v>
      </c>
      <c r="F271" s="311"/>
      <c r="G271" s="208" t="str">
        <f t="shared" si="13"/>
        <v/>
      </c>
      <c r="H271" s="304" t="str">
        <f t="shared" si="14"/>
        <v/>
      </c>
      <c r="I271" s="305"/>
    </row>
    <row r="272" spans="1:9">
      <c r="A272" s="300">
        <v>270</v>
      </c>
      <c r="B272" s="301">
        <v>44040</v>
      </c>
      <c r="C272" s="302">
        <v>134.53842</v>
      </c>
      <c r="D272" s="303">
        <v>114.16743186792735</v>
      </c>
      <c r="E272" s="302">
        <f t="shared" si="12"/>
        <v>114.16743186792735</v>
      </c>
      <c r="F272" s="311"/>
      <c r="G272" s="208" t="str">
        <f t="shared" si="13"/>
        <v/>
      </c>
      <c r="H272" s="304" t="str">
        <f t="shared" si="14"/>
        <v/>
      </c>
      <c r="I272" s="305"/>
    </row>
    <row r="273" spans="1:9">
      <c r="A273" s="300">
        <v>271</v>
      </c>
      <c r="B273" s="301">
        <v>44041</v>
      </c>
      <c r="C273" s="302">
        <v>122.706419</v>
      </c>
      <c r="D273" s="303">
        <v>114.16743186792735</v>
      </c>
      <c r="E273" s="302">
        <f t="shared" si="12"/>
        <v>114.16743186792735</v>
      </c>
      <c r="F273" s="311"/>
      <c r="G273" s="208" t="str">
        <f t="shared" si="13"/>
        <v/>
      </c>
      <c r="H273" s="304" t="str">
        <f t="shared" si="14"/>
        <v/>
      </c>
      <c r="I273" s="305"/>
    </row>
    <row r="274" spans="1:9">
      <c r="A274" s="300">
        <v>272</v>
      </c>
      <c r="B274" s="301">
        <v>44042</v>
      </c>
      <c r="C274" s="302">
        <v>137.93043700000001</v>
      </c>
      <c r="D274" s="303">
        <v>114.16743186792735</v>
      </c>
      <c r="E274" s="302">
        <f t="shared" si="12"/>
        <v>114.16743186792735</v>
      </c>
      <c r="F274" s="311"/>
      <c r="G274" s="208" t="str">
        <f t="shared" si="13"/>
        <v/>
      </c>
      <c r="H274" s="304" t="str">
        <f t="shared" si="14"/>
        <v/>
      </c>
      <c r="I274" s="305"/>
    </row>
    <row r="275" spans="1:9">
      <c r="A275" s="300">
        <v>273</v>
      </c>
      <c r="B275" s="301">
        <v>44043</v>
      </c>
      <c r="C275" s="302">
        <v>56.699894999999998</v>
      </c>
      <c r="D275" s="303">
        <v>114.16743186792735</v>
      </c>
      <c r="E275" s="302">
        <f t="shared" si="12"/>
        <v>56.699894999999998</v>
      </c>
      <c r="F275" s="311"/>
      <c r="G275" s="208" t="str">
        <f t="shared" si="13"/>
        <v/>
      </c>
      <c r="H275" s="304" t="str">
        <f t="shared" si="14"/>
        <v/>
      </c>
      <c r="I275" s="305"/>
    </row>
    <row r="276" spans="1:9">
      <c r="A276" s="300">
        <v>274</v>
      </c>
      <c r="B276" s="301">
        <v>44044</v>
      </c>
      <c r="C276" s="302">
        <v>131.74607999999998</v>
      </c>
      <c r="D276" s="303">
        <v>113.31003930622772</v>
      </c>
      <c r="E276" s="302">
        <f t="shared" si="12"/>
        <v>113.31003930622772</v>
      </c>
      <c r="F276" s="311"/>
      <c r="G276" s="208" t="str">
        <f t="shared" si="13"/>
        <v/>
      </c>
      <c r="H276" s="304" t="str">
        <f t="shared" si="14"/>
        <v/>
      </c>
      <c r="I276" s="305"/>
    </row>
    <row r="277" spans="1:9">
      <c r="A277" s="300">
        <v>275</v>
      </c>
      <c r="B277" s="301">
        <v>44045</v>
      </c>
      <c r="C277" s="302">
        <v>186.58315400000001</v>
      </c>
      <c r="D277" s="303">
        <v>113.31003930622772</v>
      </c>
      <c r="E277" s="302">
        <f t="shared" si="12"/>
        <v>113.31003930622772</v>
      </c>
      <c r="G277" s="208" t="str">
        <f t="shared" si="13"/>
        <v/>
      </c>
      <c r="H277" s="304" t="str">
        <f t="shared" si="14"/>
        <v/>
      </c>
      <c r="I277" s="305"/>
    </row>
    <row r="278" spans="1:9">
      <c r="A278" s="300">
        <v>276</v>
      </c>
      <c r="B278" s="301">
        <v>44046</v>
      </c>
      <c r="C278" s="302">
        <v>150.797743</v>
      </c>
      <c r="D278" s="303">
        <v>113.31003930622772</v>
      </c>
      <c r="E278" s="302">
        <f t="shared" si="12"/>
        <v>113.31003930622772</v>
      </c>
      <c r="F278" s="311"/>
      <c r="G278" s="208" t="str">
        <f t="shared" si="13"/>
        <v/>
      </c>
      <c r="H278" s="304" t="str">
        <f t="shared" si="14"/>
        <v/>
      </c>
      <c r="I278" s="305"/>
    </row>
    <row r="279" spans="1:9">
      <c r="A279" s="300">
        <v>277</v>
      </c>
      <c r="B279" s="301">
        <v>44047</v>
      </c>
      <c r="C279" s="302">
        <v>127.979634</v>
      </c>
      <c r="D279" s="303">
        <v>113.31003930622772</v>
      </c>
      <c r="E279" s="302">
        <f t="shared" si="12"/>
        <v>113.31003930622772</v>
      </c>
      <c r="F279" s="311"/>
      <c r="G279" s="208" t="str">
        <f t="shared" si="13"/>
        <v/>
      </c>
      <c r="H279" s="304" t="str">
        <f t="shared" si="14"/>
        <v/>
      </c>
      <c r="I279" s="305"/>
    </row>
    <row r="280" spans="1:9">
      <c r="A280" s="300">
        <v>278</v>
      </c>
      <c r="B280" s="301">
        <v>44048</v>
      </c>
      <c r="C280" s="302">
        <v>64.096479000000002</v>
      </c>
      <c r="D280" s="303">
        <v>113.31003930622772</v>
      </c>
      <c r="E280" s="302">
        <f t="shared" si="12"/>
        <v>64.096479000000002</v>
      </c>
      <c r="F280" s="311"/>
      <c r="G280" s="208" t="str">
        <f t="shared" si="13"/>
        <v/>
      </c>
      <c r="H280" s="304" t="str">
        <f t="shared" si="14"/>
        <v/>
      </c>
      <c r="I280" s="305"/>
    </row>
    <row r="281" spans="1:9">
      <c r="A281" s="300">
        <v>279</v>
      </c>
      <c r="B281" s="301">
        <v>44049</v>
      </c>
      <c r="C281" s="302">
        <v>105.286523</v>
      </c>
      <c r="D281" s="303">
        <v>113.31003930622772</v>
      </c>
      <c r="E281" s="302">
        <f t="shared" si="12"/>
        <v>105.286523</v>
      </c>
      <c r="F281" s="311"/>
      <c r="G281" s="208" t="str">
        <f t="shared" si="13"/>
        <v/>
      </c>
      <c r="H281" s="304" t="str">
        <f t="shared" si="14"/>
        <v/>
      </c>
      <c r="I281" s="305"/>
    </row>
    <row r="282" spans="1:9">
      <c r="A282" s="300">
        <v>280</v>
      </c>
      <c r="B282" s="301">
        <v>44050</v>
      </c>
      <c r="C282" s="302">
        <v>104.448375</v>
      </c>
      <c r="D282" s="303">
        <v>113.31003930622772</v>
      </c>
      <c r="E282" s="302">
        <f t="shared" si="12"/>
        <v>104.448375</v>
      </c>
      <c r="F282" s="311"/>
      <c r="G282" s="208" t="str">
        <f t="shared" si="13"/>
        <v/>
      </c>
      <c r="H282" s="304" t="str">
        <f t="shared" si="14"/>
        <v/>
      </c>
      <c r="I282" s="305"/>
    </row>
    <row r="283" spans="1:9">
      <c r="A283" s="300">
        <v>281</v>
      </c>
      <c r="B283" s="301">
        <v>44051</v>
      </c>
      <c r="C283" s="302">
        <v>92.978734000000003</v>
      </c>
      <c r="D283" s="303">
        <v>113.31003930622772</v>
      </c>
      <c r="E283" s="302">
        <f t="shared" si="12"/>
        <v>92.978734000000003</v>
      </c>
      <c r="F283" s="311"/>
      <c r="G283" s="208" t="str">
        <f t="shared" si="13"/>
        <v/>
      </c>
      <c r="H283" s="304" t="str">
        <f t="shared" si="14"/>
        <v/>
      </c>
      <c r="I283" s="305"/>
    </row>
    <row r="284" spans="1:9">
      <c r="A284" s="300">
        <v>282</v>
      </c>
      <c r="B284" s="301">
        <v>44052</v>
      </c>
      <c r="C284" s="302">
        <v>81.685799000000003</v>
      </c>
      <c r="D284" s="303">
        <v>113.31003930622772</v>
      </c>
      <c r="E284" s="302">
        <f t="shared" si="12"/>
        <v>81.685799000000003</v>
      </c>
      <c r="F284" s="311"/>
      <c r="G284" s="208" t="str">
        <f t="shared" si="13"/>
        <v/>
      </c>
      <c r="H284" s="304" t="str">
        <f t="shared" si="14"/>
        <v/>
      </c>
      <c r="I284" s="305"/>
    </row>
    <row r="285" spans="1:9">
      <c r="A285" s="300">
        <v>283</v>
      </c>
      <c r="B285" s="301">
        <v>44053</v>
      </c>
      <c r="C285" s="302">
        <v>114.205645</v>
      </c>
      <c r="D285" s="303">
        <v>113.31003930622772</v>
      </c>
      <c r="E285" s="302">
        <f t="shared" si="12"/>
        <v>113.31003930622772</v>
      </c>
      <c r="F285" s="311"/>
      <c r="G285" s="208" t="str">
        <f t="shared" si="13"/>
        <v/>
      </c>
      <c r="H285" s="304" t="str">
        <f t="shared" si="14"/>
        <v/>
      </c>
      <c r="I285" s="305"/>
    </row>
    <row r="286" spans="1:9">
      <c r="A286" s="300">
        <v>284</v>
      </c>
      <c r="B286" s="301">
        <v>44054</v>
      </c>
      <c r="C286" s="302">
        <v>145.414151</v>
      </c>
      <c r="D286" s="303">
        <v>113.31003930622772</v>
      </c>
      <c r="E286" s="302">
        <f t="shared" si="12"/>
        <v>113.31003930622772</v>
      </c>
      <c r="F286" s="311"/>
      <c r="G286" s="208" t="str">
        <f t="shared" si="13"/>
        <v/>
      </c>
      <c r="H286" s="304" t="str">
        <f t="shared" si="14"/>
        <v/>
      </c>
      <c r="I286" s="305"/>
    </row>
    <row r="287" spans="1:9">
      <c r="A287" s="300">
        <v>285</v>
      </c>
      <c r="B287" s="301">
        <v>44055</v>
      </c>
      <c r="C287" s="302">
        <v>97.813288</v>
      </c>
      <c r="D287" s="303">
        <v>113.31003930622772</v>
      </c>
      <c r="E287" s="302">
        <f t="shared" si="12"/>
        <v>97.813288</v>
      </c>
      <c r="F287" s="311"/>
      <c r="G287" s="208" t="str">
        <f t="shared" si="13"/>
        <v/>
      </c>
      <c r="H287" s="304" t="str">
        <f t="shared" si="14"/>
        <v/>
      </c>
      <c r="I287" s="305"/>
    </row>
    <row r="288" spans="1:9">
      <c r="A288" s="300">
        <v>286</v>
      </c>
      <c r="B288" s="301">
        <v>44056</v>
      </c>
      <c r="C288" s="302">
        <v>33.689917000000001</v>
      </c>
      <c r="D288" s="303">
        <v>113.31003930622772</v>
      </c>
      <c r="E288" s="302">
        <f t="shared" si="12"/>
        <v>33.689917000000001</v>
      </c>
      <c r="F288" s="311"/>
      <c r="G288" s="208" t="str">
        <f t="shared" si="13"/>
        <v/>
      </c>
      <c r="H288" s="304" t="str">
        <f t="shared" si="14"/>
        <v/>
      </c>
      <c r="I288" s="305"/>
    </row>
    <row r="289" spans="1:9">
      <c r="A289" s="300">
        <v>287</v>
      </c>
      <c r="B289" s="301">
        <v>44057</v>
      </c>
      <c r="C289" s="302">
        <v>61.210757000000001</v>
      </c>
      <c r="D289" s="303">
        <v>113.31003930622772</v>
      </c>
      <c r="E289" s="302">
        <f t="shared" si="12"/>
        <v>61.210757000000001</v>
      </c>
      <c r="F289" s="311"/>
      <c r="G289" s="208" t="str">
        <f t="shared" si="13"/>
        <v/>
      </c>
      <c r="H289" s="304" t="str">
        <f t="shared" si="14"/>
        <v/>
      </c>
      <c r="I289" s="305"/>
    </row>
    <row r="290" spans="1:9">
      <c r="A290" s="300">
        <v>288</v>
      </c>
      <c r="B290" s="301">
        <v>44058</v>
      </c>
      <c r="C290" s="302">
        <v>118.560697</v>
      </c>
      <c r="D290" s="303">
        <v>113.31003930622772</v>
      </c>
      <c r="E290" s="302">
        <f t="shared" si="12"/>
        <v>113.31003930622772</v>
      </c>
      <c r="F290" s="311"/>
      <c r="G290" s="208" t="str">
        <f t="shared" si="13"/>
        <v>A</v>
      </c>
      <c r="H290" s="304" t="str">
        <f t="shared" si="14"/>
        <v>113,3</v>
      </c>
      <c r="I290" s="305"/>
    </row>
    <row r="291" spans="1:9">
      <c r="A291" s="300">
        <v>289</v>
      </c>
      <c r="B291" s="301">
        <v>44059</v>
      </c>
      <c r="C291" s="302">
        <v>131.750899</v>
      </c>
      <c r="D291" s="303">
        <v>113.31003930622772</v>
      </c>
      <c r="E291" s="302">
        <f t="shared" si="12"/>
        <v>113.31003930622772</v>
      </c>
      <c r="F291" s="311"/>
      <c r="G291" s="208" t="str">
        <f t="shared" si="13"/>
        <v/>
      </c>
      <c r="H291" s="304" t="str">
        <f t="shared" si="14"/>
        <v/>
      </c>
      <c r="I291" s="305"/>
    </row>
    <row r="292" spans="1:9">
      <c r="A292" s="300">
        <v>290</v>
      </c>
      <c r="B292" s="301">
        <v>44060</v>
      </c>
      <c r="C292" s="302">
        <v>109.623773</v>
      </c>
      <c r="D292" s="303">
        <v>113.31003930622772</v>
      </c>
      <c r="E292" s="302">
        <f t="shared" si="12"/>
        <v>109.623773</v>
      </c>
      <c r="F292" s="311"/>
      <c r="G292" s="208" t="str">
        <f t="shared" si="13"/>
        <v/>
      </c>
      <c r="H292" s="304" t="str">
        <f t="shared" si="14"/>
        <v/>
      </c>
      <c r="I292" s="305"/>
    </row>
    <row r="293" spans="1:9">
      <c r="A293" s="300">
        <v>291</v>
      </c>
      <c r="B293" s="301">
        <v>44061</v>
      </c>
      <c r="C293" s="302">
        <v>85.016632000000001</v>
      </c>
      <c r="D293" s="303">
        <v>113.31003930622772</v>
      </c>
      <c r="E293" s="302">
        <f t="shared" si="12"/>
        <v>85.016632000000001</v>
      </c>
      <c r="F293" s="311"/>
      <c r="G293" s="208" t="str">
        <f t="shared" si="13"/>
        <v/>
      </c>
      <c r="H293" s="304" t="str">
        <f t="shared" si="14"/>
        <v/>
      </c>
      <c r="I293" s="305"/>
    </row>
    <row r="294" spans="1:9">
      <c r="A294" s="300">
        <v>292</v>
      </c>
      <c r="B294" s="301">
        <v>44062</v>
      </c>
      <c r="C294" s="302">
        <v>170.35474500000001</v>
      </c>
      <c r="D294" s="303">
        <v>113.31003930622772</v>
      </c>
      <c r="E294" s="302">
        <f t="shared" si="12"/>
        <v>113.31003930622772</v>
      </c>
      <c r="F294" s="311"/>
      <c r="G294" s="208" t="str">
        <f t="shared" si="13"/>
        <v/>
      </c>
      <c r="H294" s="304" t="str">
        <f t="shared" si="14"/>
        <v/>
      </c>
      <c r="I294" s="305"/>
    </row>
    <row r="295" spans="1:9">
      <c r="A295" s="300">
        <v>293</v>
      </c>
      <c r="B295" s="301">
        <v>44063</v>
      </c>
      <c r="C295" s="302">
        <v>175.75264999999999</v>
      </c>
      <c r="D295" s="303">
        <v>113.31003930622772</v>
      </c>
      <c r="E295" s="302">
        <f t="shared" si="12"/>
        <v>113.31003930622772</v>
      </c>
      <c r="F295" s="311"/>
      <c r="G295" s="208" t="str">
        <f t="shared" si="13"/>
        <v/>
      </c>
      <c r="H295" s="304" t="str">
        <f t="shared" si="14"/>
        <v/>
      </c>
      <c r="I295" s="305"/>
    </row>
    <row r="296" spans="1:9">
      <c r="A296" s="300">
        <v>294</v>
      </c>
      <c r="B296" s="301">
        <v>44064</v>
      </c>
      <c r="C296" s="302">
        <v>116.24560000000001</v>
      </c>
      <c r="D296" s="303">
        <v>113.31003930622772</v>
      </c>
      <c r="E296" s="302">
        <f t="shared" si="12"/>
        <v>113.31003930622772</v>
      </c>
      <c r="F296" s="311"/>
      <c r="G296" s="208" t="str">
        <f t="shared" si="13"/>
        <v/>
      </c>
      <c r="H296" s="304" t="str">
        <f t="shared" si="14"/>
        <v/>
      </c>
      <c r="I296" s="305"/>
    </row>
    <row r="297" spans="1:9">
      <c r="A297" s="300">
        <v>295</v>
      </c>
      <c r="B297" s="301">
        <v>44065</v>
      </c>
      <c r="C297" s="302">
        <v>75.846154000000013</v>
      </c>
      <c r="D297" s="303">
        <v>113.31003930622772</v>
      </c>
      <c r="E297" s="302">
        <f t="shared" si="12"/>
        <v>75.846154000000013</v>
      </c>
      <c r="F297" s="311"/>
      <c r="G297" s="208" t="str">
        <f t="shared" si="13"/>
        <v/>
      </c>
      <c r="H297" s="304" t="str">
        <f t="shared" si="14"/>
        <v/>
      </c>
      <c r="I297" s="305"/>
    </row>
    <row r="298" spans="1:9">
      <c r="A298" s="300">
        <v>296</v>
      </c>
      <c r="B298" s="301">
        <v>44066</v>
      </c>
      <c r="C298" s="302">
        <v>114.350291</v>
      </c>
      <c r="D298" s="303">
        <v>113.31003930622772</v>
      </c>
      <c r="E298" s="302">
        <f t="shared" si="12"/>
        <v>113.31003930622772</v>
      </c>
      <c r="F298" s="311"/>
      <c r="G298" s="208" t="str">
        <f t="shared" si="13"/>
        <v/>
      </c>
      <c r="H298" s="304" t="str">
        <f t="shared" si="14"/>
        <v/>
      </c>
      <c r="I298" s="305"/>
    </row>
    <row r="299" spans="1:9">
      <c r="A299" s="300">
        <v>297</v>
      </c>
      <c r="B299" s="301">
        <v>44067</v>
      </c>
      <c r="C299" s="302">
        <v>101.032933</v>
      </c>
      <c r="D299" s="303">
        <v>113.31003930622772</v>
      </c>
      <c r="E299" s="302">
        <f t="shared" si="12"/>
        <v>101.032933</v>
      </c>
      <c r="F299" s="311"/>
      <c r="G299" s="208" t="str">
        <f t="shared" si="13"/>
        <v/>
      </c>
      <c r="H299" s="304" t="str">
        <f t="shared" si="14"/>
        <v/>
      </c>
      <c r="I299" s="305"/>
    </row>
    <row r="300" spans="1:9">
      <c r="A300" s="300">
        <v>298</v>
      </c>
      <c r="B300" s="301">
        <v>44068</v>
      </c>
      <c r="C300" s="302">
        <v>70.946491999999992</v>
      </c>
      <c r="D300" s="303">
        <v>113.31003930622772</v>
      </c>
      <c r="E300" s="302">
        <f t="shared" si="12"/>
        <v>70.946491999999992</v>
      </c>
      <c r="F300" s="311"/>
      <c r="G300" s="208" t="str">
        <f t="shared" si="13"/>
        <v/>
      </c>
      <c r="H300" s="304" t="str">
        <f t="shared" si="14"/>
        <v/>
      </c>
      <c r="I300" s="305"/>
    </row>
    <row r="301" spans="1:9">
      <c r="A301" s="300">
        <v>299</v>
      </c>
      <c r="B301" s="301">
        <v>44069</v>
      </c>
      <c r="C301" s="302">
        <v>51.768324999999997</v>
      </c>
      <c r="D301" s="303">
        <v>113.31003930622772</v>
      </c>
      <c r="E301" s="302">
        <f t="shared" si="12"/>
        <v>51.768324999999997</v>
      </c>
      <c r="F301" s="311"/>
      <c r="G301" s="208" t="str">
        <f t="shared" si="13"/>
        <v/>
      </c>
      <c r="H301" s="304" t="str">
        <f t="shared" si="14"/>
        <v/>
      </c>
      <c r="I301" s="305"/>
    </row>
    <row r="302" spans="1:9">
      <c r="A302" s="300">
        <v>300</v>
      </c>
      <c r="B302" s="301">
        <v>44070</v>
      </c>
      <c r="C302" s="302">
        <v>66.186119999999988</v>
      </c>
      <c r="D302" s="303">
        <v>113.31003930622772</v>
      </c>
      <c r="E302" s="302">
        <f t="shared" si="12"/>
        <v>66.186119999999988</v>
      </c>
      <c r="F302" s="311"/>
      <c r="G302" s="208" t="str">
        <f t="shared" si="13"/>
        <v/>
      </c>
      <c r="H302" s="304" t="str">
        <f t="shared" si="14"/>
        <v/>
      </c>
      <c r="I302" s="305"/>
    </row>
    <row r="303" spans="1:9">
      <c r="A303" s="300">
        <v>301</v>
      </c>
      <c r="B303" s="301">
        <v>44071</v>
      </c>
      <c r="C303" s="302">
        <v>166.32749200000001</v>
      </c>
      <c r="D303" s="303">
        <v>113.31003930622772</v>
      </c>
      <c r="E303" s="302">
        <f t="shared" si="12"/>
        <v>113.31003930622772</v>
      </c>
      <c r="F303" s="311"/>
      <c r="G303" s="208" t="str">
        <f t="shared" si="13"/>
        <v/>
      </c>
      <c r="H303" s="304" t="str">
        <f t="shared" si="14"/>
        <v/>
      </c>
      <c r="I303" s="305"/>
    </row>
    <row r="304" spans="1:9">
      <c r="A304" s="300">
        <v>302</v>
      </c>
      <c r="B304" s="301">
        <v>44072</v>
      </c>
      <c r="C304" s="302">
        <v>231.144881</v>
      </c>
      <c r="D304" s="303">
        <v>113.31003930622772</v>
      </c>
      <c r="E304" s="302">
        <f t="shared" si="12"/>
        <v>113.31003930622772</v>
      </c>
      <c r="F304" s="311"/>
      <c r="G304" s="208" t="str">
        <f t="shared" si="13"/>
        <v/>
      </c>
      <c r="H304" s="304" t="str">
        <f t="shared" si="14"/>
        <v/>
      </c>
      <c r="I304" s="305"/>
    </row>
    <row r="305" spans="1:9">
      <c r="A305" s="300">
        <v>303</v>
      </c>
      <c r="B305" s="301">
        <v>44073</v>
      </c>
      <c r="C305" s="302">
        <v>164.24040100000002</v>
      </c>
      <c r="D305" s="303">
        <v>113.31003930622772</v>
      </c>
      <c r="E305" s="302">
        <f t="shared" si="12"/>
        <v>113.31003930622772</v>
      </c>
      <c r="F305" s="311"/>
      <c r="G305" s="208" t="str">
        <f t="shared" si="13"/>
        <v/>
      </c>
      <c r="H305" s="304" t="str">
        <f t="shared" si="14"/>
        <v/>
      </c>
      <c r="I305" s="305"/>
    </row>
    <row r="306" spans="1:9">
      <c r="A306" s="300">
        <v>304</v>
      </c>
      <c r="B306" s="301">
        <v>44074</v>
      </c>
      <c r="C306" s="302">
        <v>93.676054000000008</v>
      </c>
      <c r="D306" s="303">
        <v>113.31003930622772</v>
      </c>
      <c r="E306" s="302">
        <f t="shared" si="12"/>
        <v>93.676054000000008</v>
      </c>
      <c r="F306" s="311"/>
      <c r="G306" s="208" t="str">
        <f t="shared" si="13"/>
        <v/>
      </c>
      <c r="H306" s="304" t="str">
        <f t="shared" si="14"/>
        <v/>
      </c>
      <c r="I306" s="305"/>
    </row>
    <row r="307" spans="1:9">
      <c r="A307" s="300">
        <v>305</v>
      </c>
      <c r="B307" s="301">
        <v>44075</v>
      </c>
      <c r="C307" s="302">
        <v>59.792919999999995</v>
      </c>
      <c r="D307" s="303">
        <v>107.53022318893329</v>
      </c>
      <c r="E307" s="302">
        <f t="shared" si="12"/>
        <v>59.792919999999995</v>
      </c>
      <c r="F307" s="311"/>
      <c r="G307" s="208" t="str">
        <f t="shared" si="13"/>
        <v/>
      </c>
      <c r="H307" s="304" t="str">
        <f t="shared" si="14"/>
        <v/>
      </c>
      <c r="I307" s="305"/>
    </row>
    <row r="308" spans="1:9">
      <c r="A308" s="300">
        <v>306</v>
      </c>
      <c r="B308" s="301">
        <v>44076</v>
      </c>
      <c r="C308" s="302">
        <v>121.67389200000001</v>
      </c>
      <c r="D308" s="303">
        <v>107.53022318893329</v>
      </c>
      <c r="E308" s="302">
        <f t="shared" si="12"/>
        <v>107.53022318893329</v>
      </c>
      <c r="F308" s="305"/>
      <c r="G308" s="208" t="str">
        <f t="shared" si="13"/>
        <v/>
      </c>
      <c r="H308" s="304" t="str">
        <f t="shared" si="14"/>
        <v/>
      </c>
      <c r="I308" s="305"/>
    </row>
    <row r="309" spans="1:9">
      <c r="A309" s="300">
        <v>307</v>
      </c>
      <c r="B309" s="301">
        <v>44077</v>
      </c>
      <c r="C309" s="302">
        <v>71.601112999999998</v>
      </c>
      <c r="D309" s="303">
        <v>107.53022318893329</v>
      </c>
      <c r="E309" s="302">
        <f t="shared" si="12"/>
        <v>71.601112999999998</v>
      </c>
      <c r="F309" s="311"/>
      <c r="G309" s="208" t="str">
        <f t="shared" si="13"/>
        <v/>
      </c>
      <c r="H309" s="304" t="str">
        <f t="shared" si="14"/>
        <v/>
      </c>
      <c r="I309" s="305"/>
    </row>
    <row r="310" spans="1:9">
      <c r="A310" s="300">
        <v>308</v>
      </c>
      <c r="B310" s="301">
        <v>44078</v>
      </c>
      <c r="C310" s="302">
        <v>95.198616999999999</v>
      </c>
      <c r="D310" s="303">
        <v>107.53022318893329</v>
      </c>
      <c r="E310" s="302">
        <f t="shared" si="12"/>
        <v>95.198616999999999</v>
      </c>
      <c r="F310" s="311"/>
      <c r="G310" s="208" t="str">
        <f t="shared" si="13"/>
        <v/>
      </c>
      <c r="H310" s="304" t="str">
        <f t="shared" si="14"/>
        <v/>
      </c>
      <c r="I310" s="305"/>
    </row>
    <row r="311" spans="1:9">
      <c r="A311" s="300">
        <v>309</v>
      </c>
      <c r="B311" s="301">
        <v>44079</v>
      </c>
      <c r="C311" s="302">
        <v>172.83699600000003</v>
      </c>
      <c r="D311" s="303">
        <v>107.53022318893329</v>
      </c>
      <c r="E311" s="302">
        <f t="shared" si="12"/>
        <v>107.53022318893329</v>
      </c>
      <c r="F311" s="311"/>
      <c r="G311" s="208" t="str">
        <f t="shared" si="13"/>
        <v/>
      </c>
      <c r="H311" s="304" t="str">
        <f t="shared" si="14"/>
        <v/>
      </c>
      <c r="I311" s="305"/>
    </row>
    <row r="312" spans="1:9">
      <c r="A312" s="300">
        <v>310</v>
      </c>
      <c r="B312" s="301">
        <v>44080</v>
      </c>
      <c r="C312" s="302">
        <v>258.654112</v>
      </c>
      <c r="D312" s="303">
        <v>107.53022318893329</v>
      </c>
      <c r="E312" s="302">
        <f t="shared" si="12"/>
        <v>107.53022318893329</v>
      </c>
      <c r="F312" s="311"/>
      <c r="G312" s="208" t="str">
        <f t="shared" si="13"/>
        <v/>
      </c>
      <c r="H312" s="304" t="str">
        <f t="shared" si="14"/>
        <v/>
      </c>
      <c r="I312" s="305"/>
    </row>
    <row r="313" spans="1:9">
      <c r="A313" s="300">
        <v>311</v>
      </c>
      <c r="B313" s="301">
        <v>44081</v>
      </c>
      <c r="C313" s="302">
        <v>255.17419599999999</v>
      </c>
      <c r="D313" s="303">
        <v>107.53022318893329</v>
      </c>
      <c r="E313" s="302">
        <f t="shared" si="12"/>
        <v>107.53022318893329</v>
      </c>
      <c r="F313" s="311"/>
      <c r="G313" s="208" t="str">
        <f t="shared" si="13"/>
        <v/>
      </c>
      <c r="H313" s="304" t="str">
        <f t="shared" si="14"/>
        <v/>
      </c>
      <c r="I313" s="305"/>
    </row>
    <row r="314" spans="1:9">
      <c r="A314" s="300">
        <v>312</v>
      </c>
      <c r="B314" s="301">
        <v>44082</v>
      </c>
      <c r="C314" s="302">
        <v>165.17334400000001</v>
      </c>
      <c r="D314" s="303">
        <v>107.53022318893329</v>
      </c>
      <c r="E314" s="302">
        <f t="shared" si="12"/>
        <v>107.53022318893329</v>
      </c>
      <c r="F314" s="311"/>
      <c r="G314" s="208" t="str">
        <f t="shared" si="13"/>
        <v/>
      </c>
      <c r="H314" s="304" t="str">
        <f t="shared" si="14"/>
        <v/>
      </c>
      <c r="I314" s="305"/>
    </row>
    <row r="315" spans="1:9">
      <c r="A315" s="300">
        <v>313</v>
      </c>
      <c r="B315" s="301">
        <v>44083</v>
      </c>
      <c r="C315" s="302">
        <v>76.408978000000005</v>
      </c>
      <c r="D315" s="303">
        <v>107.53022318893329</v>
      </c>
      <c r="E315" s="302">
        <f t="shared" si="12"/>
        <v>76.408978000000005</v>
      </c>
      <c r="F315" s="311"/>
      <c r="G315" s="208" t="str">
        <f t="shared" si="13"/>
        <v/>
      </c>
      <c r="H315" s="304" t="str">
        <f t="shared" si="14"/>
        <v/>
      </c>
      <c r="I315" s="305"/>
    </row>
    <row r="316" spans="1:9">
      <c r="A316" s="300">
        <v>314</v>
      </c>
      <c r="B316" s="301">
        <v>44084</v>
      </c>
      <c r="C316" s="302">
        <v>97.355267999999995</v>
      </c>
      <c r="D316" s="303">
        <v>107.53022318893329</v>
      </c>
      <c r="E316" s="302">
        <f t="shared" si="12"/>
        <v>97.355267999999995</v>
      </c>
      <c r="F316" s="311"/>
      <c r="G316" s="208" t="str">
        <f t="shared" si="13"/>
        <v/>
      </c>
      <c r="H316" s="304" t="str">
        <f t="shared" si="14"/>
        <v/>
      </c>
      <c r="I316" s="305"/>
    </row>
    <row r="317" spans="1:9">
      <c r="A317" s="300">
        <v>315</v>
      </c>
      <c r="B317" s="301">
        <v>44085</v>
      </c>
      <c r="C317" s="302">
        <v>84.589106999999998</v>
      </c>
      <c r="D317" s="303">
        <v>107.53022318893329</v>
      </c>
      <c r="E317" s="302">
        <f t="shared" si="12"/>
        <v>84.589106999999998</v>
      </c>
      <c r="F317" s="311"/>
      <c r="G317" s="208" t="str">
        <f t="shared" si="13"/>
        <v/>
      </c>
      <c r="H317" s="304" t="str">
        <f t="shared" si="14"/>
        <v/>
      </c>
      <c r="I317" s="305"/>
    </row>
    <row r="318" spans="1:9">
      <c r="A318" s="300">
        <v>316</v>
      </c>
      <c r="B318" s="301">
        <v>44086</v>
      </c>
      <c r="C318" s="302">
        <v>95.803096000000011</v>
      </c>
      <c r="D318" s="303">
        <v>107.53022318893329</v>
      </c>
      <c r="E318" s="302">
        <f t="shared" si="12"/>
        <v>95.803096000000011</v>
      </c>
      <c r="F318" s="311"/>
      <c r="G318" s="208" t="str">
        <f t="shared" si="13"/>
        <v/>
      </c>
      <c r="H318" s="304" t="str">
        <f t="shared" si="14"/>
        <v/>
      </c>
      <c r="I318" s="305"/>
    </row>
    <row r="319" spans="1:9">
      <c r="A319" s="300">
        <v>317</v>
      </c>
      <c r="B319" s="301">
        <v>44087</v>
      </c>
      <c r="C319" s="302">
        <v>133.24106599999999</v>
      </c>
      <c r="D319" s="303">
        <v>107.53022318893329</v>
      </c>
      <c r="E319" s="302">
        <f t="shared" si="12"/>
        <v>107.53022318893329</v>
      </c>
      <c r="F319" s="311"/>
      <c r="G319" s="208" t="str">
        <f t="shared" si="13"/>
        <v/>
      </c>
      <c r="H319" s="304" t="str">
        <f t="shared" si="14"/>
        <v/>
      </c>
      <c r="I319" s="305"/>
    </row>
    <row r="320" spans="1:9">
      <c r="A320" s="300">
        <v>318</v>
      </c>
      <c r="B320" s="301">
        <v>44088</v>
      </c>
      <c r="C320" s="302">
        <v>143.828925</v>
      </c>
      <c r="D320" s="303">
        <v>107.53022318893329</v>
      </c>
      <c r="E320" s="302">
        <f t="shared" si="12"/>
        <v>107.53022318893329</v>
      </c>
      <c r="F320" s="311"/>
      <c r="G320" s="208" t="str">
        <f t="shared" si="13"/>
        <v/>
      </c>
      <c r="H320" s="304" t="str">
        <f t="shared" si="14"/>
        <v/>
      </c>
      <c r="I320" s="305"/>
    </row>
    <row r="321" spans="1:9">
      <c r="A321" s="300">
        <v>319</v>
      </c>
      <c r="B321" s="301">
        <v>44089</v>
      </c>
      <c r="C321" s="302">
        <v>61.647432999999999</v>
      </c>
      <c r="D321" s="303">
        <v>107.53022318893329</v>
      </c>
      <c r="E321" s="302">
        <f t="shared" si="12"/>
        <v>61.647432999999999</v>
      </c>
      <c r="F321" s="311"/>
      <c r="G321" s="208" t="str">
        <f t="shared" si="13"/>
        <v>S</v>
      </c>
      <c r="H321" s="304" t="str">
        <f t="shared" si="14"/>
        <v>107,5</v>
      </c>
      <c r="I321" s="305"/>
    </row>
    <row r="322" spans="1:9">
      <c r="A322" s="300">
        <v>320</v>
      </c>
      <c r="B322" s="301">
        <v>44090</v>
      </c>
      <c r="C322" s="302">
        <v>47.949944000000002</v>
      </c>
      <c r="D322" s="303">
        <v>107.53022318893329</v>
      </c>
      <c r="E322" s="302">
        <f t="shared" si="12"/>
        <v>47.949944000000002</v>
      </c>
      <c r="F322" s="305"/>
      <c r="G322" s="208" t="str">
        <f t="shared" si="13"/>
        <v/>
      </c>
      <c r="H322" s="304" t="str">
        <f t="shared" si="14"/>
        <v/>
      </c>
      <c r="I322" s="305"/>
    </row>
    <row r="323" spans="1:9">
      <c r="A323" s="300">
        <v>321</v>
      </c>
      <c r="B323" s="301">
        <v>44091</v>
      </c>
      <c r="C323" s="302">
        <v>131.58466000000001</v>
      </c>
      <c r="D323" s="303">
        <v>107.53022318893329</v>
      </c>
      <c r="E323" s="302">
        <f t="shared" ref="E323:E386" si="15">IF(C323&gt;D323,D323,C323)</f>
        <v>107.53022318893329</v>
      </c>
      <c r="F323" s="311"/>
      <c r="G323" s="208" t="str">
        <f t="shared" ref="G323:G386" si="16">IF(DAY(B323)=15,IF(MONTH(B323)=1,"E",IF(MONTH(B323)=2,"F",IF(MONTH(B323)=3,"M",IF(MONTH(B323)=4,"A",IF(MONTH(B323)=5,"M",IF(MONTH(B323)=6,"J",IF(MONTH(B323)=7,"J",IF(MONTH(B323)=8,"A",IF(MONTH(B323)=9,"S",IF(MONTH(B323)=10,"O",IF(MONTH(B323)=11,"N",IF(MONTH(B323)=12,"D","")))))))))))),"")</f>
        <v/>
      </c>
      <c r="H323" s="304" t="str">
        <f t="shared" ref="H323:H386" si="17">IF(DAY($B323)=15,TEXT(D323,"#,0"),"")</f>
        <v/>
      </c>
      <c r="I323" s="305"/>
    </row>
    <row r="324" spans="1:9">
      <c r="A324" s="300">
        <v>322</v>
      </c>
      <c r="B324" s="301">
        <v>44092</v>
      </c>
      <c r="C324" s="302">
        <v>177.42003300000002</v>
      </c>
      <c r="D324" s="303">
        <v>107.53022318893329</v>
      </c>
      <c r="E324" s="302">
        <f t="shared" si="15"/>
        <v>107.53022318893329</v>
      </c>
      <c r="F324" s="311"/>
      <c r="G324" s="208" t="str">
        <f t="shared" si="16"/>
        <v/>
      </c>
      <c r="H324" s="304" t="str">
        <f t="shared" si="17"/>
        <v/>
      </c>
      <c r="I324" s="305"/>
    </row>
    <row r="325" spans="1:9">
      <c r="A325" s="300">
        <v>323</v>
      </c>
      <c r="B325" s="301">
        <v>44093</v>
      </c>
      <c r="C325" s="302">
        <v>146.06672499999996</v>
      </c>
      <c r="D325" s="303">
        <v>107.53022318893329</v>
      </c>
      <c r="E325" s="302">
        <f t="shared" si="15"/>
        <v>107.53022318893329</v>
      </c>
      <c r="F325" s="311"/>
      <c r="G325" s="208" t="str">
        <f t="shared" si="16"/>
        <v/>
      </c>
      <c r="H325" s="304" t="str">
        <f t="shared" si="17"/>
        <v/>
      </c>
      <c r="I325" s="305"/>
    </row>
    <row r="326" spans="1:9">
      <c r="A326" s="300">
        <v>324</v>
      </c>
      <c r="B326" s="301">
        <v>44094</v>
      </c>
      <c r="C326" s="302">
        <v>71.396695999999991</v>
      </c>
      <c r="D326" s="303">
        <v>107.53022318893329</v>
      </c>
      <c r="E326" s="302">
        <f t="shared" si="15"/>
        <v>71.396695999999991</v>
      </c>
      <c r="F326" s="311"/>
      <c r="G326" s="208" t="str">
        <f t="shared" si="16"/>
        <v/>
      </c>
      <c r="H326" s="304" t="str">
        <f t="shared" si="17"/>
        <v/>
      </c>
      <c r="I326" s="305"/>
    </row>
    <row r="327" spans="1:9">
      <c r="A327" s="300">
        <v>325</v>
      </c>
      <c r="B327" s="301">
        <v>44095</v>
      </c>
      <c r="C327" s="302">
        <v>43.955591999999996</v>
      </c>
      <c r="D327" s="303">
        <v>107.53022318893329</v>
      </c>
      <c r="E327" s="302">
        <f t="shared" si="15"/>
        <v>43.955591999999996</v>
      </c>
      <c r="F327" s="311"/>
      <c r="G327" s="208" t="str">
        <f t="shared" si="16"/>
        <v/>
      </c>
      <c r="H327" s="304" t="str">
        <f t="shared" si="17"/>
        <v/>
      </c>
      <c r="I327" s="305"/>
    </row>
    <row r="328" spans="1:9">
      <c r="A328" s="300">
        <v>326</v>
      </c>
      <c r="B328" s="301">
        <v>44096</v>
      </c>
      <c r="C328" s="302">
        <v>42.284765</v>
      </c>
      <c r="D328" s="303">
        <v>107.53022318893329</v>
      </c>
      <c r="E328" s="302">
        <f t="shared" si="15"/>
        <v>42.284765</v>
      </c>
      <c r="F328" s="311"/>
      <c r="G328" s="208" t="str">
        <f t="shared" si="16"/>
        <v/>
      </c>
      <c r="H328" s="304" t="str">
        <f t="shared" si="17"/>
        <v/>
      </c>
      <c r="I328" s="305"/>
    </row>
    <row r="329" spans="1:9">
      <c r="A329" s="300">
        <v>327</v>
      </c>
      <c r="B329" s="301">
        <v>44097</v>
      </c>
      <c r="C329" s="302">
        <v>118.38412099999999</v>
      </c>
      <c r="D329" s="303">
        <v>107.53022318893329</v>
      </c>
      <c r="E329" s="302">
        <f t="shared" si="15"/>
        <v>107.53022318893329</v>
      </c>
      <c r="F329" s="311"/>
      <c r="G329" s="208" t="str">
        <f t="shared" si="16"/>
        <v/>
      </c>
      <c r="H329" s="304" t="str">
        <f t="shared" si="17"/>
        <v/>
      </c>
      <c r="I329" s="305"/>
    </row>
    <row r="330" spans="1:9">
      <c r="A330" s="300">
        <v>328</v>
      </c>
      <c r="B330" s="301">
        <v>44098</v>
      </c>
      <c r="C330" s="302">
        <v>228.58592500000003</v>
      </c>
      <c r="D330" s="303">
        <v>107.53022318893329</v>
      </c>
      <c r="E330" s="302">
        <f t="shared" si="15"/>
        <v>107.53022318893329</v>
      </c>
      <c r="F330" s="311"/>
      <c r="G330" s="208" t="str">
        <f t="shared" si="16"/>
        <v/>
      </c>
      <c r="H330" s="304" t="str">
        <f t="shared" si="17"/>
        <v/>
      </c>
      <c r="I330" s="305"/>
    </row>
    <row r="331" spans="1:9">
      <c r="A331" s="300">
        <v>329</v>
      </c>
      <c r="B331" s="301">
        <v>44099</v>
      </c>
      <c r="C331" s="302">
        <v>330.95205399999998</v>
      </c>
      <c r="D331" s="303">
        <v>107.53022318893329</v>
      </c>
      <c r="E331" s="302">
        <f t="shared" si="15"/>
        <v>107.53022318893329</v>
      </c>
      <c r="F331" s="311"/>
      <c r="G331" s="208" t="str">
        <f t="shared" si="16"/>
        <v/>
      </c>
      <c r="H331" s="304" t="str">
        <f t="shared" si="17"/>
        <v/>
      </c>
      <c r="I331" s="305"/>
    </row>
    <row r="332" spans="1:9">
      <c r="A332" s="300">
        <v>330</v>
      </c>
      <c r="B332" s="301">
        <v>44100</v>
      </c>
      <c r="C332" s="302">
        <v>271.04849299999995</v>
      </c>
      <c r="D332" s="303">
        <v>107.53022318893329</v>
      </c>
      <c r="E332" s="302">
        <f t="shared" si="15"/>
        <v>107.53022318893329</v>
      </c>
      <c r="F332" s="311"/>
      <c r="G332" s="208" t="str">
        <f t="shared" si="16"/>
        <v/>
      </c>
      <c r="H332" s="304" t="str">
        <f t="shared" si="17"/>
        <v/>
      </c>
      <c r="I332" s="305"/>
    </row>
    <row r="333" spans="1:9">
      <c r="A333" s="300">
        <v>331</v>
      </c>
      <c r="B333" s="301">
        <v>44101</v>
      </c>
      <c r="C333" s="302">
        <v>241.81754899999999</v>
      </c>
      <c r="D333" s="303">
        <v>107.53022318893329</v>
      </c>
      <c r="E333" s="302">
        <f t="shared" si="15"/>
        <v>107.53022318893329</v>
      </c>
      <c r="F333" s="311"/>
      <c r="G333" s="208" t="str">
        <f t="shared" si="16"/>
        <v/>
      </c>
      <c r="H333" s="304" t="str">
        <f t="shared" si="17"/>
        <v/>
      </c>
      <c r="I333" s="305"/>
    </row>
    <row r="334" spans="1:9">
      <c r="A334" s="300">
        <v>332</v>
      </c>
      <c r="B334" s="301">
        <v>44102</v>
      </c>
      <c r="C334" s="302">
        <v>136.10734099999999</v>
      </c>
      <c r="D334" s="303">
        <v>107.53022318893329</v>
      </c>
      <c r="E334" s="302">
        <f t="shared" si="15"/>
        <v>107.53022318893329</v>
      </c>
      <c r="F334" s="311"/>
      <c r="G334" s="208" t="str">
        <f t="shared" si="16"/>
        <v/>
      </c>
      <c r="H334" s="304" t="str">
        <f t="shared" si="17"/>
        <v/>
      </c>
      <c r="I334" s="305"/>
    </row>
    <row r="335" spans="1:9">
      <c r="A335" s="300">
        <v>333</v>
      </c>
      <c r="B335" s="301">
        <v>44103</v>
      </c>
      <c r="C335" s="302">
        <v>53.049739000000002</v>
      </c>
      <c r="D335" s="303">
        <v>107.53022318893329</v>
      </c>
      <c r="E335" s="302">
        <f>IF(C335&gt;D335,D335,C335)</f>
        <v>53.049739000000002</v>
      </c>
      <c r="F335" s="311"/>
      <c r="G335" s="208" t="str">
        <f t="shared" si="16"/>
        <v/>
      </c>
      <c r="H335" s="304" t="str">
        <f t="shared" si="17"/>
        <v/>
      </c>
      <c r="I335" s="305"/>
    </row>
    <row r="336" spans="1:9">
      <c r="A336" s="300">
        <v>334</v>
      </c>
      <c r="B336" s="301">
        <v>44104</v>
      </c>
      <c r="C336" s="302">
        <v>62.263601999999999</v>
      </c>
      <c r="D336" s="303">
        <v>107.53022318893329</v>
      </c>
      <c r="E336" s="302">
        <f t="shared" si="15"/>
        <v>62.263601999999999</v>
      </c>
      <c r="F336" s="305"/>
      <c r="G336" s="208" t="str">
        <f t="shared" si="16"/>
        <v/>
      </c>
      <c r="H336" s="304" t="str">
        <f t="shared" si="17"/>
        <v/>
      </c>
      <c r="I336" s="305"/>
    </row>
    <row r="337" spans="1:9">
      <c r="A337" s="300">
        <v>335</v>
      </c>
      <c r="B337" s="301">
        <v>44105</v>
      </c>
      <c r="C337" s="302">
        <v>202.31050400000001</v>
      </c>
      <c r="D337" s="303">
        <v>127.77685884771405</v>
      </c>
      <c r="E337" s="302">
        <f t="shared" si="15"/>
        <v>127.77685884771405</v>
      </c>
      <c r="F337" s="311"/>
      <c r="G337" s="208" t="str">
        <f t="shared" si="16"/>
        <v/>
      </c>
      <c r="H337" s="304" t="str">
        <f t="shared" si="17"/>
        <v/>
      </c>
      <c r="I337" s="305"/>
    </row>
    <row r="338" spans="1:9">
      <c r="A338" s="300">
        <v>336</v>
      </c>
      <c r="B338" s="301">
        <v>44106</v>
      </c>
      <c r="C338" s="302">
        <v>362.36230999999998</v>
      </c>
      <c r="D338" s="303">
        <v>127.77685884771405</v>
      </c>
      <c r="E338" s="302">
        <f t="shared" si="15"/>
        <v>127.77685884771405</v>
      </c>
      <c r="F338" s="311"/>
      <c r="G338" s="208" t="str">
        <f t="shared" si="16"/>
        <v/>
      </c>
      <c r="H338" s="304" t="str">
        <f t="shared" si="17"/>
        <v/>
      </c>
      <c r="I338" s="305"/>
    </row>
    <row r="339" spans="1:9">
      <c r="A339" s="300">
        <v>337</v>
      </c>
      <c r="B339" s="301">
        <v>44107</v>
      </c>
      <c r="C339" s="302">
        <v>313.48092099999997</v>
      </c>
      <c r="D339" s="303">
        <v>127.77685884771405</v>
      </c>
      <c r="E339" s="302">
        <f t="shared" si="15"/>
        <v>127.77685884771405</v>
      </c>
      <c r="F339" s="311"/>
      <c r="G339" s="208" t="str">
        <f t="shared" si="16"/>
        <v/>
      </c>
      <c r="H339" s="304" t="str">
        <f t="shared" si="17"/>
        <v/>
      </c>
      <c r="I339" s="305"/>
    </row>
    <row r="340" spans="1:9">
      <c r="A340" s="300">
        <v>338</v>
      </c>
      <c r="B340" s="301">
        <v>44108</v>
      </c>
      <c r="C340" s="302">
        <v>260.74476300000003</v>
      </c>
      <c r="D340" s="303">
        <v>127.77685884771405</v>
      </c>
      <c r="E340" s="302">
        <f t="shared" si="15"/>
        <v>127.77685884771405</v>
      </c>
      <c r="F340" s="311"/>
      <c r="G340" s="208" t="str">
        <f t="shared" si="16"/>
        <v/>
      </c>
      <c r="H340" s="304" t="str">
        <f t="shared" si="17"/>
        <v/>
      </c>
      <c r="I340" s="305"/>
    </row>
    <row r="341" spans="1:9">
      <c r="A341" s="300">
        <v>339</v>
      </c>
      <c r="B341" s="301">
        <v>44109</v>
      </c>
      <c r="C341" s="302">
        <v>174.01282499999999</v>
      </c>
      <c r="D341" s="303">
        <v>127.77685884771405</v>
      </c>
      <c r="E341" s="302">
        <f t="shared" si="15"/>
        <v>127.77685884771405</v>
      </c>
      <c r="F341" s="311"/>
      <c r="G341" s="208" t="str">
        <f t="shared" si="16"/>
        <v/>
      </c>
      <c r="H341" s="304" t="str">
        <f t="shared" si="17"/>
        <v/>
      </c>
      <c r="I341" s="305"/>
    </row>
    <row r="342" spans="1:9">
      <c r="A342" s="300">
        <v>340</v>
      </c>
      <c r="B342" s="301">
        <v>44110</v>
      </c>
      <c r="C342" s="302">
        <v>159.32368199999999</v>
      </c>
      <c r="D342" s="303">
        <v>127.77685884771405</v>
      </c>
      <c r="E342" s="302">
        <f t="shared" si="15"/>
        <v>127.77685884771405</v>
      </c>
      <c r="F342" s="311"/>
      <c r="G342" s="208" t="str">
        <f t="shared" si="16"/>
        <v/>
      </c>
      <c r="H342" s="304" t="str">
        <f t="shared" si="17"/>
        <v/>
      </c>
      <c r="I342" s="305"/>
    </row>
    <row r="343" spans="1:9">
      <c r="A343" s="300">
        <v>341</v>
      </c>
      <c r="B343" s="301">
        <v>44111</v>
      </c>
      <c r="C343" s="302">
        <v>106.332655</v>
      </c>
      <c r="D343" s="303">
        <v>127.77685884771405</v>
      </c>
      <c r="E343" s="302">
        <f t="shared" si="15"/>
        <v>106.332655</v>
      </c>
      <c r="F343" s="311"/>
      <c r="G343" s="208" t="str">
        <f t="shared" si="16"/>
        <v/>
      </c>
      <c r="H343" s="304" t="str">
        <f t="shared" si="17"/>
        <v/>
      </c>
      <c r="I343" s="305"/>
    </row>
    <row r="344" spans="1:9">
      <c r="A344" s="300">
        <v>342</v>
      </c>
      <c r="B344" s="301">
        <v>44112</v>
      </c>
      <c r="C344" s="302">
        <v>60.809453999999995</v>
      </c>
      <c r="D344" s="303">
        <v>127.77685884771405</v>
      </c>
      <c r="E344" s="302">
        <f t="shared" si="15"/>
        <v>60.809453999999995</v>
      </c>
      <c r="F344" s="311"/>
      <c r="G344" s="208" t="str">
        <f t="shared" si="16"/>
        <v/>
      </c>
      <c r="H344" s="304" t="str">
        <f t="shared" si="17"/>
        <v/>
      </c>
      <c r="I344" s="305"/>
    </row>
    <row r="345" spans="1:9">
      <c r="A345" s="300">
        <v>343</v>
      </c>
      <c r="B345" s="301">
        <v>44113</v>
      </c>
      <c r="C345" s="302">
        <v>47.700453000000003</v>
      </c>
      <c r="D345" s="303">
        <v>127.77685884771405</v>
      </c>
      <c r="E345" s="302">
        <f t="shared" si="15"/>
        <v>47.700453000000003</v>
      </c>
      <c r="F345" s="311"/>
      <c r="G345" s="208" t="str">
        <f t="shared" si="16"/>
        <v/>
      </c>
      <c r="H345" s="304" t="str">
        <f t="shared" si="17"/>
        <v/>
      </c>
      <c r="I345" s="305"/>
    </row>
    <row r="346" spans="1:9">
      <c r="A346" s="300">
        <v>344</v>
      </c>
      <c r="B346" s="301">
        <v>44114</v>
      </c>
      <c r="C346" s="302">
        <v>209.875057</v>
      </c>
      <c r="D346" s="303">
        <v>127.77685884771405</v>
      </c>
      <c r="E346" s="302">
        <f t="shared" si="15"/>
        <v>127.77685884771405</v>
      </c>
      <c r="F346" s="311"/>
      <c r="G346" s="208" t="str">
        <f t="shared" si="16"/>
        <v/>
      </c>
      <c r="H346" s="304" t="str">
        <f t="shared" si="17"/>
        <v/>
      </c>
      <c r="I346" s="305"/>
    </row>
    <row r="347" spans="1:9">
      <c r="A347" s="300">
        <v>345</v>
      </c>
      <c r="B347" s="301">
        <v>44115</v>
      </c>
      <c r="C347" s="302">
        <v>251.34652199999999</v>
      </c>
      <c r="D347" s="303">
        <v>127.77685884771405</v>
      </c>
      <c r="E347" s="302">
        <f t="shared" si="15"/>
        <v>127.77685884771405</v>
      </c>
      <c r="F347" s="311"/>
      <c r="G347" s="208" t="str">
        <f t="shared" si="16"/>
        <v/>
      </c>
      <c r="H347" s="304" t="str">
        <f t="shared" si="17"/>
        <v/>
      </c>
      <c r="I347" s="305"/>
    </row>
    <row r="348" spans="1:9">
      <c r="A348" s="300">
        <v>346</v>
      </c>
      <c r="B348" s="301">
        <v>44116</v>
      </c>
      <c r="C348" s="302">
        <v>193.375204</v>
      </c>
      <c r="D348" s="303">
        <v>127.77685884771405</v>
      </c>
      <c r="E348" s="302">
        <f t="shared" si="15"/>
        <v>127.77685884771405</v>
      </c>
      <c r="F348" s="311"/>
      <c r="G348" s="208" t="str">
        <f t="shared" si="16"/>
        <v/>
      </c>
      <c r="H348" s="304" t="str">
        <f t="shared" si="17"/>
        <v/>
      </c>
      <c r="I348" s="305"/>
    </row>
    <row r="349" spans="1:9">
      <c r="A349" s="300">
        <v>347</v>
      </c>
      <c r="B349" s="301">
        <v>44117</v>
      </c>
      <c r="C349" s="302">
        <v>162.52114800000001</v>
      </c>
      <c r="D349" s="303">
        <v>127.77685884771405</v>
      </c>
      <c r="E349" s="302">
        <f t="shared" si="15"/>
        <v>127.77685884771405</v>
      </c>
      <c r="F349" s="311"/>
      <c r="G349" s="208" t="str">
        <f t="shared" si="16"/>
        <v/>
      </c>
      <c r="H349" s="304" t="str">
        <f t="shared" si="17"/>
        <v/>
      </c>
      <c r="I349" s="305"/>
    </row>
    <row r="350" spans="1:9">
      <c r="A350" s="300">
        <v>348</v>
      </c>
      <c r="B350" s="301">
        <v>44118</v>
      </c>
      <c r="C350" s="302">
        <v>204.77274299999999</v>
      </c>
      <c r="D350" s="303">
        <v>127.77685884771405</v>
      </c>
      <c r="E350" s="302">
        <f t="shared" si="15"/>
        <v>127.77685884771405</v>
      </c>
      <c r="F350" s="311"/>
      <c r="G350" s="208" t="str">
        <f t="shared" si="16"/>
        <v/>
      </c>
      <c r="H350" s="304" t="str">
        <f t="shared" si="17"/>
        <v/>
      </c>
      <c r="I350" s="305"/>
    </row>
    <row r="351" spans="1:9">
      <c r="A351" s="300">
        <v>349</v>
      </c>
      <c r="B351" s="301">
        <v>44119</v>
      </c>
      <c r="C351" s="302">
        <v>182.10322500000001</v>
      </c>
      <c r="D351" s="303">
        <v>127.77685884771405</v>
      </c>
      <c r="E351" s="302">
        <f t="shared" si="15"/>
        <v>127.77685884771405</v>
      </c>
      <c r="F351" s="311"/>
      <c r="G351" s="208" t="str">
        <f t="shared" si="16"/>
        <v>O</v>
      </c>
      <c r="H351" s="304" t="str">
        <f t="shared" si="17"/>
        <v>127,8</v>
      </c>
      <c r="I351" s="305"/>
    </row>
    <row r="352" spans="1:9">
      <c r="A352" s="300">
        <v>350</v>
      </c>
      <c r="B352" s="301">
        <v>44120</v>
      </c>
      <c r="C352" s="302">
        <v>110.11264899999999</v>
      </c>
      <c r="D352" s="303">
        <v>127.77685884771405</v>
      </c>
      <c r="E352" s="302">
        <f t="shared" si="15"/>
        <v>110.11264899999999</v>
      </c>
      <c r="F352" s="311"/>
      <c r="G352" s="208" t="str">
        <f t="shared" si="16"/>
        <v/>
      </c>
      <c r="H352" s="304" t="str">
        <f t="shared" si="17"/>
        <v/>
      </c>
      <c r="I352" s="305"/>
    </row>
    <row r="353" spans="1:9">
      <c r="A353" s="300">
        <v>351</v>
      </c>
      <c r="B353" s="301">
        <v>44121</v>
      </c>
      <c r="C353" s="302">
        <v>50.603324000000001</v>
      </c>
      <c r="D353" s="303">
        <v>127.77685884771405</v>
      </c>
      <c r="E353" s="302">
        <f t="shared" si="15"/>
        <v>50.603324000000001</v>
      </c>
      <c r="F353" s="311"/>
      <c r="G353" s="208" t="str">
        <f t="shared" si="16"/>
        <v/>
      </c>
      <c r="H353" s="304" t="str">
        <f t="shared" si="17"/>
        <v/>
      </c>
      <c r="I353" s="305"/>
    </row>
    <row r="354" spans="1:9">
      <c r="A354" s="300">
        <v>352</v>
      </c>
      <c r="B354" s="301">
        <v>44122</v>
      </c>
      <c r="C354" s="302">
        <v>61.568376999999998</v>
      </c>
      <c r="D354" s="303">
        <v>127.77685884771405</v>
      </c>
      <c r="E354" s="302">
        <f t="shared" si="15"/>
        <v>61.568376999999998</v>
      </c>
      <c r="F354" s="311"/>
      <c r="G354" s="208" t="str">
        <f t="shared" si="16"/>
        <v/>
      </c>
      <c r="H354" s="304" t="str">
        <f t="shared" si="17"/>
        <v/>
      </c>
      <c r="I354" s="305"/>
    </row>
    <row r="355" spans="1:9">
      <c r="A355" s="300">
        <v>353</v>
      </c>
      <c r="B355" s="301">
        <v>44123</v>
      </c>
      <c r="C355" s="302">
        <v>286.00790000000001</v>
      </c>
      <c r="D355" s="303">
        <v>127.77685884771405</v>
      </c>
      <c r="E355" s="302">
        <f t="shared" si="15"/>
        <v>127.77685884771405</v>
      </c>
      <c r="F355" s="311"/>
      <c r="G355" s="208" t="str">
        <f t="shared" si="16"/>
        <v/>
      </c>
      <c r="H355" s="304" t="str">
        <f t="shared" si="17"/>
        <v/>
      </c>
      <c r="I355" s="305"/>
    </row>
    <row r="356" spans="1:9">
      <c r="A356" s="300">
        <v>354</v>
      </c>
      <c r="B356" s="301">
        <v>44124</v>
      </c>
      <c r="C356" s="302">
        <v>337.56828400000001</v>
      </c>
      <c r="D356" s="303">
        <v>127.77685884771405</v>
      </c>
      <c r="E356" s="302">
        <f t="shared" si="15"/>
        <v>127.77685884771405</v>
      </c>
      <c r="F356" s="311"/>
      <c r="G356" s="208" t="str">
        <f t="shared" si="16"/>
        <v/>
      </c>
      <c r="H356" s="304" t="str">
        <f t="shared" si="17"/>
        <v/>
      </c>
      <c r="I356" s="305"/>
    </row>
    <row r="357" spans="1:9">
      <c r="A357" s="300">
        <v>355</v>
      </c>
      <c r="B357" s="301">
        <v>44125</v>
      </c>
      <c r="C357" s="302">
        <v>248.21931799999999</v>
      </c>
      <c r="D357" s="303">
        <v>127.77685884771405</v>
      </c>
      <c r="E357" s="302">
        <f t="shared" si="15"/>
        <v>127.77685884771405</v>
      </c>
      <c r="F357" s="311"/>
      <c r="G357" s="208" t="str">
        <f t="shared" si="16"/>
        <v/>
      </c>
      <c r="H357" s="304" t="str">
        <f t="shared" si="17"/>
        <v/>
      </c>
      <c r="I357" s="305"/>
    </row>
    <row r="358" spans="1:9">
      <c r="A358" s="300">
        <v>356</v>
      </c>
      <c r="B358" s="301">
        <v>44126</v>
      </c>
      <c r="C358" s="302">
        <v>139.68876200000003</v>
      </c>
      <c r="D358" s="303">
        <v>127.77685884771405</v>
      </c>
      <c r="E358" s="302">
        <f t="shared" si="15"/>
        <v>127.77685884771405</v>
      </c>
      <c r="F358" s="311"/>
      <c r="G358" s="208" t="str">
        <f t="shared" si="16"/>
        <v/>
      </c>
      <c r="H358" s="304" t="str">
        <f t="shared" si="17"/>
        <v/>
      </c>
      <c r="I358" s="305"/>
    </row>
    <row r="359" spans="1:9">
      <c r="A359" s="300">
        <v>357</v>
      </c>
      <c r="B359" s="301">
        <v>44127</v>
      </c>
      <c r="C359" s="302">
        <v>164.75299200000001</v>
      </c>
      <c r="D359" s="303">
        <v>127.77685884771405</v>
      </c>
      <c r="E359" s="302">
        <f t="shared" si="15"/>
        <v>127.77685884771405</v>
      </c>
      <c r="F359" s="311"/>
      <c r="G359" s="208" t="str">
        <f t="shared" si="16"/>
        <v/>
      </c>
      <c r="H359" s="304" t="str">
        <f t="shared" si="17"/>
        <v/>
      </c>
      <c r="I359" s="305"/>
    </row>
    <row r="360" spans="1:9">
      <c r="A360" s="300">
        <v>358</v>
      </c>
      <c r="B360" s="301">
        <v>44128</v>
      </c>
      <c r="C360" s="302">
        <v>218.189187</v>
      </c>
      <c r="D360" s="303">
        <v>127.77685884771405</v>
      </c>
      <c r="E360" s="302">
        <f t="shared" si="15"/>
        <v>127.77685884771405</v>
      </c>
      <c r="F360" s="311"/>
      <c r="G360" s="208" t="str">
        <f t="shared" si="16"/>
        <v/>
      </c>
      <c r="H360" s="304" t="str">
        <f t="shared" si="17"/>
        <v/>
      </c>
      <c r="I360" s="305"/>
    </row>
    <row r="361" spans="1:9">
      <c r="A361" s="300">
        <v>359</v>
      </c>
      <c r="B361" s="301">
        <v>44129</v>
      </c>
      <c r="C361" s="302">
        <v>293.93009999999998</v>
      </c>
      <c r="D361" s="303">
        <v>127.77685884771405</v>
      </c>
      <c r="E361" s="302">
        <f t="shared" si="15"/>
        <v>127.77685884771405</v>
      </c>
      <c r="F361" s="311"/>
      <c r="G361" s="208" t="str">
        <f t="shared" si="16"/>
        <v/>
      </c>
      <c r="H361" s="304" t="str">
        <f t="shared" si="17"/>
        <v/>
      </c>
      <c r="I361" s="305"/>
    </row>
    <row r="362" spans="1:9">
      <c r="A362" s="300">
        <v>360</v>
      </c>
      <c r="B362" s="301">
        <v>44130</v>
      </c>
      <c r="C362" s="302">
        <v>273.07115099999993</v>
      </c>
      <c r="D362" s="303">
        <v>127.77685884771405</v>
      </c>
      <c r="E362" s="302">
        <f t="shared" si="15"/>
        <v>127.77685884771405</v>
      </c>
      <c r="F362" s="311"/>
      <c r="G362" s="208" t="str">
        <f t="shared" si="16"/>
        <v/>
      </c>
      <c r="H362" s="304" t="str">
        <f t="shared" si="17"/>
        <v/>
      </c>
      <c r="I362" s="305"/>
    </row>
    <row r="363" spans="1:9">
      <c r="A363" s="300">
        <v>361</v>
      </c>
      <c r="B363" s="301">
        <v>44131</v>
      </c>
      <c r="C363" s="302">
        <v>242.38903200000001</v>
      </c>
      <c r="D363" s="303">
        <v>127.77685884771405</v>
      </c>
      <c r="E363" s="302">
        <f t="shared" si="15"/>
        <v>127.77685884771405</v>
      </c>
      <c r="F363" s="311"/>
      <c r="G363" s="208" t="str">
        <f t="shared" si="16"/>
        <v/>
      </c>
      <c r="H363" s="304" t="str">
        <f t="shared" si="17"/>
        <v/>
      </c>
      <c r="I363" s="305"/>
    </row>
    <row r="364" spans="1:9">
      <c r="A364" s="300">
        <v>362</v>
      </c>
      <c r="B364" s="301">
        <v>44132</v>
      </c>
      <c r="C364" s="302">
        <v>117.432166</v>
      </c>
      <c r="D364" s="303">
        <v>127.77685884771405</v>
      </c>
      <c r="E364" s="302">
        <f t="shared" si="15"/>
        <v>117.432166</v>
      </c>
      <c r="F364" s="311"/>
      <c r="G364" s="208" t="str">
        <f t="shared" si="16"/>
        <v/>
      </c>
      <c r="H364" s="304" t="str">
        <f t="shared" si="17"/>
        <v/>
      </c>
      <c r="I364" s="305"/>
    </row>
    <row r="365" spans="1:9">
      <c r="A365" s="300">
        <v>363</v>
      </c>
      <c r="B365" s="301">
        <v>44133</v>
      </c>
      <c r="C365" s="302">
        <v>58.558472000000002</v>
      </c>
      <c r="D365" s="303">
        <v>127.77685884771405</v>
      </c>
      <c r="E365" s="302">
        <f t="shared" si="15"/>
        <v>58.558472000000002</v>
      </c>
      <c r="F365" s="311"/>
      <c r="G365" s="208" t="str">
        <f t="shared" si="16"/>
        <v/>
      </c>
      <c r="H365" s="304" t="str">
        <f t="shared" si="17"/>
        <v/>
      </c>
      <c r="I365" s="305"/>
    </row>
    <row r="366" spans="1:9">
      <c r="A366" s="300">
        <v>364</v>
      </c>
      <c r="B366" s="301">
        <v>44134</v>
      </c>
      <c r="C366" s="302">
        <v>87.580316999999994</v>
      </c>
      <c r="D366" s="303">
        <v>127.77685884771405</v>
      </c>
      <c r="E366" s="302">
        <f t="shared" si="15"/>
        <v>87.580316999999994</v>
      </c>
      <c r="F366" s="311"/>
      <c r="G366" s="208" t="str">
        <f t="shared" si="16"/>
        <v/>
      </c>
      <c r="H366" s="304" t="str">
        <f t="shared" si="17"/>
        <v/>
      </c>
      <c r="I366" s="305"/>
    </row>
    <row r="367" spans="1:9">
      <c r="A367" s="300">
        <v>365</v>
      </c>
      <c r="B367" s="301">
        <v>44135</v>
      </c>
      <c r="C367" s="302">
        <v>123.795608</v>
      </c>
      <c r="D367" s="303">
        <v>127.77685884771405</v>
      </c>
      <c r="E367" s="302">
        <f t="shared" si="15"/>
        <v>123.795608</v>
      </c>
      <c r="F367" s="311"/>
      <c r="G367" s="208" t="str">
        <f t="shared" si="16"/>
        <v/>
      </c>
      <c r="H367" s="304" t="str">
        <f t="shared" si="17"/>
        <v/>
      </c>
      <c r="I367" s="305"/>
    </row>
    <row r="368" spans="1:9">
      <c r="A368" s="300">
        <v>366</v>
      </c>
      <c r="B368" s="301">
        <v>44136</v>
      </c>
      <c r="C368" s="302">
        <v>128.97480000000002</v>
      </c>
      <c r="D368" s="303">
        <v>177.45500682365255</v>
      </c>
      <c r="E368" s="302">
        <f t="shared" si="15"/>
        <v>128.97480000000002</v>
      </c>
      <c r="F368" s="311"/>
      <c r="G368" s="208" t="str">
        <f t="shared" si="16"/>
        <v/>
      </c>
      <c r="H368" s="304" t="str">
        <f t="shared" si="17"/>
        <v/>
      </c>
      <c r="I368" s="305"/>
    </row>
    <row r="369" spans="1:9">
      <c r="A369" s="300">
        <v>367</v>
      </c>
      <c r="B369" s="301">
        <v>44137</v>
      </c>
      <c r="C369" s="302">
        <v>84.933499999999995</v>
      </c>
      <c r="D369" s="303">
        <v>177.45500682365255</v>
      </c>
      <c r="E369" s="302">
        <f t="shared" si="15"/>
        <v>84.933499999999995</v>
      </c>
      <c r="F369" s="311"/>
      <c r="G369" s="208" t="str">
        <f t="shared" si="16"/>
        <v/>
      </c>
      <c r="H369" s="304" t="str">
        <f t="shared" si="17"/>
        <v/>
      </c>
      <c r="I369" s="305"/>
    </row>
    <row r="370" spans="1:9">
      <c r="A370" s="300">
        <v>368</v>
      </c>
      <c r="B370" s="301">
        <v>44138</v>
      </c>
      <c r="C370" s="302">
        <v>172.1371</v>
      </c>
      <c r="D370" s="303">
        <v>177.45500682365255</v>
      </c>
      <c r="E370" s="302">
        <f t="shared" si="15"/>
        <v>172.1371</v>
      </c>
      <c r="F370" s="311"/>
      <c r="G370" s="208" t="str">
        <f t="shared" si="16"/>
        <v/>
      </c>
      <c r="H370" s="304" t="str">
        <f t="shared" si="17"/>
        <v/>
      </c>
      <c r="I370" s="305"/>
    </row>
    <row r="371" spans="1:9">
      <c r="A371" s="300">
        <v>369</v>
      </c>
      <c r="B371" s="301">
        <v>44139</v>
      </c>
      <c r="C371" s="302">
        <v>214.57400000000001</v>
      </c>
      <c r="D371" s="303">
        <v>177.45500682365255</v>
      </c>
      <c r="E371" s="302">
        <f t="shared" si="15"/>
        <v>177.45500682365255</v>
      </c>
      <c r="F371" s="311"/>
      <c r="G371" s="208" t="str">
        <f t="shared" si="16"/>
        <v/>
      </c>
      <c r="H371" s="304" t="str">
        <f t="shared" si="17"/>
        <v/>
      </c>
      <c r="I371" s="305"/>
    </row>
    <row r="372" spans="1:9">
      <c r="A372" s="300">
        <v>370</v>
      </c>
      <c r="B372" s="301">
        <v>44140</v>
      </c>
      <c r="C372" s="302">
        <v>306.68459999999999</v>
      </c>
      <c r="D372" s="303">
        <v>177.45500682365255</v>
      </c>
      <c r="E372" s="302">
        <f t="shared" si="15"/>
        <v>177.45500682365255</v>
      </c>
      <c r="F372" s="311"/>
      <c r="G372" s="208" t="str">
        <f t="shared" si="16"/>
        <v/>
      </c>
      <c r="H372" s="304" t="str">
        <f t="shared" si="17"/>
        <v/>
      </c>
      <c r="I372" s="305"/>
    </row>
    <row r="373" spans="1:9">
      <c r="A373" s="300">
        <v>371</v>
      </c>
      <c r="B373" s="301">
        <v>44141</v>
      </c>
      <c r="C373" s="302">
        <v>329.87809999999996</v>
      </c>
      <c r="D373" s="303">
        <v>177.45500682365255</v>
      </c>
      <c r="E373" s="302">
        <f t="shared" si="15"/>
        <v>177.45500682365255</v>
      </c>
      <c r="F373" s="311"/>
      <c r="G373" s="208" t="str">
        <f t="shared" si="16"/>
        <v/>
      </c>
      <c r="H373" s="304" t="str">
        <f t="shared" si="17"/>
        <v/>
      </c>
      <c r="I373" s="305"/>
    </row>
    <row r="374" spans="1:9">
      <c r="A374" s="300">
        <v>372</v>
      </c>
      <c r="B374" s="301">
        <v>44142</v>
      </c>
      <c r="C374" s="302">
        <v>226.16290000000001</v>
      </c>
      <c r="D374" s="303">
        <v>177.45500682365255</v>
      </c>
      <c r="E374" s="302">
        <f t="shared" si="15"/>
        <v>177.45500682365255</v>
      </c>
      <c r="F374" s="311"/>
      <c r="G374" s="208" t="str">
        <f t="shared" si="16"/>
        <v/>
      </c>
      <c r="H374" s="304" t="str">
        <f t="shared" si="17"/>
        <v/>
      </c>
      <c r="I374" s="305"/>
    </row>
    <row r="375" spans="1:9">
      <c r="A375" s="300">
        <v>373</v>
      </c>
      <c r="B375" s="301">
        <v>44143</v>
      </c>
      <c r="C375" s="302">
        <v>157.23429999999999</v>
      </c>
      <c r="D375" s="303">
        <v>177.45500682365255</v>
      </c>
      <c r="E375" s="302">
        <f t="shared" si="15"/>
        <v>157.23429999999999</v>
      </c>
      <c r="F375" s="311"/>
      <c r="G375" s="208" t="str">
        <f t="shared" si="16"/>
        <v/>
      </c>
      <c r="H375" s="304" t="str">
        <f t="shared" si="17"/>
        <v/>
      </c>
      <c r="I375" s="305"/>
    </row>
    <row r="376" spans="1:9">
      <c r="A376" s="300">
        <v>374</v>
      </c>
      <c r="B376" s="301">
        <v>44144</v>
      </c>
      <c r="C376" s="302">
        <v>67.509500000000003</v>
      </c>
      <c r="D376" s="303">
        <v>177.45500682365255</v>
      </c>
      <c r="E376" s="302">
        <f t="shared" si="15"/>
        <v>67.509500000000003</v>
      </c>
      <c r="F376" s="311"/>
      <c r="G376" s="208" t="str">
        <f t="shared" si="16"/>
        <v/>
      </c>
      <c r="H376" s="304" t="str">
        <f t="shared" si="17"/>
        <v/>
      </c>
      <c r="I376" s="305"/>
    </row>
    <row r="377" spans="1:9">
      <c r="A377" s="300">
        <v>375</v>
      </c>
      <c r="B377" s="301">
        <v>44145</v>
      </c>
      <c r="C377" s="302">
        <v>38.072800000000001</v>
      </c>
      <c r="D377" s="303">
        <v>177.45500682365255</v>
      </c>
      <c r="E377" s="302">
        <f t="shared" si="15"/>
        <v>38.072800000000001</v>
      </c>
      <c r="F377" s="311"/>
      <c r="G377" s="208" t="str">
        <f t="shared" si="16"/>
        <v/>
      </c>
      <c r="H377" s="304" t="str">
        <f t="shared" si="17"/>
        <v/>
      </c>
      <c r="I377" s="305"/>
    </row>
    <row r="378" spans="1:9">
      <c r="A378" s="300">
        <v>376</v>
      </c>
      <c r="B378" s="301">
        <v>44146</v>
      </c>
      <c r="C378" s="302">
        <v>138.79640000000001</v>
      </c>
      <c r="D378" s="303">
        <v>177.45500682365255</v>
      </c>
      <c r="E378" s="302">
        <f t="shared" si="15"/>
        <v>138.79640000000001</v>
      </c>
      <c r="F378" s="311"/>
      <c r="G378" s="208" t="str">
        <f t="shared" si="16"/>
        <v/>
      </c>
      <c r="H378" s="304" t="str">
        <f t="shared" si="17"/>
        <v/>
      </c>
      <c r="I378" s="305"/>
    </row>
    <row r="379" spans="1:9">
      <c r="A379" s="300">
        <v>377</v>
      </c>
      <c r="B379" s="301">
        <v>44147</v>
      </c>
      <c r="C379" s="302">
        <v>97.941500000000005</v>
      </c>
      <c r="D379" s="303">
        <v>177.45500682365255</v>
      </c>
      <c r="E379" s="302">
        <f t="shared" si="15"/>
        <v>97.941500000000005</v>
      </c>
      <c r="F379" s="311"/>
      <c r="G379" s="208" t="str">
        <f t="shared" si="16"/>
        <v/>
      </c>
      <c r="H379" s="304" t="str">
        <f t="shared" si="17"/>
        <v/>
      </c>
      <c r="I379" s="305"/>
    </row>
    <row r="380" spans="1:9">
      <c r="A380" s="300">
        <v>378</v>
      </c>
      <c r="B380" s="301">
        <v>44148</v>
      </c>
      <c r="C380" s="302">
        <v>76.722399999999993</v>
      </c>
      <c r="D380" s="303">
        <v>177.45500682365255</v>
      </c>
      <c r="E380" s="302">
        <f t="shared" si="15"/>
        <v>76.722399999999993</v>
      </c>
      <c r="F380" s="311"/>
      <c r="G380" s="208" t="str">
        <f t="shared" si="16"/>
        <v/>
      </c>
      <c r="H380" s="304" t="str">
        <f t="shared" si="17"/>
        <v/>
      </c>
      <c r="I380" s="305"/>
    </row>
    <row r="381" spans="1:9">
      <c r="A381" s="300">
        <v>379</v>
      </c>
      <c r="B381" s="301">
        <v>44149</v>
      </c>
      <c r="C381" s="302">
        <v>135.83720000000002</v>
      </c>
      <c r="D381" s="303">
        <v>177.45500682365255</v>
      </c>
      <c r="E381" s="302">
        <f t="shared" si="15"/>
        <v>135.83720000000002</v>
      </c>
      <c r="F381" s="311"/>
      <c r="G381" s="208" t="str">
        <f t="shared" si="16"/>
        <v/>
      </c>
      <c r="H381" s="304" t="str">
        <f t="shared" si="17"/>
        <v/>
      </c>
      <c r="I381" s="305"/>
    </row>
    <row r="382" spans="1:9">
      <c r="A382" s="300">
        <v>380</v>
      </c>
      <c r="B382" s="301">
        <v>44150</v>
      </c>
      <c r="C382" s="302">
        <v>217.7259</v>
      </c>
      <c r="D382" s="303">
        <v>177.45500682365255</v>
      </c>
      <c r="E382" s="302">
        <f t="shared" si="15"/>
        <v>177.45500682365255</v>
      </c>
      <c r="F382" s="311"/>
      <c r="G382" s="208" t="str">
        <f t="shared" si="16"/>
        <v>N</v>
      </c>
      <c r="H382" s="304" t="str">
        <f t="shared" si="17"/>
        <v>177,5</v>
      </c>
      <c r="I382" s="305"/>
    </row>
    <row r="383" spans="1:9">
      <c r="A383" s="300">
        <v>381</v>
      </c>
      <c r="B383" s="301">
        <v>44151</v>
      </c>
      <c r="C383" s="302">
        <v>104.098</v>
      </c>
      <c r="D383" s="303">
        <v>177.45500682365255</v>
      </c>
      <c r="E383" s="302">
        <f t="shared" si="15"/>
        <v>104.098</v>
      </c>
      <c r="F383" s="311"/>
      <c r="G383" s="208" t="str">
        <f t="shared" si="16"/>
        <v/>
      </c>
      <c r="H383" s="304" t="str">
        <f t="shared" si="17"/>
        <v/>
      </c>
      <c r="I383" s="305"/>
    </row>
    <row r="384" spans="1:9">
      <c r="A384" s="300">
        <v>382</v>
      </c>
      <c r="B384" s="301">
        <v>44152</v>
      </c>
      <c r="C384" s="302">
        <v>62.576500000000003</v>
      </c>
      <c r="D384" s="303">
        <v>177.45500682365255</v>
      </c>
      <c r="E384" s="302">
        <f t="shared" si="15"/>
        <v>62.576500000000003</v>
      </c>
      <c r="F384" s="311"/>
      <c r="G384" s="208" t="str">
        <f t="shared" si="16"/>
        <v/>
      </c>
      <c r="H384" s="304" t="str">
        <f t="shared" si="17"/>
        <v/>
      </c>
      <c r="I384" s="305"/>
    </row>
    <row r="385" spans="1:9">
      <c r="A385" s="300">
        <v>383</v>
      </c>
      <c r="B385" s="301">
        <v>44153</v>
      </c>
      <c r="C385" s="302">
        <v>89.039699999999996</v>
      </c>
      <c r="D385" s="303">
        <v>177.45500682365255</v>
      </c>
      <c r="E385" s="302">
        <f t="shared" si="15"/>
        <v>89.039699999999996</v>
      </c>
      <c r="F385" s="311"/>
      <c r="G385" s="208" t="str">
        <f t="shared" si="16"/>
        <v/>
      </c>
      <c r="H385" s="304" t="str">
        <f t="shared" si="17"/>
        <v/>
      </c>
      <c r="I385" s="305"/>
    </row>
    <row r="386" spans="1:9">
      <c r="A386" s="300">
        <v>384</v>
      </c>
      <c r="B386" s="301">
        <v>44154</v>
      </c>
      <c r="C386" s="302">
        <v>184.89920000000001</v>
      </c>
      <c r="D386" s="303">
        <v>177.45500682365255</v>
      </c>
      <c r="E386" s="302">
        <f t="shared" si="15"/>
        <v>177.45500682365255</v>
      </c>
      <c r="F386" s="311"/>
      <c r="G386" s="208" t="str">
        <f t="shared" si="16"/>
        <v/>
      </c>
      <c r="H386" s="304" t="str">
        <f t="shared" si="17"/>
        <v/>
      </c>
      <c r="I386" s="305"/>
    </row>
    <row r="387" spans="1:9">
      <c r="A387" s="300">
        <v>385</v>
      </c>
      <c r="B387" s="301">
        <v>44155</v>
      </c>
      <c r="C387" s="302">
        <v>252.0625</v>
      </c>
      <c r="D387" s="303">
        <v>177.45500682365255</v>
      </c>
      <c r="E387" s="302">
        <f t="shared" ref="E387:E395" si="18">IF(C387&gt;D387,D387,C387)</f>
        <v>177.45500682365255</v>
      </c>
      <c r="F387" s="311"/>
      <c r="G387" s="208" t="str">
        <f t="shared" ref="G387:G395" si="19">IF(DAY(B387)=15,IF(MONTH(B387)=1,"E",IF(MONTH(B387)=2,"F",IF(MONTH(B387)=3,"M",IF(MONTH(B387)=4,"A",IF(MONTH(B387)=5,"M",IF(MONTH(B387)=6,"J",IF(MONTH(B387)=7,"J",IF(MONTH(B387)=8,"A",IF(MONTH(B387)=9,"S",IF(MONTH(B387)=10,"O",IF(MONTH(B387)=11,"N",IF(MONTH(B387)=12,"D","")))))))))))),"")</f>
        <v/>
      </c>
      <c r="H387" s="304" t="str">
        <f t="shared" ref="H387:H395" si="20">IF(DAY($B387)=15,TEXT(D387,"#,0"),"")</f>
        <v/>
      </c>
      <c r="I387" s="305"/>
    </row>
    <row r="388" spans="1:9">
      <c r="A388" s="300">
        <v>386</v>
      </c>
      <c r="B388" s="301">
        <v>44156</v>
      </c>
      <c r="C388" s="302">
        <v>119.9812</v>
      </c>
      <c r="D388" s="303">
        <v>177.45500682365255</v>
      </c>
      <c r="E388" s="302">
        <f t="shared" si="18"/>
        <v>119.9812</v>
      </c>
      <c r="F388" s="311"/>
      <c r="G388" s="208" t="str">
        <f t="shared" si="19"/>
        <v/>
      </c>
      <c r="H388" s="304" t="str">
        <f t="shared" si="20"/>
        <v/>
      </c>
      <c r="I388" s="305"/>
    </row>
    <row r="389" spans="1:9">
      <c r="A389" s="300">
        <v>387</v>
      </c>
      <c r="B389" s="301">
        <v>44157</v>
      </c>
      <c r="C389" s="302">
        <v>59.809599999999996</v>
      </c>
      <c r="D389" s="303">
        <v>177.45500682365255</v>
      </c>
      <c r="E389" s="302">
        <f t="shared" si="18"/>
        <v>59.809599999999996</v>
      </c>
      <c r="F389" s="311"/>
      <c r="G389" s="208" t="str">
        <f t="shared" si="19"/>
        <v/>
      </c>
      <c r="H389" s="304" t="str">
        <f t="shared" si="20"/>
        <v/>
      </c>
      <c r="I389" s="305"/>
    </row>
    <row r="390" spans="1:9">
      <c r="A390" s="300">
        <v>388</v>
      </c>
      <c r="B390" s="301">
        <v>44158</v>
      </c>
      <c r="C390" s="302">
        <v>50.143600000000006</v>
      </c>
      <c r="D390" s="303">
        <v>177.45500682365255</v>
      </c>
      <c r="E390" s="302">
        <f t="shared" si="18"/>
        <v>50.143600000000006</v>
      </c>
      <c r="F390" s="311"/>
      <c r="G390" s="208" t="str">
        <f t="shared" si="19"/>
        <v/>
      </c>
      <c r="H390" s="304" t="str">
        <f t="shared" si="20"/>
        <v/>
      </c>
      <c r="I390" s="305"/>
    </row>
    <row r="391" spans="1:9">
      <c r="A391" s="300">
        <v>389</v>
      </c>
      <c r="B391" s="301">
        <v>44159</v>
      </c>
      <c r="C391" s="302">
        <v>105.64569999999999</v>
      </c>
      <c r="D391" s="303">
        <v>177.45500682365255</v>
      </c>
      <c r="E391" s="302">
        <f t="shared" si="18"/>
        <v>105.64569999999999</v>
      </c>
      <c r="F391" s="311"/>
      <c r="G391" s="208" t="str">
        <f t="shared" si="19"/>
        <v/>
      </c>
      <c r="H391" s="304" t="str">
        <f t="shared" si="20"/>
        <v/>
      </c>
      <c r="I391" s="305"/>
    </row>
    <row r="392" spans="1:9">
      <c r="A392" s="300">
        <v>390</v>
      </c>
      <c r="B392" s="301">
        <v>44160</v>
      </c>
      <c r="C392" s="302">
        <v>122.8772</v>
      </c>
      <c r="D392" s="303">
        <v>177.45500682365255</v>
      </c>
      <c r="E392" s="302">
        <f t="shared" si="18"/>
        <v>122.8772</v>
      </c>
      <c r="F392" s="311"/>
      <c r="G392" s="208" t="str">
        <f t="shared" si="19"/>
        <v/>
      </c>
      <c r="H392" s="304" t="str">
        <f t="shared" si="20"/>
        <v/>
      </c>
      <c r="I392" s="305"/>
    </row>
    <row r="393" spans="1:9">
      <c r="A393" s="300">
        <v>391</v>
      </c>
      <c r="B393" s="301">
        <v>44161</v>
      </c>
      <c r="C393" s="302">
        <v>223.2808</v>
      </c>
      <c r="D393" s="303">
        <v>177.45500682365255</v>
      </c>
      <c r="E393" s="302">
        <f t="shared" si="18"/>
        <v>177.45500682365255</v>
      </c>
      <c r="F393" s="311"/>
      <c r="G393" s="208" t="str">
        <f t="shared" si="19"/>
        <v/>
      </c>
      <c r="H393" s="304" t="str">
        <f t="shared" si="20"/>
        <v/>
      </c>
      <c r="I393" s="305"/>
    </row>
    <row r="394" spans="1:9">
      <c r="A394" s="300">
        <v>392</v>
      </c>
      <c r="B394" s="301">
        <v>44162</v>
      </c>
      <c r="C394" s="302">
        <v>157.6765</v>
      </c>
      <c r="D394" s="303">
        <v>177.45500682365255</v>
      </c>
      <c r="E394" s="302">
        <f t="shared" si="18"/>
        <v>157.6765</v>
      </c>
      <c r="F394" s="311"/>
      <c r="G394" s="208" t="str">
        <f t="shared" si="19"/>
        <v/>
      </c>
      <c r="H394" s="304" t="str">
        <f t="shared" si="20"/>
        <v/>
      </c>
      <c r="I394" s="305"/>
    </row>
    <row r="395" spans="1:9">
      <c r="A395" s="300">
        <v>393</v>
      </c>
      <c r="B395" s="301">
        <v>44163</v>
      </c>
      <c r="C395" s="302">
        <v>76.442599999999999</v>
      </c>
      <c r="D395" s="303">
        <v>177.45500682365255</v>
      </c>
      <c r="E395" s="302">
        <f t="shared" si="18"/>
        <v>76.442599999999999</v>
      </c>
      <c r="F395" s="311"/>
      <c r="G395" s="208" t="str">
        <f t="shared" si="19"/>
        <v/>
      </c>
      <c r="H395" s="304" t="str">
        <f t="shared" si="20"/>
        <v/>
      </c>
      <c r="I395" s="305"/>
    </row>
    <row r="396" spans="1:9">
      <c r="A396" s="300">
        <v>394</v>
      </c>
      <c r="B396" s="301">
        <v>44164</v>
      </c>
      <c r="C396" s="302">
        <v>59.502400000000002</v>
      </c>
      <c r="D396" s="303">
        <v>177.45500682365255</v>
      </c>
      <c r="E396" s="302">
        <f t="shared" ref="E396:E397" si="21">IF(C396&gt;D396,D396,C396)</f>
        <v>59.502400000000002</v>
      </c>
      <c r="F396" s="311"/>
      <c r="G396" s="208"/>
      <c r="H396" s="304"/>
      <c r="I396" s="305"/>
    </row>
    <row r="397" spans="1:9">
      <c r="A397" s="300">
        <v>395</v>
      </c>
      <c r="B397" s="301">
        <v>44165</v>
      </c>
      <c r="C397" s="302">
        <v>89.236199999999997</v>
      </c>
      <c r="D397" s="303">
        <v>177.45500682365255</v>
      </c>
      <c r="E397" s="302">
        <f t="shared" si="21"/>
        <v>89.236199999999997</v>
      </c>
      <c r="F397" s="311"/>
      <c r="G397" s="208"/>
      <c r="H397" s="304"/>
      <c r="I397" s="305"/>
    </row>
    <row r="398" spans="1:9">
      <c r="A398" s="300">
        <v>396</v>
      </c>
      <c r="B398" s="301" t="e">
        <v>#N/A</v>
      </c>
      <c r="C398" s="302" t="e">
        <v>#N/A</v>
      </c>
      <c r="D398" s="303" t="e">
        <v>#N/A</v>
      </c>
      <c r="E398" s="302" t="e">
        <f t="shared" ref="E398" si="22">IF(C398&gt;D398,D398,C398)</f>
        <v>#N/A</v>
      </c>
      <c r="F398" s="311"/>
      <c r="G398" s="208"/>
      <c r="H398" s="304"/>
      <c r="I398" s="305"/>
    </row>
    <row r="399" spans="1:9">
      <c r="B399" s="301"/>
      <c r="C399" s="302"/>
      <c r="D399" s="303"/>
      <c r="E399" s="302"/>
      <c r="F399" s="311"/>
      <c r="G399" s="208"/>
      <c r="H399" s="304"/>
      <c r="I399" s="305"/>
    </row>
    <row r="400" spans="1:9">
      <c r="B400" s="301"/>
      <c r="C400" s="302"/>
      <c r="D400" s="303"/>
      <c r="E400" s="302"/>
      <c r="F400" s="311"/>
      <c r="G400" s="208"/>
      <c r="H400" s="304"/>
      <c r="I400" s="305"/>
    </row>
    <row r="401" spans="2:9">
      <c r="B401" s="301"/>
      <c r="C401" s="302"/>
      <c r="D401" s="303"/>
      <c r="E401" s="302"/>
      <c r="F401" s="311"/>
      <c r="G401" s="208"/>
      <c r="H401" s="304"/>
      <c r="I401" s="305"/>
    </row>
    <row r="402" spans="2:9">
      <c r="B402" s="301"/>
      <c r="C402" s="302"/>
      <c r="D402" s="303"/>
      <c r="E402" s="302"/>
      <c r="F402" s="311"/>
      <c r="G402" s="208"/>
      <c r="H402" s="304"/>
      <c r="I402" s="305"/>
    </row>
    <row r="403" spans="2:9">
      <c r="B403" s="301"/>
      <c r="C403" s="302"/>
      <c r="D403" s="303"/>
      <c r="E403" s="302"/>
      <c r="F403" s="311"/>
      <c r="G403" s="208"/>
      <c r="H403" s="304"/>
      <c r="I403" s="305"/>
    </row>
    <row r="404" spans="2:9">
      <c r="B404" s="301"/>
      <c r="C404" s="302"/>
      <c r="D404" s="303"/>
      <c r="E404" s="302"/>
      <c r="F404" s="311"/>
      <c r="G404" s="208"/>
      <c r="H404" s="304"/>
      <c r="I404" s="305"/>
    </row>
    <row r="405" spans="2:9">
      <c r="B405" s="301"/>
      <c r="C405" s="302"/>
      <c r="D405" s="303"/>
      <c r="E405" s="302"/>
      <c r="F405" s="311"/>
      <c r="G405" s="208"/>
      <c r="H405" s="304"/>
      <c r="I405" s="305"/>
    </row>
    <row r="406" spans="2:9">
      <c r="B406" s="301"/>
      <c r="C406" s="302"/>
      <c r="D406" s="303"/>
      <c r="E406" s="302"/>
      <c r="F406" s="311"/>
      <c r="G406" s="208"/>
      <c r="H406" s="304"/>
      <c r="I406" s="305"/>
    </row>
    <row r="407" spans="2:9">
      <c r="B407" s="301"/>
      <c r="C407" s="302"/>
      <c r="D407" s="303"/>
      <c r="E407" s="302"/>
      <c r="F407" s="311"/>
      <c r="G407" s="208"/>
      <c r="H407" s="304"/>
      <c r="I407" s="305"/>
    </row>
    <row r="408" spans="2:9">
      <c r="B408" s="301"/>
      <c r="C408" s="302"/>
      <c r="D408" s="303"/>
      <c r="E408" s="302"/>
      <c r="F408" s="311"/>
      <c r="G408" s="208"/>
      <c r="H408" s="304"/>
      <c r="I408" s="305"/>
    </row>
    <row r="409" spans="2:9">
      <c r="B409" s="301"/>
      <c r="C409" s="302"/>
      <c r="D409" s="303"/>
      <c r="E409" s="302"/>
      <c r="F409" s="311"/>
      <c r="G409" s="208"/>
      <c r="H409" s="304"/>
      <c r="I409" s="305"/>
    </row>
    <row r="410" spans="2:9">
      <c r="B410" s="301"/>
      <c r="C410" s="302"/>
      <c r="D410" s="303"/>
      <c r="E410" s="302"/>
      <c r="F410" s="311"/>
      <c r="G410" s="208"/>
      <c r="H410" s="304"/>
      <c r="I410" s="305"/>
    </row>
    <row r="411" spans="2:9">
      <c r="B411" s="301"/>
      <c r="C411" s="302"/>
      <c r="D411" s="303"/>
      <c r="E411" s="302"/>
      <c r="F411" s="311"/>
      <c r="G411" s="208"/>
      <c r="H411" s="304"/>
      <c r="I411" s="305"/>
    </row>
    <row r="412" spans="2:9">
      <c r="B412" s="301"/>
      <c r="C412" s="302"/>
      <c r="D412" s="303"/>
      <c r="E412" s="302"/>
      <c r="F412" s="311"/>
      <c r="G412" s="208"/>
      <c r="H412" s="304"/>
      <c r="I412" s="305"/>
    </row>
    <row r="413" spans="2:9">
      <c r="B413" s="301"/>
      <c r="C413" s="302"/>
      <c r="D413" s="303"/>
      <c r="E413" s="302"/>
      <c r="F413" s="311"/>
      <c r="G413" s="208"/>
      <c r="H413" s="304"/>
      <c r="I413" s="305"/>
    </row>
    <row r="414" spans="2:9">
      <c r="B414" s="301"/>
      <c r="C414" s="302"/>
      <c r="D414" s="303"/>
      <c r="E414" s="302"/>
      <c r="F414" s="311"/>
      <c r="G414" s="208"/>
      <c r="H414" s="304"/>
      <c r="I414" s="305"/>
    </row>
    <row r="415" spans="2:9">
      <c r="B415" s="301"/>
      <c r="C415" s="302"/>
      <c r="D415" s="303"/>
      <c r="E415" s="302"/>
      <c r="F415" s="311"/>
      <c r="G415" s="208"/>
      <c r="H415" s="304"/>
      <c r="I415" s="305"/>
    </row>
    <row r="416" spans="2:9">
      <c r="B416" s="301"/>
      <c r="C416" s="302"/>
      <c r="D416" s="303"/>
      <c r="E416" s="302"/>
      <c r="F416" s="311"/>
      <c r="G416" s="208"/>
      <c r="H416" s="304"/>
      <c r="I416" s="305"/>
    </row>
    <row r="417" spans="2:9">
      <c r="B417" s="301"/>
      <c r="C417" s="302"/>
      <c r="D417" s="303"/>
      <c r="E417" s="302"/>
      <c r="F417" s="311"/>
      <c r="G417" s="208"/>
      <c r="H417" s="304"/>
      <c r="I417" s="305"/>
    </row>
    <row r="418" spans="2:9">
      <c r="B418" s="301"/>
      <c r="C418" s="302"/>
      <c r="D418" s="303"/>
      <c r="E418" s="302"/>
      <c r="F418" s="311"/>
      <c r="G418" s="208"/>
      <c r="H418" s="304"/>
      <c r="I418" s="305"/>
    </row>
    <row r="419" spans="2:9">
      <c r="B419" s="301"/>
      <c r="C419" s="302"/>
      <c r="D419" s="303"/>
      <c r="E419" s="302"/>
      <c r="F419" s="311"/>
      <c r="G419" s="208"/>
      <c r="H419" s="304"/>
      <c r="I419" s="305"/>
    </row>
    <row r="420" spans="2:9">
      <c r="B420" s="301"/>
      <c r="C420" s="302"/>
      <c r="D420" s="303"/>
      <c r="E420" s="302"/>
      <c r="F420" s="311"/>
      <c r="G420" s="208"/>
      <c r="H420" s="304"/>
      <c r="I420" s="305"/>
    </row>
    <row r="421" spans="2:9">
      <c r="B421" s="301"/>
      <c r="C421" s="302"/>
      <c r="D421" s="303"/>
      <c r="E421" s="302"/>
      <c r="F421" s="311"/>
      <c r="G421" s="208"/>
      <c r="H421" s="304"/>
      <c r="I421" s="305"/>
    </row>
    <row r="422" spans="2:9">
      <c r="B422" s="301"/>
      <c r="C422" s="302"/>
      <c r="D422" s="303"/>
      <c r="E422" s="302"/>
      <c r="F422" s="311"/>
      <c r="G422" s="208"/>
      <c r="H422" s="304"/>
      <c r="I422" s="305"/>
    </row>
    <row r="423" spans="2:9">
      <c r="B423" s="301"/>
      <c r="C423" s="302"/>
      <c r="D423" s="303"/>
      <c r="E423" s="302"/>
      <c r="F423" s="311"/>
      <c r="G423" s="208"/>
      <c r="H423" s="304"/>
      <c r="I423" s="305"/>
    </row>
    <row r="424" spans="2:9">
      <c r="B424" s="301"/>
      <c r="C424" s="302"/>
      <c r="D424" s="303"/>
      <c r="E424" s="302"/>
      <c r="F424" s="311"/>
      <c r="G424" s="208"/>
      <c r="H424" s="304"/>
      <c r="I424" s="305"/>
    </row>
    <row r="425" spans="2:9">
      <c r="B425" s="301"/>
      <c r="C425" s="302"/>
      <c r="D425" s="303"/>
      <c r="E425" s="302"/>
      <c r="F425" s="311"/>
      <c r="G425" s="208"/>
      <c r="H425" s="304"/>
      <c r="I425" s="305"/>
    </row>
    <row r="426" spans="2:9">
      <c r="B426" s="301"/>
      <c r="C426" s="302"/>
      <c r="D426" s="303"/>
      <c r="E426" s="302"/>
      <c r="F426" s="311"/>
      <c r="G426" s="208"/>
      <c r="H426" s="304"/>
      <c r="I426" s="305"/>
    </row>
    <row r="427" spans="2:9">
      <c r="B427" s="301"/>
      <c r="C427" s="302"/>
      <c r="D427" s="303"/>
      <c r="E427" s="302"/>
      <c r="F427" s="311"/>
      <c r="G427" s="208"/>
      <c r="H427" s="304"/>
      <c r="I427" s="305"/>
    </row>
    <row r="428" spans="2:9">
      <c r="B428" s="301"/>
      <c r="C428" s="302"/>
      <c r="D428" s="303"/>
      <c r="E428" s="302"/>
      <c r="F428" s="311"/>
      <c r="G428" s="208"/>
      <c r="H428" s="304"/>
      <c r="I428" s="305"/>
    </row>
    <row r="429" spans="2:9">
      <c r="B429" s="301"/>
      <c r="C429" s="302"/>
      <c r="D429" s="303"/>
      <c r="E429" s="302"/>
      <c r="F429" s="311"/>
      <c r="G429" s="208"/>
      <c r="H429" s="304"/>
      <c r="I429" s="305"/>
    </row>
    <row r="430" spans="2:9">
      <c r="B430" s="301"/>
      <c r="C430" s="302"/>
      <c r="D430" s="303"/>
      <c r="E430" s="302"/>
      <c r="F430" s="311"/>
      <c r="G430" s="208"/>
      <c r="H430" s="304"/>
      <c r="I430" s="305"/>
    </row>
    <row r="431" spans="2:9">
      <c r="B431" s="301"/>
      <c r="C431" s="302"/>
      <c r="D431" s="303"/>
      <c r="E431" s="302"/>
      <c r="F431" s="311"/>
      <c r="G431" s="208"/>
      <c r="H431" s="304"/>
      <c r="I431" s="305"/>
    </row>
    <row r="432" spans="2:9">
      <c r="B432" s="301"/>
      <c r="C432" s="302"/>
      <c r="D432" s="303"/>
      <c r="E432" s="302"/>
      <c r="F432" s="311"/>
      <c r="G432" s="208"/>
      <c r="H432" s="304"/>
      <c r="I432" s="305"/>
    </row>
    <row r="433" spans="2:9">
      <c r="B433" s="301"/>
      <c r="C433" s="302"/>
      <c r="D433" s="303"/>
      <c r="E433" s="302"/>
      <c r="F433" s="311"/>
      <c r="G433" s="208"/>
      <c r="H433" s="304"/>
      <c r="I433" s="305"/>
    </row>
    <row r="434" spans="2:9">
      <c r="B434" s="301"/>
      <c r="C434" s="302"/>
      <c r="D434" s="303"/>
      <c r="E434" s="302"/>
      <c r="F434" s="311"/>
      <c r="G434" s="208"/>
      <c r="H434" s="304"/>
      <c r="I434" s="305"/>
    </row>
    <row r="435" spans="2:9">
      <c r="B435" s="301"/>
      <c r="C435" s="302"/>
      <c r="D435" s="303"/>
      <c r="E435" s="302"/>
      <c r="F435" s="311"/>
      <c r="G435" s="208"/>
      <c r="H435" s="304"/>
      <c r="I435" s="305"/>
    </row>
    <row r="436" spans="2:9">
      <c r="B436" s="301"/>
      <c r="C436" s="302"/>
      <c r="D436" s="303"/>
      <c r="E436" s="302"/>
      <c r="F436" s="311"/>
      <c r="G436" s="208"/>
      <c r="H436" s="304"/>
      <c r="I436" s="305"/>
    </row>
    <row r="437" spans="2:9">
      <c r="B437" s="301"/>
      <c r="C437" s="302"/>
      <c r="D437" s="303"/>
      <c r="E437" s="302"/>
      <c r="F437" s="311"/>
      <c r="G437" s="208"/>
      <c r="H437" s="304"/>
      <c r="I437" s="305"/>
    </row>
    <row r="438" spans="2:9">
      <c r="B438" s="301"/>
      <c r="C438" s="302"/>
      <c r="D438" s="303"/>
      <c r="E438" s="302"/>
      <c r="F438" s="311"/>
      <c r="G438" s="208"/>
      <c r="H438" s="304"/>
      <c r="I438" s="305"/>
    </row>
    <row r="439" spans="2:9">
      <c r="B439" s="301"/>
      <c r="C439" s="302"/>
      <c r="D439" s="303"/>
      <c r="E439" s="302"/>
      <c r="F439" s="311"/>
      <c r="G439" s="208"/>
      <c r="H439" s="304"/>
      <c r="I439" s="305"/>
    </row>
    <row r="440" spans="2:9">
      <c r="B440" s="301"/>
      <c r="C440" s="302"/>
      <c r="D440" s="303"/>
      <c r="E440" s="302"/>
      <c r="F440" s="311"/>
      <c r="G440" s="208"/>
      <c r="H440" s="304"/>
      <c r="I440" s="305"/>
    </row>
    <row r="441" spans="2:9">
      <c r="B441" s="301"/>
      <c r="C441" s="302"/>
      <c r="D441" s="303"/>
      <c r="E441" s="302"/>
      <c r="F441" s="311"/>
      <c r="G441" s="208"/>
      <c r="H441" s="304"/>
      <c r="I441" s="305"/>
    </row>
    <row r="442" spans="2:9">
      <c r="B442" s="301"/>
      <c r="C442" s="302"/>
      <c r="D442" s="303"/>
      <c r="E442" s="302"/>
      <c r="F442" s="311"/>
      <c r="G442" s="208"/>
      <c r="H442" s="304"/>
      <c r="I442" s="305"/>
    </row>
    <row r="443" spans="2:9">
      <c r="B443" s="301"/>
      <c r="C443" s="302"/>
      <c r="D443" s="303"/>
      <c r="E443" s="302"/>
      <c r="F443" s="311"/>
      <c r="G443" s="208"/>
      <c r="H443" s="304"/>
      <c r="I443" s="305"/>
    </row>
    <row r="444" spans="2:9">
      <c r="B444" s="301"/>
      <c r="C444" s="302"/>
      <c r="D444" s="303"/>
      <c r="E444" s="302"/>
      <c r="F444" s="311"/>
      <c r="G444" s="208"/>
      <c r="H444" s="304"/>
      <c r="I444" s="305"/>
    </row>
    <row r="445" spans="2:9">
      <c r="B445" s="301"/>
      <c r="C445" s="302"/>
      <c r="D445" s="303"/>
      <c r="E445" s="302"/>
      <c r="F445" s="311"/>
      <c r="G445" s="208"/>
      <c r="H445" s="304"/>
      <c r="I445" s="305"/>
    </row>
    <row r="446" spans="2:9">
      <c r="B446" s="301"/>
      <c r="C446" s="302"/>
      <c r="D446" s="303"/>
      <c r="E446" s="302"/>
      <c r="F446" s="311"/>
      <c r="G446" s="208"/>
      <c r="H446" s="304"/>
      <c r="I446" s="305"/>
    </row>
    <row r="447" spans="2:9">
      <c r="B447" s="301"/>
      <c r="C447" s="302"/>
      <c r="D447" s="303"/>
      <c r="E447" s="302"/>
      <c r="F447" s="311"/>
      <c r="G447" s="208"/>
      <c r="H447" s="304"/>
      <c r="I447" s="305"/>
    </row>
    <row r="448" spans="2:9">
      <c r="B448" s="301"/>
      <c r="C448" s="302"/>
      <c r="D448" s="303"/>
      <c r="E448" s="302"/>
      <c r="F448" s="311"/>
      <c r="G448" s="208"/>
      <c r="H448" s="304"/>
      <c r="I448" s="305"/>
    </row>
    <row r="449" spans="2:9">
      <c r="B449" s="301"/>
      <c r="C449" s="302"/>
      <c r="D449" s="303"/>
      <c r="E449" s="302"/>
      <c r="F449" s="311"/>
      <c r="G449" s="208"/>
      <c r="H449" s="304"/>
      <c r="I449" s="305"/>
    </row>
    <row r="450" spans="2:9">
      <c r="B450" s="301"/>
      <c r="C450" s="302"/>
      <c r="D450" s="303"/>
      <c r="E450" s="302"/>
      <c r="F450" s="311"/>
      <c r="G450" s="208"/>
      <c r="H450" s="304"/>
      <c r="I450" s="305"/>
    </row>
    <row r="451" spans="2:9">
      <c r="B451" s="301"/>
      <c r="C451" s="302"/>
      <c r="D451" s="303"/>
      <c r="E451" s="302"/>
      <c r="F451" s="311"/>
      <c r="G451" s="208"/>
      <c r="H451" s="304"/>
      <c r="I451" s="305"/>
    </row>
    <row r="452" spans="2:9">
      <c r="B452" s="301"/>
      <c r="C452" s="302"/>
      <c r="D452" s="303"/>
      <c r="E452" s="302"/>
      <c r="F452" s="311"/>
      <c r="G452" s="208"/>
      <c r="H452" s="304"/>
      <c r="I452" s="305"/>
    </row>
    <row r="453" spans="2:9">
      <c r="B453" s="301"/>
      <c r="C453" s="302"/>
      <c r="D453" s="303"/>
      <c r="E453" s="302"/>
      <c r="F453" s="311"/>
      <c r="G453" s="208"/>
      <c r="H453" s="304"/>
      <c r="I453" s="305"/>
    </row>
    <row r="454" spans="2:9">
      <c r="B454" s="301"/>
      <c r="C454" s="302"/>
      <c r="D454" s="303"/>
      <c r="E454" s="302"/>
      <c r="F454" s="311"/>
      <c r="G454" s="208"/>
      <c r="H454" s="304"/>
      <c r="I454" s="305"/>
    </row>
    <row r="455" spans="2:9">
      <c r="B455" s="301"/>
      <c r="C455" s="302"/>
      <c r="D455" s="303"/>
      <c r="E455" s="302"/>
      <c r="F455" s="311"/>
      <c r="G455" s="208"/>
      <c r="H455" s="304"/>
      <c r="I455" s="305"/>
    </row>
    <row r="456" spans="2:9">
      <c r="B456" s="301"/>
      <c r="C456" s="302"/>
      <c r="D456" s="303"/>
      <c r="E456" s="302"/>
      <c r="F456" s="311"/>
      <c r="G456" s="208"/>
      <c r="H456" s="304"/>
      <c r="I456" s="305"/>
    </row>
    <row r="457" spans="2:9">
      <c r="B457" s="301"/>
      <c r="C457" s="302"/>
      <c r="D457" s="303"/>
      <c r="E457" s="302"/>
      <c r="F457" s="311"/>
      <c r="G457" s="208"/>
      <c r="H457" s="304"/>
      <c r="I457" s="305"/>
    </row>
    <row r="458" spans="2:9">
      <c r="B458" s="301"/>
      <c r="C458" s="302"/>
      <c r="D458" s="303"/>
      <c r="E458" s="302"/>
      <c r="F458" s="311"/>
      <c r="G458" s="208"/>
      <c r="H458" s="304"/>
      <c r="I458" s="305"/>
    </row>
    <row r="459" spans="2:9">
      <c r="B459" s="301"/>
      <c r="C459" s="302"/>
      <c r="D459" s="303"/>
      <c r="E459" s="302"/>
      <c r="F459" s="311"/>
      <c r="G459" s="208"/>
      <c r="H459" s="304"/>
      <c r="I459" s="305"/>
    </row>
    <row r="460" spans="2:9">
      <c r="B460" s="301"/>
      <c r="C460" s="302"/>
      <c r="D460" s="303"/>
      <c r="E460" s="302"/>
      <c r="F460" s="311"/>
      <c r="G460" s="208"/>
      <c r="H460" s="304"/>
      <c r="I460" s="305"/>
    </row>
    <row r="461" spans="2:9">
      <c r="B461" s="301"/>
      <c r="C461" s="302"/>
      <c r="D461" s="303"/>
      <c r="E461" s="302"/>
      <c r="F461" s="311"/>
      <c r="G461" s="208"/>
      <c r="H461" s="304"/>
      <c r="I461" s="305"/>
    </row>
    <row r="462" spans="2:9">
      <c r="B462" s="301"/>
      <c r="C462" s="302"/>
      <c r="D462" s="303"/>
      <c r="E462" s="302"/>
      <c r="F462" s="311"/>
      <c r="G462" s="208"/>
      <c r="H462" s="304"/>
      <c r="I462" s="305"/>
    </row>
    <row r="463" spans="2:9">
      <c r="B463" s="301"/>
      <c r="C463" s="302"/>
      <c r="D463" s="303"/>
      <c r="E463" s="302"/>
      <c r="F463" s="311"/>
      <c r="G463" s="208"/>
      <c r="H463" s="304"/>
      <c r="I463" s="305"/>
    </row>
    <row r="464" spans="2:9">
      <c r="B464" s="301"/>
      <c r="C464" s="302"/>
      <c r="D464" s="303"/>
      <c r="E464" s="302"/>
      <c r="F464" s="311"/>
      <c r="G464" s="208"/>
      <c r="H464" s="304"/>
      <c r="I464" s="305"/>
    </row>
    <row r="465" spans="2:9">
      <c r="B465" s="301"/>
      <c r="C465" s="302"/>
      <c r="D465" s="303"/>
      <c r="E465" s="302"/>
      <c r="F465" s="311"/>
      <c r="G465" s="208"/>
      <c r="H465" s="304"/>
      <c r="I465" s="305"/>
    </row>
    <row r="466" spans="2:9">
      <c r="B466" s="301"/>
      <c r="C466" s="302"/>
      <c r="D466" s="303"/>
      <c r="E466" s="302"/>
      <c r="F466" s="311"/>
      <c r="G466" s="208"/>
      <c r="H466" s="304"/>
      <c r="I466" s="305"/>
    </row>
    <row r="467" spans="2:9">
      <c r="B467" s="301"/>
      <c r="C467" s="302"/>
      <c r="D467" s="303"/>
      <c r="E467" s="302"/>
      <c r="F467" s="311"/>
      <c r="G467" s="208"/>
      <c r="H467" s="304"/>
      <c r="I467" s="305"/>
    </row>
    <row r="468" spans="2:9">
      <c r="B468" s="301"/>
      <c r="C468" s="302"/>
      <c r="D468" s="303"/>
      <c r="E468" s="302"/>
      <c r="F468" s="311"/>
      <c r="G468" s="208"/>
      <c r="H468" s="304"/>
      <c r="I468" s="305"/>
    </row>
    <row r="469" spans="2:9">
      <c r="B469" s="301"/>
      <c r="C469" s="302"/>
      <c r="D469" s="303"/>
      <c r="E469" s="302"/>
      <c r="F469" s="311"/>
      <c r="G469" s="208"/>
      <c r="H469" s="304"/>
      <c r="I469" s="305"/>
    </row>
    <row r="470" spans="2:9">
      <c r="B470" s="301"/>
      <c r="C470" s="302"/>
      <c r="D470" s="303"/>
      <c r="E470" s="302"/>
      <c r="F470" s="311"/>
      <c r="G470" s="208"/>
      <c r="H470" s="304"/>
      <c r="I470" s="305"/>
    </row>
    <row r="471" spans="2:9">
      <c r="B471" s="301"/>
      <c r="C471" s="302"/>
      <c r="D471" s="303"/>
      <c r="E471" s="302"/>
      <c r="F471" s="311"/>
      <c r="G471" s="208"/>
      <c r="H471" s="304"/>
      <c r="I471" s="305"/>
    </row>
    <row r="472" spans="2:9">
      <c r="B472" s="301"/>
      <c r="C472" s="302"/>
      <c r="D472" s="303"/>
      <c r="E472" s="302"/>
      <c r="F472" s="311"/>
      <c r="G472" s="208"/>
      <c r="H472" s="304"/>
      <c r="I472" s="305"/>
    </row>
    <row r="473" spans="2:9">
      <c r="B473" s="301"/>
      <c r="C473" s="302"/>
      <c r="D473" s="303"/>
      <c r="E473" s="302"/>
      <c r="F473" s="311"/>
      <c r="G473" s="208"/>
      <c r="H473" s="304"/>
      <c r="I473" s="305"/>
    </row>
    <row r="474" spans="2:9">
      <c r="B474" s="301"/>
      <c r="C474" s="302"/>
      <c r="D474" s="303"/>
      <c r="E474" s="302"/>
      <c r="F474" s="311"/>
      <c r="G474" s="208"/>
      <c r="H474" s="304"/>
      <c r="I474" s="305"/>
    </row>
    <row r="475" spans="2:9">
      <c r="B475" s="301"/>
      <c r="C475" s="302"/>
      <c r="D475" s="303"/>
      <c r="E475" s="302"/>
      <c r="F475" s="311"/>
      <c r="G475" s="208"/>
      <c r="H475" s="304"/>
      <c r="I475" s="305"/>
    </row>
    <row r="476" spans="2:9">
      <c r="B476" s="301"/>
      <c r="C476" s="302"/>
      <c r="D476" s="303"/>
      <c r="E476" s="302"/>
      <c r="F476" s="311"/>
      <c r="G476" s="208"/>
      <c r="H476" s="304"/>
      <c r="I476" s="305"/>
    </row>
    <row r="477" spans="2:9">
      <c r="B477" s="301"/>
      <c r="C477" s="302"/>
      <c r="D477" s="303"/>
      <c r="E477" s="302"/>
      <c r="F477" s="311"/>
      <c r="G477" s="208"/>
      <c r="H477" s="304"/>
      <c r="I477" s="305"/>
    </row>
    <row r="478" spans="2:9">
      <c r="B478" s="301"/>
      <c r="C478" s="302"/>
      <c r="D478" s="303"/>
      <c r="E478" s="302"/>
      <c r="F478" s="311"/>
      <c r="G478" s="208"/>
      <c r="H478" s="304"/>
      <c r="I478" s="305"/>
    </row>
    <row r="479" spans="2:9">
      <c r="B479" s="301"/>
      <c r="C479" s="302"/>
      <c r="D479" s="303"/>
      <c r="E479" s="302"/>
      <c r="F479" s="311"/>
      <c r="G479" s="208"/>
      <c r="H479" s="304"/>
      <c r="I479" s="305"/>
    </row>
    <row r="480" spans="2:9">
      <c r="B480" s="301"/>
      <c r="C480" s="302"/>
      <c r="D480" s="303"/>
      <c r="E480" s="302"/>
      <c r="F480" s="311"/>
      <c r="G480" s="208"/>
      <c r="H480" s="304"/>
      <c r="I480" s="305"/>
    </row>
    <row r="481" spans="2:9">
      <c r="B481" s="301"/>
      <c r="C481" s="302"/>
      <c r="D481" s="303"/>
      <c r="E481" s="302"/>
      <c r="F481" s="311"/>
      <c r="G481" s="208"/>
      <c r="H481" s="304"/>
      <c r="I481" s="305"/>
    </row>
    <row r="482" spans="2:9">
      <c r="B482" s="301"/>
      <c r="C482" s="302"/>
      <c r="D482" s="303"/>
      <c r="E482" s="302"/>
      <c r="F482" s="311"/>
      <c r="G482" s="208"/>
      <c r="H482" s="304"/>
      <c r="I482" s="305"/>
    </row>
    <row r="483" spans="2:9">
      <c r="B483" s="301"/>
      <c r="C483" s="302"/>
      <c r="D483" s="303"/>
      <c r="E483" s="302"/>
      <c r="F483" s="311"/>
      <c r="G483" s="208"/>
      <c r="H483" s="304"/>
      <c r="I483" s="305"/>
    </row>
    <row r="484" spans="2:9">
      <c r="B484" s="301"/>
      <c r="C484" s="302"/>
      <c r="D484" s="303"/>
      <c r="E484" s="302"/>
      <c r="F484" s="311"/>
      <c r="G484" s="208"/>
      <c r="H484" s="304"/>
      <c r="I484" s="305"/>
    </row>
    <row r="485" spans="2:9">
      <c r="B485" s="301"/>
      <c r="C485" s="302"/>
      <c r="D485" s="303"/>
      <c r="E485" s="302"/>
      <c r="F485" s="311"/>
      <c r="G485" s="208"/>
      <c r="H485" s="304"/>
      <c r="I485" s="305"/>
    </row>
    <row r="486" spans="2:9">
      <c r="B486" s="301"/>
      <c r="C486" s="302"/>
      <c r="D486" s="303"/>
      <c r="E486" s="302"/>
      <c r="F486" s="311"/>
      <c r="G486" s="208"/>
      <c r="H486" s="304"/>
      <c r="I486" s="305"/>
    </row>
    <row r="487" spans="2:9">
      <c r="B487" s="301"/>
      <c r="C487" s="302"/>
      <c r="D487" s="303"/>
      <c r="E487" s="302"/>
      <c r="F487" s="311"/>
      <c r="G487" s="208"/>
      <c r="H487" s="304"/>
      <c r="I487" s="305"/>
    </row>
    <row r="488" spans="2:9">
      <c r="B488" s="301"/>
      <c r="C488" s="302"/>
      <c r="D488" s="303"/>
      <c r="E488" s="302"/>
      <c r="F488" s="311"/>
      <c r="G488" s="208"/>
      <c r="H488" s="304"/>
      <c r="I488" s="30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autoPageBreaks="0"/>
  </sheetPr>
  <dimension ref="A1:S50"/>
  <sheetViews>
    <sheetView showGridLines="0" showRowColHeaders="0" showOutlineSymbols="0" zoomScaleNormal="100" workbookViewId="0">
      <selection activeCell="J26" sqref="J26"/>
    </sheetView>
  </sheetViews>
  <sheetFormatPr baseColWidth="10" defaultRowHeight="12.75"/>
  <cols>
    <col min="1" max="1" width="0.140625" style="5" customWidth="1"/>
    <col min="2" max="2" width="2.7109375" style="5" customWidth="1"/>
    <col min="3" max="3" width="23.7109375" style="5" customWidth="1"/>
    <col min="4" max="4" width="1.28515625" style="5" customWidth="1"/>
    <col min="5" max="5" width="27.7109375" style="17" customWidth="1"/>
    <col min="6" max="6" width="10.7109375" style="22" customWidth="1"/>
    <col min="7" max="7" width="10.7109375" style="17" customWidth="1"/>
    <col min="8" max="8" width="10.7109375" style="22" customWidth="1"/>
    <col min="9" max="9" width="10.7109375" style="17" customWidth="1"/>
    <col min="10" max="10" width="10.7109375" style="22" customWidth="1"/>
    <col min="11" max="11" width="10.7109375" style="17" customWidth="1"/>
    <col min="12" max="13" width="11.42578125" style="17"/>
    <col min="14" max="17" width="11.5703125" style="17" bestFit="1" customWidth="1"/>
    <col min="18" max="18" width="12.28515625" style="17" bestFit="1" customWidth="1"/>
    <col min="19" max="19" width="11.5703125" style="17" bestFit="1" customWidth="1"/>
    <col min="20" max="246" width="11.42578125" style="17"/>
    <col min="247" max="247" width="0.140625" style="17" customWidth="1"/>
    <col min="248" max="248" width="2.7109375" style="17" customWidth="1"/>
    <col min="249" max="249" width="15.42578125" style="17" customWidth="1"/>
    <col min="250" max="250" width="1.28515625" style="17" customWidth="1"/>
    <col min="251" max="251" width="27.7109375" style="17" customWidth="1"/>
    <col min="252" max="252" width="6.7109375" style="17" customWidth="1"/>
    <col min="253" max="253" width="1.5703125" style="17" customWidth="1"/>
    <col min="254" max="254" width="10.5703125" style="17" customWidth="1"/>
    <col min="255" max="255" width="5.85546875" style="17" customWidth="1"/>
    <col min="256" max="256" width="1.5703125" style="17" customWidth="1"/>
    <col min="257" max="257" width="10.5703125" style="17" customWidth="1"/>
    <col min="258" max="258" width="6.7109375" style="17" customWidth="1"/>
    <col min="259" max="259" width="1.5703125" style="17" customWidth="1"/>
    <col min="260" max="260" width="10.5703125" style="17" customWidth="1"/>
    <col min="261" max="261" width="9.7109375" style="17" customWidth="1"/>
    <col min="262" max="262" width="13.28515625" style="17" bestFit="1" customWidth="1"/>
    <col min="263" max="263" width="7.7109375" style="17" customWidth="1"/>
    <col min="264" max="264" width="11.42578125" style="17"/>
    <col min="265" max="265" width="13.28515625" style="17" bestFit="1" customWidth="1"/>
    <col min="266" max="502" width="11.42578125" style="17"/>
    <col min="503" max="503" width="0.140625" style="17" customWidth="1"/>
    <col min="504" max="504" width="2.7109375" style="17" customWidth="1"/>
    <col min="505" max="505" width="15.42578125" style="17" customWidth="1"/>
    <col min="506" max="506" width="1.28515625" style="17" customWidth="1"/>
    <col min="507" max="507" width="27.7109375" style="17" customWidth="1"/>
    <col min="508" max="508" width="6.7109375" style="17" customWidth="1"/>
    <col min="509" max="509" width="1.5703125" style="17" customWidth="1"/>
    <col min="510" max="510" width="10.5703125" style="17" customWidth="1"/>
    <col min="511" max="511" width="5.85546875" style="17" customWidth="1"/>
    <col min="512" max="512" width="1.5703125" style="17" customWidth="1"/>
    <col min="513" max="513" width="10.5703125" style="17" customWidth="1"/>
    <col min="514" max="514" width="6.7109375" style="17" customWidth="1"/>
    <col min="515" max="515" width="1.5703125" style="17" customWidth="1"/>
    <col min="516" max="516" width="10.5703125" style="17" customWidth="1"/>
    <col min="517" max="517" width="9.7109375" style="17" customWidth="1"/>
    <col min="518" max="518" width="13.28515625" style="17" bestFit="1" customWidth="1"/>
    <col min="519" max="519" width="7.7109375" style="17" customWidth="1"/>
    <col min="520" max="520" width="11.42578125" style="17"/>
    <col min="521" max="521" width="13.28515625" style="17" bestFit="1" customWidth="1"/>
    <col min="522" max="758" width="11.42578125" style="17"/>
    <col min="759" max="759" width="0.140625" style="17" customWidth="1"/>
    <col min="760" max="760" width="2.7109375" style="17" customWidth="1"/>
    <col min="761" max="761" width="15.42578125" style="17" customWidth="1"/>
    <col min="762" max="762" width="1.28515625" style="17" customWidth="1"/>
    <col min="763" max="763" width="27.7109375" style="17" customWidth="1"/>
    <col min="764" max="764" width="6.7109375" style="17" customWidth="1"/>
    <col min="765" max="765" width="1.5703125" style="17" customWidth="1"/>
    <col min="766" max="766" width="10.5703125" style="17" customWidth="1"/>
    <col min="767" max="767" width="5.85546875" style="17" customWidth="1"/>
    <col min="768" max="768" width="1.5703125" style="17" customWidth="1"/>
    <col min="769" max="769" width="10.5703125" style="17" customWidth="1"/>
    <col min="770" max="770" width="6.7109375" style="17" customWidth="1"/>
    <col min="771" max="771" width="1.5703125" style="17" customWidth="1"/>
    <col min="772" max="772" width="10.5703125" style="17" customWidth="1"/>
    <col min="773" max="773" width="9.7109375" style="17" customWidth="1"/>
    <col min="774" max="774" width="13.28515625" style="17" bestFit="1" customWidth="1"/>
    <col min="775" max="775" width="7.7109375" style="17" customWidth="1"/>
    <col min="776" max="776" width="11.42578125" style="17"/>
    <col min="777" max="777" width="13.28515625" style="17" bestFit="1" customWidth="1"/>
    <col min="778" max="1014" width="11.42578125" style="17"/>
    <col min="1015" max="1015" width="0.140625" style="17" customWidth="1"/>
    <col min="1016" max="1016" width="2.7109375" style="17" customWidth="1"/>
    <col min="1017" max="1017" width="15.42578125" style="17" customWidth="1"/>
    <col min="1018" max="1018" width="1.28515625" style="17" customWidth="1"/>
    <col min="1019" max="1019" width="27.7109375" style="17" customWidth="1"/>
    <col min="1020" max="1020" width="6.7109375" style="17" customWidth="1"/>
    <col min="1021" max="1021" width="1.5703125" style="17" customWidth="1"/>
    <col min="1022" max="1022" width="10.5703125" style="17" customWidth="1"/>
    <col min="1023" max="1023" width="5.85546875" style="17" customWidth="1"/>
    <col min="1024" max="1024" width="1.5703125" style="17" customWidth="1"/>
    <col min="1025" max="1025" width="10.5703125" style="17" customWidth="1"/>
    <col min="1026" max="1026" width="6.7109375" style="17" customWidth="1"/>
    <col min="1027" max="1027" width="1.5703125" style="17" customWidth="1"/>
    <col min="1028" max="1028" width="10.5703125" style="17" customWidth="1"/>
    <col min="1029" max="1029" width="9.7109375" style="17" customWidth="1"/>
    <col min="1030" max="1030" width="13.28515625" style="17" bestFit="1" customWidth="1"/>
    <col min="1031" max="1031" width="7.7109375" style="17" customWidth="1"/>
    <col min="1032" max="1032" width="11.42578125" style="17"/>
    <col min="1033" max="1033" width="13.28515625" style="17" bestFit="1" customWidth="1"/>
    <col min="1034" max="1270" width="11.42578125" style="17"/>
    <col min="1271" max="1271" width="0.140625" style="17" customWidth="1"/>
    <col min="1272" max="1272" width="2.7109375" style="17" customWidth="1"/>
    <col min="1273" max="1273" width="15.42578125" style="17" customWidth="1"/>
    <col min="1274" max="1274" width="1.28515625" style="17" customWidth="1"/>
    <col min="1275" max="1275" width="27.7109375" style="17" customWidth="1"/>
    <col min="1276" max="1276" width="6.7109375" style="17" customWidth="1"/>
    <col min="1277" max="1277" width="1.5703125" style="17" customWidth="1"/>
    <col min="1278" max="1278" width="10.5703125" style="17" customWidth="1"/>
    <col min="1279" max="1279" width="5.85546875" style="17" customWidth="1"/>
    <col min="1280" max="1280" width="1.5703125" style="17" customWidth="1"/>
    <col min="1281" max="1281" width="10.5703125" style="17" customWidth="1"/>
    <col min="1282" max="1282" width="6.7109375" style="17" customWidth="1"/>
    <col min="1283" max="1283" width="1.5703125" style="17" customWidth="1"/>
    <col min="1284" max="1284" width="10.5703125" style="17" customWidth="1"/>
    <col min="1285" max="1285" width="9.7109375" style="17" customWidth="1"/>
    <col min="1286" max="1286" width="13.28515625" style="17" bestFit="1" customWidth="1"/>
    <col min="1287" max="1287" width="7.7109375" style="17" customWidth="1"/>
    <col min="1288" max="1288" width="11.42578125" style="17"/>
    <col min="1289" max="1289" width="13.28515625" style="17" bestFit="1" customWidth="1"/>
    <col min="1290" max="1526" width="11.42578125" style="17"/>
    <col min="1527" max="1527" width="0.140625" style="17" customWidth="1"/>
    <col min="1528" max="1528" width="2.7109375" style="17" customWidth="1"/>
    <col min="1529" max="1529" width="15.42578125" style="17" customWidth="1"/>
    <col min="1530" max="1530" width="1.28515625" style="17" customWidth="1"/>
    <col min="1531" max="1531" width="27.7109375" style="17" customWidth="1"/>
    <col min="1532" max="1532" width="6.7109375" style="17" customWidth="1"/>
    <col min="1533" max="1533" width="1.5703125" style="17" customWidth="1"/>
    <col min="1534" max="1534" width="10.5703125" style="17" customWidth="1"/>
    <col min="1535" max="1535" width="5.85546875" style="17" customWidth="1"/>
    <col min="1536" max="1536" width="1.5703125" style="17" customWidth="1"/>
    <col min="1537" max="1537" width="10.5703125" style="17" customWidth="1"/>
    <col min="1538" max="1538" width="6.7109375" style="17" customWidth="1"/>
    <col min="1539" max="1539" width="1.5703125" style="17" customWidth="1"/>
    <col min="1540" max="1540" width="10.5703125" style="17" customWidth="1"/>
    <col min="1541" max="1541" width="9.7109375" style="17" customWidth="1"/>
    <col min="1542" max="1542" width="13.28515625" style="17" bestFit="1" customWidth="1"/>
    <col min="1543" max="1543" width="7.7109375" style="17" customWidth="1"/>
    <col min="1544" max="1544" width="11.42578125" style="17"/>
    <col min="1545" max="1545" width="13.28515625" style="17" bestFit="1" customWidth="1"/>
    <col min="1546" max="1782" width="11.42578125" style="17"/>
    <col min="1783" max="1783" width="0.140625" style="17" customWidth="1"/>
    <col min="1784" max="1784" width="2.7109375" style="17" customWidth="1"/>
    <col min="1785" max="1785" width="15.42578125" style="17" customWidth="1"/>
    <col min="1786" max="1786" width="1.28515625" style="17" customWidth="1"/>
    <col min="1787" max="1787" width="27.7109375" style="17" customWidth="1"/>
    <col min="1788" max="1788" width="6.7109375" style="17" customWidth="1"/>
    <col min="1789" max="1789" width="1.5703125" style="17" customWidth="1"/>
    <col min="1790" max="1790" width="10.5703125" style="17" customWidth="1"/>
    <col min="1791" max="1791" width="5.85546875" style="17" customWidth="1"/>
    <col min="1792" max="1792" width="1.5703125" style="17" customWidth="1"/>
    <col min="1793" max="1793" width="10.5703125" style="17" customWidth="1"/>
    <col min="1794" max="1794" width="6.7109375" style="17" customWidth="1"/>
    <col min="1795" max="1795" width="1.5703125" style="17" customWidth="1"/>
    <col min="1796" max="1796" width="10.5703125" style="17" customWidth="1"/>
    <col min="1797" max="1797" width="9.7109375" style="17" customWidth="1"/>
    <col min="1798" max="1798" width="13.28515625" style="17" bestFit="1" customWidth="1"/>
    <col min="1799" max="1799" width="7.7109375" style="17" customWidth="1"/>
    <col min="1800" max="1800" width="11.42578125" style="17"/>
    <col min="1801" max="1801" width="13.28515625" style="17" bestFit="1" customWidth="1"/>
    <col min="1802" max="2038" width="11.42578125" style="17"/>
    <col min="2039" max="2039" width="0.140625" style="17" customWidth="1"/>
    <col min="2040" max="2040" width="2.7109375" style="17" customWidth="1"/>
    <col min="2041" max="2041" width="15.42578125" style="17" customWidth="1"/>
    <col min="2042" max="2042" width="1.28515625" style="17" customWidth="1"/>
    <col min="2043" max="2043" width="27.7109375" style="17" customWidth="1"/>
    <col min="2044" max="2044" width="6.7109375" style="17" customWidth="1"/>
    <col min="2045" max="2045" width="1.5703125" style="17" customWidth="1"/>
    <col min="2046" max="2046" width="10.5703125" style="17" customWidth="1"/>
    <col min="2047" max="2047" width="5.85546875" style="17" customWidth="1"/>
    <col min="2048" max="2048" width="1.5703125" style="17" customWidth="1"/>
    <col min="2049" max="2049" width="10.5703125" style="17" customWidth="1"/>
    <col min="2050" max="2050" width="6.7109375" style="17" customWidth="1"/>
    <col min="2051" max="2051" width="1.5703125" style="17" customWidth="1"/>
    <col min="2052" max="2052" width="10.5703125" style="17" customWidth="1"/>
    <col min="2053" max="2053" width="9.7109375" style="17" customWidth="1"/>
    <col min="2054" max="2054" width="13.28515625" style="17" bestFit="1" customWidth="1"/>
    <col min="2055" max="2055" width="7.7109375" style="17" customWidth="1"/>
    <col min="2056" max="2056" width="11.42578125" style="17"/>
    <col min="2057" max="2057" width="13.28515625" style="17" bestFit="1" customWidth="1"/>
    <col min="2058" max="2294" width="11.42578125" style="17"/>
    <col min="2295" max="2295" width="0.140625" style="17" customWidth="1"/>
    <col min="2296" max="2296" width="2.7109375" style="17" customWidth="1"/>
    <col min="2297" max="2297" width="15.42578125" style="17" customWidth="1"/>
    <col min="2298" max="2298" width="1.28515625" style="17" customWidth="1"/>
    <col min="2299" max="2299" width="27.7109375" style="17" customWidth="1"/>
    <col min="2300" max="2300" width="6.7109375" style="17" customWidth="1"/>
    <col min="2301" max="2301" width="1.5703125" style="17" customWidth="1"/>
    <col min="2302" max="2302" width="10.5703125" style="17" customWidth="1"/>
    <col min="2303" max="2303" width="5.85546875" style="17" customWidth="1"/>
    <col min="2304" max="2304" width="1.5703125" style="17" customWidth="1"/>
    <col min="2305" max="2305" width="10.5703125" style="17" customWidth="1"/>
    <col min="2306" max="2306" width="6.7109375" style="17" customWidth="1"/>
    <col min="2307" max="2307" width="1.5703125" style="17" customWidth="1"/>
    <col min="2308" max="2308" width="10.5703125" style="17" customWidth="1"/>
    <col min="2309" max="2309" width="9.7109375" style="17" customWidth="1"/>
    <col min="2310" max="2310" width="13.28515625" style="17" bestFit="1" customWidth="1"/>
    <col min="2311" max="2311" width="7.7109375" style="17" customWidth="1"/>
    <col min="2312" max="2312" width="11.42578125" style="17"/>
    <col min="2313" max="2313" width="13.28515625" style="17" bestFit="1" customWidth="1"/>
    <col min="2314" max="2550" width="11.42578125" style="17"/>
    <col min="2551" max="2551" width="0.140625" style="17" customWidth="1"/>
    <col min="2552" max="2552" width="2.7109375" style="17" customWidth="1"/>
    <col min="2553" max="2553" width="15.42578125" style="17" customWidth="1"/>
    <col min="2554" max="2554" width="1.28515625" style="17" customWidth="1"/>
    <col min="2555" max="2555" width="27.7109375" style="17" customWidth="1"/>
    <col min="2556" max="2556" width="6.7109375" style="17" customWidth="1"/>
    <col min="2557" max="2557" width="1.5703125" style="17" customWidth="1"/>
    <col min="2558" max="2558" width="10.5703125" style="17" customWidth="1"/>
    <col min="2559" max="2559" width="5.85546875" style="17" customWidth="1"/>
    <col min="2560" max="2560" width="1.5703125" style="17" customWidth="1"/>
    <col min="2561" max="2561" width="10.5703125" style="17" customWidth="1"/>
    <col min="2562" max="2562" width="6.7109375" style="17" customWidth="1"/>
    <col min="2563" max="2563" width="1.5703125" style="17" customWidth="1"/>
    <col min="2564" max="2564" width="10.5703125" style="17" customWidth="1"/>
    <col min="2565" max="2565" width="9.7109375" style="17" customWidth="1"/>
    <col min="2566" max="2566" width="13.28515625" style="17" bestFit="1" customWidth="1"/>
    <col min="2567" max="2567" width="7.7109375" style="17" customWidth="1"/>
    <col min="2568" max="2568" width="11.42578125" style="17"/>
    <col min="2569" max="2569" width="13.28515625" style="17" bestFit="1" customWidth="1"/>
    <col min="2570" max="2806" width="11.42578125" style="17"/>
    <col min="2807" max="2807" width="0.140625" style="17" customWidth="1"/>
    <col min="2808" max="2808" width="2.7109375" style="17" customWidth="1"/>
    <col min="2809" max="2809" width="15.42578125" style="17" customWidth="1"/>
    <col min="2810" max="2810" width="1.28515625" style="17" customWidth="1"/>
    <col min="2811" max="2811" width="27.7109375" style="17" customWidth="1"/>
    <col min="2812" max="2812" width="6.7109375" style="17" customWidth="1"/>
    <col min="2813" max="2813" width="1.5703125" style="17" customWidth="1"/>
    <col min="2814" max="2814" width="10.5703125" style="17" customWidth="1"/>
    <col min="2815" max="2815" width="5.85546875" style="17" customWidth="1"/>
    <col min="2816" max="2816" width="1.5703125" style="17" customWidth="1"/>
    <col min="2817" max="2817" width="10.5703125" style="17" customWidth="1"/>
    <col min="2818" max="2818" width="6.7109375" style="17" customWidth="1"/>
    <col min="2819" max="2819" width="1.5703125" style="17" customWidth="1"/>
    <col min="2820" max="2820" width="10.5703125" style="17" customWidth="1"/>
    <col min="2821" max="2821" width="9.7109375" style="17" customWidth="1"/>
    <col min="2822" max="2822" width="13.28515625" style="17" bestFit="1" customWidth="1"/>
    <col min="2823" max="2823" width="7.7109375" style="17" customWidth="1"/>
    <col min="2824" max="2824" width="11.42578125" style="17"/>
    <col min="2825" max="2825" width="13.28515625" style="17" bestFit="1" customWidth="1"/>
    <col min="2826" max="3062" width="11.42578125" style="17"/>
    <col min="3063" max="3063" width="0.140625" style="17" customWidth="1"/>
    <col min="3064" max="3064" width="2.7109375" style="17" customWidth="1"/>
    <col min="3065" max="3065" width="15.42578125" style="17" customWidth="1"/>
    <col min="3066" max="3066" width="1.28515625" style="17" customWidth="1"/>
    <col min="3067" max="3067" width="27.7109375" style="17" customWidth="1"/>
    <col min="3068" max="3068" width="6.7109375" style="17" customWidth="1"/>
    <col min="3069" max="3069" width="1.5703125" style="17" customWidth="1"/>
    <col min="3070" max="3070" width="10.5703125" style="17" customWidth="1"/>
    <col min="3071" max="3071" width="5.85546875" style="17" customWidth="1"/>
    <col min="3072" max="3072" width="1.5703125" style="17" customWidth="1"/>
    <col min="3073" max="3073" width="10.5703125" style="17" customWidth="1"/>
    <col min="3074" max="3074" width="6.7109375" style="17" customWidth="1"/>
    <col min="3075" max="3075" width="1.5703125" style="17" customWidth="1"/>
    <col min="3076" max="3076" width="10.5703125" style="17" customWidth="1"/>
    <col min="3077" max="3077" width="9.7109375" style="17" customWidth="1"/>
    <col min="3078" max="3078" width="13.28515625" style="17" bestFit="1" customWidth="1"/>
    <col min="3079" max="3079" width="7.7109375" style="17" customWidth="1"/>
    <col min="3080" max="3080" width="11.42578125" style="17"/>
    <col min="3081" max="3081" width="13.28515625" style="17" bestFit="1" customWidth="1"/>
    <col min="3082" max="3318" width="11.42578125" style="17"/>
    <col min="3319" max="3319" width="0.140625" style="17" customWidth="1"/>
    <col min="3320" max="3320" width="2.7109375" style="17" customWidth="1"/>
    <col min="3321" max="3321" width="15.42578125" style="17" customWidth="1"/>
    <col min="3322" max="3322" width="1.28515625" style="17" customWidth="1"/>
    <col min="3323" max="3323" width="27.7109375" style="17" customWidth="1"/>
    <col min="3324" max="3324" width="6.7109375" style="17" customWidth="1"/>
    <col min="3325" max="3325" width="1.5703125" style="17" customWidth="1"/>
    <col min="3326" max="3326" width="10.5703125" style="17" customWidth="1"/>
    <col min="3327" max="3327" width="5.85546875" style="17" customWidth="1"/>
    <col min="3328" max="3328" width="1.5703125" style="17" customWidth="1"/>
    <col min="3329" max="3329" width="10.5703125" style="17" customWidth="1"/>
    <col min="3330" max="3330" width="6.7109375" style="17" customWidth="1"/>
    <col min="3331" max="3331" width="1.5703125" style="17" customWidth="1"/>
    <col min="3332" max="3332" width="10.5703125" style="17" customWidth="1"/>
    <col min="3333" max="3333" width="9.7109375" style="17" customWidth="1"/>
    <col min="3334" max="3334" width="13.28515625" style="17" bestFit="1" customWidth="1"/>
    <col min="3335" max="3335" width="7.7109375" style="17" customWidth="1"/>
    <col min="3336" max="3336" width="11.42578125" style="17"/>
    <col min="3337" max="3337" width="13.28515625" style="17" bestFit="1" customWidth="1"/>
    <col min="3338" max="3574" width="11.42578125" style="17"/>
    <col min="3575" max="3575" width="0.140625" style="17" customWidth="1"/>
    <col min="3576" max="3576" width="2.7109375" style="17" customWidth="1"/>
    <col min="3577" max="3577" width="15.42578125" style="17" customWidth="1"/>
    <col min="3578" max="3578" width="1.28515625" style="17" customWidth="1"/>
    <col min="3579" max="3579" width="27.7109375" style="17" customWidth="1"/>
    <col min="3580" max="3580" width="6.7109375" style="17" customWidth="1"/>
    <col min="3581" max="3581" width="1.5703125" style="17" customWidth="1"/>
    <col min="3582" max="3582" width="10.5703125" style="17" customWidth="1"/>
    <col min="3583" max="3583" width="5.85546875" style="17" customWidth="1"/>
    <col min="3584" max="3584" width="1.5703125" style="17" customWidth="1"/>
    <col min="3585" max="3585" width="10.5703125" style="17" customWidth="1"/>
    <col min="3586" max="3586" width="6.7109375" style="17" customWidth="1"/>
    <col min="3587" max="3587" width="1.5703125" style="17" customWidth="1"/>
    <col min="3588" max="3588" width="10.5703125" style="17" customWidth="1"/>
    <col min="3589" max="3589" width="9.7109375" style="17" customWidth="1"/>
    <col min="3590" max="3590" width="13.28515625" style="17" bestFit="1" customWidth="1"/>
    <col min="3591" max="3591" width="7.7109375" style="17" customWidth="1"/>
    <col min="3592" max="3592" width="11.42578125" style="17"/>
    <col min="3593" max="3593" width="13.28515625" style="17" bestFit="1" customWidth="1"/>
    <col min="3594" max="3830" width="11.42578125" style="17"/>
    <col min="3831" max="3831" width="0.140625" style="17" customWidth="1"/>
    <col min="3832" max="3832" width="2.7109375" style="17" customWidth="1"/>
    <col min="3833" max="3833" width="15.42578125" style="17" customWidth="1"/>
    <col min="3834" max="3834" width="1.28515625" style="17" customWidth="1"/>
    <col min="3835" max="3835" width="27.7109375" style="17" customWidth="1"/>
    <col min="3836" max="3836" width="6.7109375" style="17" customWidth="1"/>
    <col min="3837" max="3837" width="1.5703125" style="17" customWidth="1"/>
    <col min="3838" max="3838" width="10.5703125" style="17" customWidth="1"/>
    <col min="3839" max="3839" width="5.85546875" style="17" customWidth="1"/>
    <col min="3840" max="3840" width="1.5703125" style="17" customWidth="1"/>
    <col min="3841" max="3841" width="10.5703125" style="17" customWidth="1"/>
    <col min="3842" max="3842" width="6.7109375" style="17" customWidth="1"/>
    <col min="3843" max="3843" width="1.5703125" style="17" customWidth="1"/>
    <col min="3844" max="3844" width="10.5703125" style="17" customWidth="1"/>
    <col min="3845" max="3845" width="9.7109375" style="17" customWidth="1"/>
    <col min="3846" max="3846" width="13.28515625" style="17" bestFit="1" customWidth="1"/>
    <col min="3847" max="3847" width="7.7109375" style="17" customWidth="1"/>
    <col min="3848" max="3848" width="11.42578125" style="17"/>
    <col min="3849" max="3849" width="13.28515625" style="17" bestFit="1" customWidth="1"/>
    <col min="3850" max="4086" width="11.42578125" style="17"/>
    <col min="4087" max="4087" width="0.140625" style="17" customWidth="1"/>
    <col min="4088" max="4088" width="2.7109375" style="17" customWidth="1"/>
    <col min="4089" max="4089" width="15.42578125" style="17" customWidth="1"/>
    <col min="4090" max="4090" width="1.28515625" style="17" customWidth="1"/>
    <col min="4091" max="4091" width="27.7109375" style="17" customWidth="1"/>
    <col min="4092" max="4092" width="6.7109375" style="17" customWidth="1"/>
    <col min="4093" max="4093" width="1.5703125" style="17" customWidth="1"/>
    <col min="4094" max="4094" width="10.5703125" style="17" customWidth="1"/>
    <col min="4095" max="4095" width="5.85546875" style="17" customWidth="1"/>
    <col min="4096" max="4096" width="1.5703125" style="17" customWidth="1"/>
    <col min="4097" max="4097" width="10.5703125" style="17" customWidth="1"/>
    <col min="4098" max="4098" width="6.7109375" style="17" customWidth="1"/>
    <col min="4099" max="4099" width="1.5703125" style="17" customWidth="1"/>
    <col min="4100" max="4100" width="10.5703125" style="17" customWidth="1"/>
    <col min="4101" max="4101" width="9.7109375" style="17" customWidth="1"/>
    <col min="4102" max="4102" width="13.28515625" style="17" bestFit="1" customWidth="1"/>
    <col min="4103" max="4103" width="7.7109375" style="17" customWidth="1"/>
    <col min="4104" max="4104" width="11.42578125" style="17"/>
    <col min="4105" max="4105" width="13.28515625" style="17" bestFit="1" customWidth="1"/>
    <col min="4106" max="4342" width="11.42578125" style="17"/>
    <col min="4343" max="4343" width="0.140625" style="17" customWidth="1"/>
    <col min="4344" max="4344" width="2.7109375" style="17" customWidth="1"/>
    <col min="4345" max="4345" width="15.42578125" style="17" customWidth="1"/>
    <col min="4346" max="4346" width="1.28515625" style="17" customWidth="1"/>
    <col min="4347" max="4347" width="27.7109375" style="17" customWidth="1"/>
    <col min="4348" max="4348" width="6.7109375" style="17" customWidth="1"/>
    <col min="4349" max="4349" width="1.5703125" style="17" customWidth="1"/>
    <col min="4350" max="4350" width="10.5703125" style="17" customWidth="1"/>
    <col min="4351" max="4351" width="5.85546875" style="17" customWidth="1"/>
    <col min="4352" max="4352" width="1.5703125" style="17" customWidth="1"/>
    <col min="4353" max="4353" width="10.5703125" style="17" customWidth="1"/>
    <col min="4354" max="4354" width="6.7109375" style="17" customWidth="1"/>
    <col min="4355" max="4355" width="1.5703125" style="17" customWidth="1"/>
    <col min="4356" max="4356" width="10.5703125" style="17" customWidth="1"/>
    <col min="4357" max="4357" width="9.7109375" style="17" customWidth="1"/>
    <col min="4358" max="4358" width="13.28515625" style="17" bestFit="1" customWidth="1"/>
    <col min="4359" max="4359" width="7.7109375" style="17" customWidth="1"/>
    <col min="4360" max="4360" width="11.42578125" style="17"/>
    <col min="4361" max="4361" width="13.28515625" style="17" bestFit="1" customWidth="1"/>
    <col min="4362" max="4598" width="11.42578125" style="17"/>
    <col min="4599" max="4599" width="0.140625" style="17" customWidth="1"/>
    <col min="4600" max="4600" width="2.7109375" style="17" customWidth="1"/>
    <col min="4601" max="4601" width="15.42578125" style="17" customWidth="1"/>
    <col min="4602" max="4602" width="1.28515625" style="17" customWidth="1"/>
    <col min="4603" max="4603" width="27.7109375" style="17" customWidth="1"/>
    <col min="4604" max="4604" width="6.7109375" style="17" customWidth="1"/>
    <col min="4605" max="4605" width="1.5703125" style="17" customWidth="1"/>
    <col min="4606" max="4606" width="10.5703125" style="17" customWidth="1"/>
    <col min="4607" max="4607" width="5.85546875" style="17" customWidth="1"/>
    <col min="4608" max="4608" width="1.5703125" style="17" customWidth="1"/>
    <col min="4609" max="4609" width="10.5703125" style="17" customWidth="1"/>
    <col min="4610" max="4610" width="6.7109375" style="17" customWidth="1"/>
    <col min="4611" max="4611" width="1.5703125" style="17" customWidth="1"/>
    <col min="4612" max="4612" width="10.5703125" style="17" customWidth="1"/>
    <col min="4613" max="4613" width="9.7109375" style="17" customWidth="1"/>
    <col min="4614" max="4614" width="13.28515625" style="17" bestFit="1" customWidth="1"/>
    <col min="4615" max="4615" width="7.7109375" style="17" customWidth="1"/>
    <col min="4616" max="4616" width="11.42578125" style="17"/>
    <col min="4617" max="4617" width="13.28515625" style="17" bestFit="1" customWidth="1"/>
    <col min="4618" max="4854" width="11.42578125" style="17"/>
    <col min="4855" max="4855" width="0.140625" style="17" customWidth="1"/>
    <col min="4856" max="4856" width="2.7109375" style="17" customWidth="1"/>
    <col min="4857" max="4857" width="15.42578125" style="17" customWidth="1"/>
    <col min="4858" max="4858" width="1.28515625" style="17" customWidth="1"/>
    <col min="4859" max="4859" width="27.7109375" style="17" customWidth="1"/>
    <col min="4860" max="4860" width="6.7109375" style="17" customWidth="1"/>
    <col min="4861" max="4861" width="1.5703125" style="17" customWidth="1"/>
    <col min="4862" max="4862" width="10.5703125" style="17" customWidth="1"/>
    <col min="4863" max="4863" width="5.85546875" style="17" customWidth="1"/>
    <col min="4864" max="4864" width="1.5703125" style="17" customWidth="1"/>
    <col min="4865" max="4865" width="10.5703125" style="17" customWidth="1"/>
    <col min="4866" max="4866" width="6.7109375" style="17" customWidth="1"/>
    <col min="4867" max="4867" width="1.5703125" style="17" customWidth="1"/>
    <col min="4868" max="4868" width="10.5703125" style="17" customWidth="1"/>
    <col min="4869" max="4869" width="9.7109375" style="17" customWidth="1"/>
    <col min="4870" max="4870" width="13.28515625" style="17" bestFit="1" customWidth="1"/>
    <col min="4871" max="4871" width="7.7109375" style="17" customWidth="1"/>
    <col min="4872" max="4872" width="11.42578125" style="17"/>
    <col min="4873" max="4873" width="13.28515625" style="17" bestFit="1" customWidth="1"/>
    <col min="4874" max="5110" width="11.42578125" style="17"/>
    <col min="5111" max="5111" width="0.140625" style="17" customWidth="1"/>
    <col min="5112" max="5112" width="2.7109375" style="17" customWidth="1"/>
    <col min="5113" max="5113" width="15.42578125" style="17" customWidth="1"/>
    <col min="5114" max="5114" width="1.28515625" style="17" customWidth="1"/>
    <col min="5115" max="5115" width="27.7109375" style="17" customWidth="1"/>
    <col min="5116" max="5116" width="6.7109375" style="17" customWidth="1"/>
    <col min="5117" max="5117" width="1.5703125" style="17" customWidth="1"/>
    <col min="5118" max="5118" width="10.5703125" style="17" customWidth="1"/>
    <col min="5119" max="5119" width="5.85546875" style="17" customWidth="1"/>
    <col min="5120" max="5120" width="1.5703125" style="17" customWidth="1"/>
    <col min="5121" max="5121" width="10.5703125" style="17" customWidth="1"/>
    <col min="5122" max="5122" width="6.7109375" style="17" customWidth="1"/>
    <col min="5123" max="5123" width="1.5703125" style="17" customWidth="1"/>
    <col min="5124" max="5124" width="10.5703125" style="17" customWidth="1"/>
    <col min="5125" max="5125" width="9.7109375" style="17" customWidth="1"/>
    <col min="5126" max="5126" width="13.28515625" style="17" bestFit="1" customWidth="1"/>
    <col min="5127" max="5127" width="7.7109375" style="17" customWidth="1"/>
    <col min="5128" max="5128" width="11.42578125" style="17"/>
    <col min="5129" max="5129" width="13.28515625" style="17" bestFit="1" customWidth="1"/>
    <col min="5130" max="5366" width="11.42578125" style="17"/>
    <col min="5367" max="5367" width="0.140625" style="17" customWidth="1"/>
    <col min="5368" max="5368" width="2.7109375" style="17" customWidth="1"/>
    <col min="5369" max="5369" width="15.42578125" style="17" customWidth="1"/>
    <col min="5370" max="5370" width="1.28515625" style="17" customWidth="1"/>
    <col min="5371" max="5371" width="27.7109375" style="17" customWidth="1"/>
    <col min="5372" max="5372" width="6.7109375" style="17" customWidth="1"/>
    <col min="5373" max="5373" width="1.5703125" style="17" customWidth="1"/>
    <col min="5374" max="5374" width="10.5703125" style="17" customWidth="1"/>
    <col min="5375" max="5375" width="5.85546875" style="17" customWidth="1"/>
    <col min="5376" max="5376" width="1.5703125" style="17" customWidth="1"/>
    <col min="5377" max="5377" width="10.5703125" style="17" customWidth="1"/>
    <col min="5378" max="5378" width="6.7109375" style="17" customWidth="1"/>
    <col min="5379" max="5379" width="1.5703125" style="17" customWidth="1"/>
    <col min="5380" max="5380" width="10.5703125" style="17" customWidth="1"/>
    <col min="5381" max="5381" width="9.7109375" style="17" customWidth="1"/>
    <col min="5382" max="5382" width="13.28515625" style="17" bestFit="1" customWidth="1"/>
    <col min="5383" max="5383" width="7.7109375" style="17" customWidth="1"/>
    <col min="5384" max="5384" width="11.42578125" style="17"/>
    <col min="5385" max="5385" width="13.28515625" style="17" bestFit="1" customWidth="1"/>
    <col min="5386" max="5622" width="11.42578125" style="17"/>
    <col min="5623" max="5623" width="0.140625" style="17" customWidth="1"/>
    <col min="5624" max="5624" width="2.7109375" style="17" customWidth="1"/>
    <col min="5625" max="5625" width="15.42578125" style="17" customWidth="1"/>
    <col min="5626" max="5626" width="1.28515625" style="17" customWidth="1"/>
    <col min="5627" max="5627" width="27.7109375" style="17" customWidth="1"/>
    <col min="5628" max="5628" width="6.7109375" style="17" customWidth="1"/>
    <col min="5629" max="5629" width="1.5703125" style="17" customWidth="1"/>
    <col min="5630" max="5630" width="10.5703125" style="17" customWidth="1"/>
    <col min="5631" max="5631" width="5.85546875" style="17" customWidth="1"/>
    <col min="5632" max="5632" width="1.5703125" style="17" customWidth="1"/>
    <col min="5633" max="5633" width="10.5703125" style="17" customWidth="1"/>
    <col min="5634" max="5634" width="6.7109375" style="17" customWidth="1"/>
    <col min="5635" max="5635" width="1.5703125" style="17" customWidth="1"/>
    <col min="5636" max="5636" width="10.5703125" style="17" customWidth="1"/>
    <col min="5637" max="5637" width="9.7109375" style="17" customWidth="1"/>
    <col min="5638" max="5638" width="13.28515625" style="17" bestFit="1" customWidth="1"/>
    <col min="5639" max="5639" width="7.7109375" style="17" customWidth="1"/>
    <col min="5640" max="5640" width="11.42578125" style="17"/>
    <col min="5641" max="5641" width="13.28515625" style="17" bestFit="1" customWidth="1"/>
    <col min="5642" max="5878" width="11.42578125" style="17"/>
    <col min="5879" max="5879" width="0.140625" style="17" customWidth="1"/>
    <col min="5880" max="5880" width="2.7109375" style="17" customWidth="1"/>
    <col min="5881" max="5881" width="15.42578125" style="17" customWidth="1"/>
    <col min="5882" max="5882" width="1.28515625" style="17" customWidth="1"/>
    <col min="5883" max="5883" width="27.7109375" style="17" customWidth="1"/>
    <col min="5884" max="5884" width="6.7109375" style="17" customWidth="1"/>
    <col min="5885" max="5885" width="1.5703125" style="17" customWidth="1"/>
    <col min="5886" max="5886" width="10.5703125" style="17" customWidth="1"/>
    <col min="5887" max="5887" width="5.85546875" style="17" customWidth="1"/>
    <col min="5888" max="5888" width="1.5703125" style="17" customWidth="1"/>
    <col min="5889" max="5889" width="10.5703125" style="17" customWidth="1"/>
    <col min="5890" max="5890" width="6.7109375" style="17" customWidth="1"/>
    <col min="5891" max="5891" width="1.5703125" style="17" customWidth="1"/>
    <col min="5892" max="5892" width="10.5703125" style="17" customWidth="1"/>
    <col min="5893" max="5893" width="9.7109375" style="17" customWidth="1"/>
    <col min="5894" max="5894" width="13.28515625" style="17" bestFit="1" customWidth="1"/>
    <col min="5895" max="5895" width="7.7109375" style="17" customWidth="1"/>
    <col min="5896" max="5896" width="11.42578125" style="17"/>
    <col min="5897" max="5897" width="13.28515625" style="17" bestFit="1" customWidth="1"/>
    <col min="5898" max="6134" width="11.42578125" style="17"/>
    <col min="6135" max="6135" width="0.140625" style="17" customWidth="1"/>
    <col min="6136" max="6136" width="2.7109375" style="17" customWidth="1"/>
    <col min="6137" max="6137" width="15.42578125" style="17" customWidth="1"/>
    <col min="6138" max="6138" width="1.28515625" style="17" customWidth="1"/>
    <col min="6139" max="6139" width="27.7109375" style="17" customWidth="1"/>
    <col min="6140" max="6140" width="6.7109375" style="17" customWidth="1"/>
    <col min="6141" max="6141" width="1.5703125" style="17" customWidth="1"/>
    <col min="6142" max="6142" width="10.5703125" style="17" customWidth="1"/>
    <col min="6143" max="6143" width="5.85546875" style="17" customWidth="1"/>
    <col min="6144" max="6144" width="1.5703125" style="17" customWidth="1"/>
    <col min="6145" max="6145" width="10.5703125" style="17" customWidth="1"/>
    <col min="6146" max="6146" width="6.7109375" style="17" customWidth="1"/>
    <col min="6147" max="6147" width="1.5703125" style="17" customWidth="1"/>
    <col min="6148" max="6148" width="10.5703125" style="17" customWidth="1"/>
    <col min="6149" max="6149" width="9.7109375" style="17" customWidth="1"/>
    <col min="6150" max="6150" width="13.28515625" style="17" bestFit="1" customWidth="1"/>
    <col min="6151" max="6151" width="7.7109375" style="17" customWidth="1"/>
    <col min="6152" max="6152" width="11.42578125" style="17"/>
    <col min="6153" max="6153" width="13.28515625" style="17" bestFit="1" customWidth="1"/>
    <col min="6154" max="6390" width="11.42578125" style="17"/>
    <col min="6391" max="6391" width="0.140625" style="17" customWidth="1"/>
    <col min="6392" max="6392" width="2.7109375" style="17" customWidth="1"/>
    <col min="6393" max="6393" width="15.42578125" style="17" customWidth="1"/>
    <col min="6394" max="6394" width="1.28515625" style="17" customWidth="1"/>
    <col min="6395" max="6395" width="27.7109375" style="17" customWidth="1"/>
    <col min="6396" max="6396" width="6.7109375" style="17" customWidth="1"/>
    <col min="6397" max="6397" width="1.5703125" style="17" customWidth="1"/>
    <col min="6398" max="6398" width="10.5703125" style="17" customWidth="1"/>
    <col min="6399" max="6399" width="5.85546875" style="17" customWidth="1"/>
    <col min="6400" max="6400" width="1.5703125" style="17" customWidth="1"/>
    <col min="6401" max="6401" width="10.5703125" style="17" customWidth="1"/>
    <col min="6402" max="6402" width="6.7109375" style="17" customWidth="1"/>
    <col min="6403" max="6403" width="1.5703125" style="17" customWidth="1"/>
    <col min="6404" max="6404" width="10.5703125" style="17" customWidth="1"/>
    <col min="6405" max="6405" width="9.7109375" style="17" customWidth="1"/>
    <col min="6406" max="6406" width="13.28515625" style="17" bestFit="1" customWidth="1"/>
    <col min="6407" max="6407" width="7.7109375" style="17" customWidth="1"/>
    <col min="6408" max="6408" width="11.42578125" style="17"/>
    <col min="6409" max="6409" width="13.28515625" style="17" bestFit="1" customWidth="1"/>
    <col min="6410" max="6646" width="11.42578125" style="17"/>
    <col min="6647" max="6647" width="0.140625" style="17" customWidth="1"/>
    <col min="6648" max="6648" width="2.7109375" style="17" customWidth="1"/>
    <col min="6649" max="6649" width="15.42578125" style="17" customWidth="1"/>
    <col min="6650" max="6650" width="1.28515625" style="17" customWidth="1"/>
    <col min="6651" max="6651" width="27.7109375" style="17" customWidth="1"/>
    <col min="6652" max="6652" width="6.7109375" style="17" customWidth="1"/>
    <col min="6653" max="6653" width="1.5703125" style="17" customWidth="1"/>
    <col min="6654" max="6654" width="10.5703125" style="17" customWidth="1"/>
    <col min="6655" max="6655" width="5.85546875" style="17" customWidth="1"/>
    <col min="6656" max="6656" width="1.5703125" style="17" customWidth="1"/>
    <col min="6657" max="6657" width="10.5703125" style="17" customWidth="1"/>
    <col min="6658" max="6658" width="6.7109375" style="17" customWidth="1"/>
    <col min="6659" max="6659" width="1.5703125" style="17" customWidth="1"/>
    <col min="6660" max="6660" width="10.5703125" style="17" customWidth="1"/>
    <col min="6661" max="6661" width="9.7109375" style="17" customWidth="1"/>
    <col min="6662" max="6662" width="13.28515625" style="17" bestFit="1" customWidth="1"/>
    <col min="6663" max="6663" width="7.7109375" style="17" customWidth="1"/>
    <col min="6664" max="6664" width="11.42578125" style="17"/>
    <col min="6665" max="6665" width="13.28515625" style="17" bestFit="1" customWidth="1"/>
    <col min="6666" max="6902" width="11.42578125" style="17"/>
    <col min="6903" max="6903" width="0.140625" style="17" customWidth="1"/>
    <col min="6904" max="6904" width="2.7109375" style="17" customWidth="1"/>
    <col min="6905" max="6905" width="15.42578125" style="17" customWidth="1"/>
    <col min="6906" max="6906" width="1.28515625" style="17" customWidth="1"/>
    <col min="6907" max="6907" width="27.7109375" style="17" customWidth="1"/>
    <col min="6908" max="6908" width="6.7109375" style="17" customWidth="1"/>
    <col min="6909" max="6909" width="1.5703125" style="17" customWidth="1"/>
    <col min="6910" max="6910" width="10.5703125" style="17" customWidth="1"/>
    <col min="6911" max="6911" width="5.85546875" style="17" customWidth="1"/>
    <col min="6912" max="6912" width="1.5703125" style="17" customWidth="1"/>
    <col min="6913" max="6913" width="10.5703125" style="17" customWidth="1"/>
    <col min="6914" max="6914" width="6.7109375" style="17" customWidth="1"/>
    <col min="6915" max="6915" width="1.5703125" style="17" customWidth="1"/>
    <col min="6916" max="6916" width="10.5703125" style="17" customWidth="1"/>
    <col min="6917" max="6917" width="9.7109375" style="17" customWidth="1"/>
    <col min="6918" max="6918" width="13.28515625" style="17" bestFit="1" customWidth="1"/>
    <col min="6919" max="6919" width="7.7109375" style="17" customWidth="1"/>
    <col min="6920" max="6920" width="11.42578125" style="17"/>
    <col min="6921" max="6921" width="13.28515625" style="17" bestFit="1" customWidth="1"/>
    <col min="6922" max="7158" width="11.42578125" style="17"/>
    <col min="7159" max="7159" width="0.140625" style="17" customWidth="1"/>
    <col min="7160" max="7160" width="2.7109375" style="17" customWidth="1"/>
    <col min="7161" max="7161" width="15.42578125" style="17" customWidth="1"/>
    <col min="7162" max="7162" width="1.28515625" style="17" customWidth="1"/>
    <col min="7163" max="7163" width="27.7109375" style="17" customWidth="1"/>
    <col min="7164" max="7164" width="6.7109375" style="17" customWidth="1"/>
    <col min="7165" max="7165" width="1.5703125" style="17" customWidth="1"/>
    <col min="7166" max="7166" width="10.5703125" style="17" customWidth="1"/>
    <col min="7167" max="7167" width="5.85546875" style="17" customWidth="1"/>
    <col min="7168" max="7168" width="1.5703125" style="17" customWidth="1"/>
    <col min="7169" max="7169" width="10.5703125" style="17" customWidth="1"/>
    <col min="7170" max="7170" width="6.7109375" style="17" customWidth="1"/>
    <col min="7171" max="7171" width="1.5703125" style="17" customWidth="1"/>
    <col min="7172" max="7172" width="10.5703125" style="17" customWidth="1"/>
    <col min="7173" max="7173" width="9.7109375" style="17" customWidth="1"/>
    <col min="7174" max="7174" width="13.28515625" style="17" bestFit="1" customWidth="1"/>
    <col min="7175" max="7175" width="7.7109375" style="17" customWidth="1"/>
    <col min="7176" max="7176" width="11.42578125" style="17"/>
    <col min="7177" max="7177" width="13.28515625" style="17" bestFit="1" customWidth="1"/>
    <col min="7178" max="7414" width="11.42578125" style="17"/>
    <col min="7415" max="7415" width="0.140625" style="17" customWidth="1"/>
    <col min="7416" max="7416" width="2.7109375" style="17" customWidth="1"/>
    <col min="7417" max="7417" width="15.42578125" style="17" customWidth="1"/>
    <col min="7418" max="7418" width="1.28515625" style="17" customWidth="1"/>
    <col min="7419" max="7419" width="27.7109375" style="17" customWidth="1"/>
    <col min="7420" max="7420" width="6.7109375" style="17" customWidth="1"/>
    <col min="7421" max="7421" width="1.5703125" style="17" customWidth="1"/>
    <col min="7422" max="7422" width="10.5703125" style="17" customWidth="1"/>
    <col min="7423" max="7423" width="5.85546875" style="17" customWidth="1"/>
    <col min="7424" max="7424" width="1.5703125" style="17" customWidth="1"/>
    <col min="7425" max="7425" width="10.5703125" style="17" customWidth="1"/>
    <col min="7426" max="7426" width="6.7109375" style="17" customWidth="1"/>
    <col min="7427" max="7427" width="1.5703125" style="17" customWidth="1"/>
    <col min="7428" max="7428" width="10.5703125" style="17" customWidth="1"/>
    <col min="7429" max="7429" width="9.7109375" style="17" customWidth="1"/>
    <col min="7430" max="7430" width="13.28515625" style="17" bestFit="1" customWidth="1"/>
    <col min="7431" max="7431" width="7.7109375" style="17" customWidth="1"/>
    <col min="7432" max="7432" width="11.42578125" style="17"/>
    <col min="7433" max="7433" width="13.28515625" style="17" bestFit="1" customWidth="1"/>
    <col min="7434" max="7670" width="11.42578125" style="17"/>
    <col min="7671" max="7671" width="0.140625" style="17" customWidth="1"/>
    <col min="7672" max="7672" width="2.7109375" style="17" customWidth="1"/>
    <col min="7673" max="7673" width="15.42578125" style="17" customWidth="1"/>
    <col min="7674" max="7674" width="1.28515625" style="17" customWidth="1"/>
    <col min="7675" max="7675" width="27.7109375" style="17" customWidth="1"/>
    <col min="7676" max="7676" width="6.7109375" style="17" customWidth="1"/>
    <col min="7677" max="7677" width="1.5703125" style="17" customWidth="1"/>
    <col min="7678" max="7678" width="10.5703125" style="17" customWidth="1"/>
    <col min="7679" max="7679" width="5.85546875" style="17" customWidth="1"/>
    <col min="7680" max="7680" width="1.5703125" style="17" customWidth="1"/>
    <col min="7681" max="7681" width="10.5703125" style="17" customWidth="1"/>
    <col min="7682" max="7682" width="6.7109375" style="17" customWidth="1"/>
    <col min="7683" max="7683" width="1.5703125" style="17" customWidth="1"/>
    <col min="7684" max="7684" width="10.5703125" style="17" customWidth="1"/>
    <col min="7685" max="7685" width="9.7109375" style="17" customWidth="1"/>
    <col min="7686" max="7686" width="13.28515625" style="17" bestFit="1" customWidth="1"/>
    <col min="7687" max="7687" width="7.7109375" style="17" customWidth="1"/>
    <col min="7688" max="7688" width="11.42578125" style="17"/>
    <col min="7689" max="7689" width="13.28515625" style="17" bestFit="1" customWidth="1"/>
    <col min="7690" max="7926" width="11.42578125" style="17"/>
    <col min="7927" max="7927" width="0.140625" style="17" customWidth="1"/>
    <col min="7928" max="7928" width="2.7109375" style="17" customWidth="1"/>
    <col min="7929" max="7929" width="15.42578125" style="17" customWidth="1"/>
    <col min="7930" max="7930" width="1.28515625" style="17" customWidth="1"/>
    <col min="7931" max="7931" width="27.7109375" style="17" customWidth="1"/>
    <col min="7932" max="7932" width="6.7109375" style="17" customWidth="1"/>
    <col min="7933" max="7933" width="1.5703125" style="17" customWidth="1"/>
    <col min="7934" max="7934" width="10.5703125" style="17" customWidth="1"/>
    <col min="7935" max="7935" width="5.85546875" style="17" customWidth="1"/>
    <col min="7936" max="7936" width="1.5703125" style="17" customWidth="1"/>
    <col min="7937" max="7937" width="10.5703125" style="17" customWidth="1"/>
    <col min="7938" max="7938" width="6.7109375" style="17" customWidth="1"/>
    <col min="7939" max="7939" width="1.5703125" style="17" customWidth="1"/>
    <col min="7940" max="7940" width="10.5703125" style="17" customWidth="1"/>
    <col min="7941" max="7941" width="9.7109375" style="17" customWidth="1"/>
    <col min="7942" max="7942" width="13.28515625" style="17" bestFit="1" customWidth="1"/>
    <col min="7943" max="7943" width="7.7109375" style="17" customWidth="1"/>
    <col min="7944" max="7944" width="11.42578125" style="17"/>
    <col min="7945" max="7945" width="13.28515625" style="17" bestFit="1" customWidth="1"/>
    <col min="7946" max="8182" width="11.42578125" style="17"/>
    <col min="8183" max="8183" width="0.140625" style="17" customWidth="1"/>
    <col min="8184" max="8184" width="2.7109375" style="17" customWidth="1"/>
    <col min="8185" max="8185" width="15.42578125" style="17" customWidth="1"/>
    <col min="8186" max="8186" width="1.28515625" style="17" customWidth="1"/>
    <col min="8187" max="8187" width="27.7109375" style="17" customWidth="1"/>
    <col min="8188" max="8188" width="6.7109375" style="17" customWidth="1"/>
    <col min="8189" max="8189" width="1.5703125" style="17" customWidth="1"/>
    <col min="8190" max="8190" width="10.5703125" style="17" customWidth="1"/>
    <col min="8191" max="8191" width="5.85546875" style="17" customWidth="1"/>
    <col min="8192" max="8192" width="1.5703125" style="17" customWidth="1"/>
    <col min="8193" max="8193" width="10.5703125" style="17" customWidth="1"/>
    <col min="8194" max="8194" width="6.7109375" style="17" customWidth="1"/>
    <col min="8195" max="8195" width="1.5703125" style="17" customWidth="1"/>
    <col min="8196" max="8196" width="10.5703125" style="17" customWidth="1"/>
    <col min="8197" max="8197" width="9.7109375" style="17" customWidth="1"/>
    <col min="8198" max="8198" width="13.28515625" style="17" bestFit="1" customWidth="1"/>
    <col min="8199" max="8199" width="7.7109375" style="17" customWidth="1"/>
    <col min="8200" max="8200" width="11.42578125" style="17"/>
    <col min="8201" max="8201" width="13.28515625" style="17" bestFit="1" customWidth="1"/>
    <col min="8202" max="8438" width="11.42578125" style="17"/>
    <col min="8439" max="8439" width="0.140625" style="17" customWidth="1"/>
    <col min="8440" max="8440" width="2.7109375" style="17" customWidth="1"/>
    <col min="8441" max="8441" width="15.42578125" style="17" customWidth="1"/>
    <col min="8442" max="8442" width="1.28515625" style="17" customWidth="1"/>
    <col min="8443" max="8443" width="27.7109375" style="17" customWidth="1"/>
    <col min="8444" max="8444" width="6.7109375" style="17" customWidth="1"/>
    <col min="8445" max="8445" width="1.5703125" style="17" customWidth="1"/>
    <col min="8446" max="8446" width="10.5703125" style="17" customWidth="1"/>
    <col min="8447" max="8447" width="5.85546875" style="17" customWidth="1"/>
    <col min="8448" max="8448" width="1.5703125" style="17" customWidth="1"/>
    <col min="8449" max="8449" width="10.5703125" style="17" customWidth="1"/>
    <col min="8450" max="8450" width="6.7109375" style="17" customWidth="1"/>
    <col min="8451" max="8451" width="1.5703125" style="17" customWidth="1"/>
    <col min="8452" max="8452" width="10.5703125" style="17" customWidth="1"/>
    <col min="8453" max="8453" width="9.7109375" style="17" customWidth="1"/>
    <col min="8454" max="8454" width="13.28515625" style="17" bestFit="1" customWidth="1"/>
    <col min="8455" max="8455" width="7.7109375" style="17" customWidth="1"/>
    <col min="8456" max="8456" width="11.42578125" style="17"/>
    <col min="8457" max="8457" width="13.28515625" style="17" bestFit="1" customWidth="1"/>
    <col min="8458" max="8694" width="11.42578125" style="17"/>
    <col min="8695" max="8695" width="0.140625" style="17" customWidth="1"/>
    <col min="8696" max="8696" width="2.7109375" style="17" customWidth="1"/>
    <col min="8697" max="8697" width="15.42578125" style="17" customWidth="1"/>
    <col min="8698" max="8698" width="1.28515625" style="17" customWidth="1"/>
    <col min="8699" max="8699" width="27.7109375" style="17" customWidth="1"/>
    <col min="8700" max="8700" width="6.7109375" style="17" customWidth="1"/>
    <col min="8701" max="8701" width="1.5703125" style="17" customWidth="1"/>
    <col min="8702" max="8702" width="10.5703125" style="17" customWidth="1"/>
    <col min="8703" max="8703" width="5.85546875" style="17" customWidth="1"/>
    <col min="8704" max="8704" width="1.5703125" style="17" customWidth="1"/>
    <col min="8705" max="8705" width="10.5703125" style="17" customWidth="1"/>
    <col min="8706" max="8706" width="6.7109375" style="17" customWidth="1"/>
    <col min="8707" max="8707" width="1.5703125" style="17" customWidth="1"/>
    <col min="8708" max="8708" width="10.5703125" style="17" customWidth="1"/>
    <col min="8709" max="8709" width="9.7109375" style="17" customWidth="1"/>
    <col min="8710" max="8710" width="13.28515625" style="17" bestFit="1" customWidth="1"/>
    <col min="8711" max="8711" width="7.7109375" style="17" customWidth="1"/>
    <col min="8712" max="8712" width="11.42578125" style="17"/>
    <col min="8713" max="8713" width="13.28515625" style="17" bestFit="1" customWidth="1"/>
    <col min="8714" max="8950" width="11.42578125" style="17"/>
    <col min="8951" max="8951" width="0.140625" style="17" customWidth="1"/>
    <col min="8952" max="8952" width="2.7109375" style="17" customWidth="1"/>
    <col min="8953" max="8953" width="15.42578125" style="17" customWidth="1"/>
    <col min="8954" max="8954" width="1.28515625" style="17" customWidth="1"/>
    <col min="8955" max="8955" width="27.7109375" style="17" customWidth="1"/>
    <col min="8956" max="8956" width="6.7109375" style="17" customWidth="1"/>
    <col min="8957" max="8957" width="1.5703125" style="17" customWidth="1"/>
    <col min="8958" max="8958" width="10.5703125" style="17" customWidth="1"/>
    <col min="8959" max="8959" width="5.85546875" style="17" customWidth="1"/>
    <col min="8960" max="8960" width="1.5703125" style="17" customWidth="1"/>
    <col min="8961" max="8961" width="10.5703125" style="17" customWidth="1"/>
    <col min="8962" max="8962" width="6.7109375" style="17" customWidth="1"/>
    <col min="8963" max="8963" width="1.5703125" style="17" customWidth="1"/>
    <col min="8964" max="8964" width="10.5703125" style="17" customWidth="1"/>
    <col min="8965" max="8965" width="9.7109375" style="17" customWidth="1"/>
    <col min="8966" max="8966" width="13.28515625" style="17" bestFit="1" customWidth="1"/>
    <col min="8967" max="8967" width="7.7109375" style="17" customWidth="1"/>
    <col min="8968" max="8968" width="11.42578125" style="17"/>
    <col min="8969" max="8969" width="13.28515625" style="17" bestFit="1" customWidth="1"/>
    <col min="8970" max="9206" width="11.42578125" style="17"/>
    <col min="9207" max="9207" width="0.140625" style="17" customWidth="1"/>
    <col min="9208" max="9208" width="2.7109375" style="17" customWidth="1"/>
    <col min="9209" max="9209" width="15.42578125" style="17" customWidth="1"/>
    <col min="9210" max="9210" width="1.28515625" style="17" customWidth="1"/>
    <col min="9211" max="9211" width="27.7109375" style="17" customWidth="1"/>
    <col min="9212" max="9212" width="6.7109375" style="17" customWidth="1"/>
    <col min="9213" max="9213" width="1.5703125" style="17" customWidth="1"/>
    <col min="9214" max="9214" width="10.5703125" style="17" customWidth="1"/>
    <col min="9215" max="9215" width="5.85546875" style="17" customWidth="1"/>
    <col min="9216" max="9216" width="1.5703125" style="17" customWidth="1"/>
    <col min="9217" max="9217" width="10.5703125" style="17" customWidth="1"/>
    <col min="9218" max="9218" width="6.7109375" style="17" customWidth="1"/>
    <col min="9219" max="9219" width="1.5703125" style="17" customWidth="1"/>
    <col min="9220" max="9220" width="10.5703125" style="17" customWidth="1"/>
    <col min="9221" max="9221" width="9.7109375" style="17" customWidth="1"/>
    <col min="9222" max="9222" width="13.28515625" style="17" bestFit="1" customWidth="1"/>
    <col min="9223" max="9223" width="7.7109375" style="17" customWidth="1"/>
    <col min="9224" max="9224" width="11.42578125" style="17"/>
    <col min="9225" max="9225" width="13.28515625" style="17" bestFit="1" customWidth="1"/>
    <col min="9226" max="9462" width="11.42578125" style="17"/>
    <col min="9463" max="9463" width="0.140625" style="17" customWidth="1"/>
    <col min="9464" max="9464" width="2.7109375" style="17" customWidth="1"/>
    <col min="9465" max="9465" width="15.42578125" style="17" customWidth="1"/>
    <col min="9466" max="9466" width="1.28515625" style="17" customWidth="1"/>
    <col min="9467" max="9467" width="27.7109375" style="17" customWidth="1"/>
    <col min="9468" max="9468" width="6.7109375" style="17" customWidth="1"/>
    <col min="9469" max="9469" width="1.5703125" style="17" customWidth="1"/>
    <col min="9470" max="9470" width="10.5703125" style="17" customWidth="1"/>
    <col min="9471" max="9471" width="5.85546875" style="17" customWidth="1"/>
    <col min="9472" max="9472" width="1.5703125" style="17" customWidth="1"/>
    <col min="9473" max="9473" width="10.5703125" style="17" customWidth="1"/>
    <col min="9474" max="9474" width="6.7109375" style="17" customWidth="1"/>
    <col min="9475" max="9475" width="1.5703125" style="17" customWidth="1"/>
    <col min="9476" max="9476" width="10.5703125" style="17" customWidth="1"/>
    <col min="9477" max="9477" width="9.7109375" style="17" customWidth="1"/>
    <col min="9478" max="9478" width="13.28515625" style="17" bestFit="1" customWidth="1"/>
    <col min="9479" max="9479" width="7.7109375" style="17" customWidth="1"/>
    <col min="9480" max="9480" width="11.42578125" style="17"/>
    <col min="9481" max="9481" width="13.28515625" style="17" bestFit="1" customWidth="1"/>
    <col min="9482" max="9718" width="11.42578125" style="17"/>
    <col min="9719" max="9719" width="0.140625" style="17" customWidth="1"/>
    <col min="9720" max="9720" width="2.7109375" style="17" customWidth="1"/>
    <col min="9721" max="9721" width="15.42578125" style="17" customWidth="1"/>
    <col min="9722" max="9722" width="1.28515625" style="17" customWidth="1"/>
    <col min="9723" max="9723" width="27.7109375" style="17" customWidth="1"/>
    <col min="9724" max="9724" width="6.7109375" style="17" customWidth="1"/>
    <col min="9725" max="9725" width="1.5703125" style="17" customWidth="1"/>
    <col min="9726" max="9726" width="10.5703125" style="17" customWidth="1"/>
    <col min="9727" max="9727" width="5.85546875" style="17" customWidth="1"/>
    <col min="9728" max="9728" width="1.5703125" style="17" customWidth="1"/>
    <col min="9729" max="9729" width="10.5703125" style="17" customWidth="1"/>
    <col min="9730" max="9730" width="6.7109375" style="17" customWidth="1"/>
    <col min="9731" max="9731" width="1.5703125" style="17" customWidth="1"/>
    <col min="9732" max="9732" width="10.5703125" style="17" customWidth="1"/>
    <col min="9733" max="9733" width="9.7109375" style="17" customWidth="1"/>
    <col min="9734" max="9734" width="13.28515625" style="17" bestFit="1" customWidth="1"/>
    <col min="9735" max="9735" width="7.7109375" style="17" customWidth="1"/>
    <col min="9736" max="9736" width="11.42578125" style="17"/>
    <col min="9737" max="9737" width="13.28515625" style="17" bestFit="1" customWidth="1"/>
    <col min="9738" max="9974" width="11.42578125" style="17"/>
    <col min="9975" max="9975" width="0.140625" style="17" customWidth="1"/>
    <col min="9976" max="9976" width="2.7109375" style="17" customWidth="1"/>
    <col min="9977" max="9977" width="15.42578125" style="17" customWidth="1"/>
    <col min="9978" max="9978" width="1.28515625" style="17" customWidth="1"/>
    <col min="9979" max="9979" width="27.7109375" style="17" customWidth="1"/>
    <col min="9980" max="9980" width="6.7109375" style="17" customWidth="1"/>
    <col min="9981" max="9981" width="1.5703125" style="17" customWidth="1"/>
    <col min="9982" max="9982" width="10.5703125" style="17" customWidth="1"/>
    <col min="9983" max="9983" width="5.85546875" style="17" customWidth="1"/>
    <col min="9984" max="9984" width="1.5703125" style="17" customWidth="1"/>
    <col min="9985" max="9985" width="10.5703125" style="17" customWidth="1"/>
    <col min="9986" max="9986" width="6.7109375" style="17" customWidth="1"/>
    <col min="9987" max="9987" width="1.5703125" style="17" customWidth="1"/>
    <col min="9988" max="9988" width="10.5703125" style="17" customWidth="1"/>
    <col min="9989" max="9989" width="9.7109375" style="17" customWidth="1"/>
    <col min="9990" max="9990" width="13.28515625" style="17" bestFit="1" customWidth="1"/>
    <col min="9991" max="9991" width="7.7109375" style="17" customWidth="1"/>
    <col min="9992" max="9992" width="11.42578125" style="17"/>
    <col min="9993" max="9993" width="13.28515625" style="17" bestFit="1" customWidth="1"/>
    <col min="9994" max="10230" width="11.42578125" style="17"/>
    <col min="10231" max="10231" width="0.140625" style="17" customWidth="1"/>
    <col min="10232" max="10232" width="2.7109375" style="17" customWidth="1"/>
    <col min="10233" max="10233" width="15.42578125" style="17" customWidth="1"/>
    <col min="10234" max="10234" width="1.28515625" style="17" customWidth="1"/>
    <col min="10235" max="10235" width="27.7109375" style="17" customWidth="1"/>
    <col min="10236" max="10236" width="6.7109375" style="17" customWidth="1"/>
    <col min="10237" max="10237" width="1.5703125" style="17" customWidth="1"/>
    <col min="10238" max="10238" width="10.5703125" style="17" customWidth="1"/>
    <col min="10239" max="10239" width="5.85546875" style="17" customWidth="1"/>
    <col min="10240" max="10240" width="1.5703125" style="17" customWidth="1"/>
    <col min="10241" max="10241" width="10.5703125" style="17" customWidth="1"/>
    <col min="10242" max="10242" width="6.7109375" style="17" customWidth="1"/>
    <col min="10243" max="10243" width="1.5703125" style="17" customWidth="1"/>
    <col min="10244" max="10244" width="10.5703125" style="17" customWidth="1"/>
    <col min="10245" max="10245" width="9.7109375" style="17" customWidth="1"/>
    <col min="10246" max="10246" width="13.28515625" style="17" bestFit="1" customWidth="1"/>
    <col min="10247" max="10247" width="7.7109375" style="17" customWidth="1"/>
    <col min="10248" max="10248" width="11.42578125" style="17"/>
    <col min="10249" max="10249" width="13.28515625" style="17" bestFit="1" customWidth="1"/>
    <col min="10250" max="10486" width="11.42578125" style="17"/>
    <col min="10487" max="10487" width="0.140625" style="17" customWidth="1"/>
    <col min="10488" max="10488" width="2.7109375" style="17" customWidth="1"/>
    <col min="10489" max="10489" width="15.42578125" style="17" customWidth="1"/>
    <col min="10490" max="10490" width="1.28515625" style="17" customWidth="1"/>
    <col min="10491" max="10491" width="27.7109375" style="17" customWidth="1"/>
    <col min="10492" max="10492" width="6.7109375" style="17" customWidth="1"/>
    <col min="10493" max="10493" width="1.5703125" style="17" customWidth="1"/>
    <col min="10494" max="10494" width="10.5703125" style="17" customWidth="1"/>
    <col min="10495" max="10495" width="5.85546875" style="17" customWidth="1"/>
    <col min="10496" max="10496" width="1.5703125" style="17" customWidth="1"/>
    <col min="10497" max="10497" width="10.5703125" style="17" customWidth="1"/>
    <col min="10498" max="10498" width="6.7109375" style="17" customWidth="1"/>
    <col min="10499" max="10499" width="1.5703125" style="17" customWidth="1"/>
    <col min="10500" max="10500" width="10.5703125" style="17" customWidth="1"/>
    <col min="10501" max="10501" width="9.7109375" style="17" customWidth="1"/>
    <col min="10502" max="10502" width="13.28515625" style="17" bestFit="1" customWidth="1"/>
    <col min="10503" max="10503" width="7.7109375" style="17" customWidth="1"/>
    <col min="10504" max="10504" width="11.42578125" style="17"/>
    <col min="10505" max="10505" width="13.28515625" style="17" bestFit="1" customWidth="1"/>
    <col min="10506" max="10742" width="11.42578125" style="17"/>
    <col min="10743" max="10743" width="0.140625" style="17" customWidth="1"/>
    <col min="10744" max="10744" width="2.7109375" style="17" customWidth="1"/>
    <col min="10745" max="10745" width="15.42578125" style="17" customWidth="1"/>
    <col min="10746" max="10746" width="1.28515625" style="17" customWidth="1"/>
    <col min="10747" max="10747" width="27.7109375" style="17" customWidth="1"/>
    <col min="10748" max="10748" width="6.7109375" style="17" customWidth="1"/>
    <col min="10749" max="10749" width="1.5703125" style="17" customWidth="1"/>
    <col min="10750" max="10750" width="10.5703125" style="17" customWidth="1"/>
    <col min="10751" max="10751" width="5.85546875" style="17" customWidth="1"/>
    <col min="10752" max="10752" width="1.5703125" style="17" customWidth="1"/>
    <col min="10753" max="10753" width="10.5703125" style="17" customWidth="1"/>
    <col min="10754" max="10754" width="6.7109375" style="17" customWidth="1"/>
    <col min="10755" max="10755" width="1.5703125" style="17" customWidth="1"/>
    <col min="10756" max="10756" width="10.5703125" style="17" customWidth="1"/>
    <col min="10757" max="10757" width="9.7109375" style="17" customWidth="1"/>
    <col min="10758" max="10758" width="13.28515625" style="17" bestFit="1" customWidth="1"/>
    <col min="10759" max="10759" width="7.7109375" style="17" customWidth="1"/>
    <col min="10760" max="10760" width="11.42578125" style="17"/>
    <col min="10761" max="10761" width="13.28515625" style="17" bestFit="1" customWidth="1"/>
    <col min="10762" max="10998" width="11.42578125" style="17"/>
    <col min="10999" max="10999" width="0.140625" style="17" customWidth="1"/>
    <col min="11000" max="11000" width="2.7109375" style="17" customWidth="1"/>
    <col min="11001" max="11001" width="15.42578125" style="17" customWidth="1"/>
    <col min="11002" max="11002" width="1.28515625" style="17" customWidth="1"/>
    <col min="11003" max="11003" width="27.7109375" style="17" customWidth="1"/>
    <col min="11004" max="11004" width="6.7109375" style="17" customWidth="1"/>
    <col min="11005" max="11005" width="1.5703125" style="17" customWidth="1"/>
    <col min="11006" max="11006" width="10.5703125" style="17" customWidth="1"/>
    <col min="11007" max="11007" width="5.85546875" style="17" customWidth="1"/>
    <col min="11008" max="11008" width="1.5703125" style="17" customWidth="1"/>
    <col min="11009" max="11009" width="10.5703125" style="17" customWidth="1"/>
    <col min="11010" max="11010" width="6.7109375" style="17" customWidth="1"/>
    <col min="11011" max="11011" width="1.5703125" style="17" customWidth="1"/>
    <col min="11012" max="11012" width="10.5703125" style="17" customWidth="1"/>
    <col min="11013" max="11013" width="9.7109375" style="17" customWidth="1"/>
    <col min="11014" max="11014" width="13.28515625" style="17" bestFit="1" customWidth="1"/>
    <col min="11015" max="11015" width="7.7109375" style="17" customWidth="1"/>
    <col min="11016" max="11016" width="11.42578125" style="17"/>
    <col min="11017" max="11017" width="13.28515625" style="17" bestFit="1" customWidth="1"/>
    <col min="11018" max="11254" width="11.42578125" style="17"/>
    <col min="11255" max="11255" width="0.140625" style="17" customWidth="1"/>
    <col min="11256" max="11256" width="2.7109375" style="17" customWidth="1"/>
    <col min="11257" max="11257" width="15.42578125" style="17" customWidth="1"/>
    <col min="11258" max="11258" width="1.28515625" style="17" customWidth="1"/>
    <col min="11259" max="11259" width="27.7109375" style="17" customWidth="1"/>
    <col min="11260" max="11260" width="6.7109375" style="17" customWidth="1"/>
    <col min="11261" max="11261" width="1.5703125" style="17" customWidth="1"/>
    <col min="11262" max="11262" width="10.5703125" style="17" customWidth="1"/>
    <col min="11263" max="11263" width="5.85546875" style="17" customWidth="1"/>
    <col min="11264" max="11264" width="1.5703125" style="17" customWidth="1"/>
    <col min="11265" max="11265" width="10.5703125" style="17" customWidth="1"/>
    <col min="11266" max="11266" width="6.7109375" style="17" customWidth="1"/>
    <col min="11267" max="11267" width="1.5703125" style="17" customWidth="1"/>
    <col min="11268" max="11268" width="10.5703125" style="17" customWidth="1"/>
    <col min="11269" max="11269" width="9.7109375" style="17" customWidth="1"/>
    <col min="11270" max="11270" width="13.28515625" style="17" bestFit="1" customWidth="1"/>
    <col min="11271" max="11271" width="7.7109375" style="17" customWidth="1"/>
    <col min="11272" max="11272" width="11.42578125" style="17"/>
    <col min="11273" max="11273" width="13.28515625" style="17" bestFit="1" customWidth="1"/>
    <col min="11274" max="11510" width="11.42578125" style="17"/>
    <col min="11511" max="11511" width="0.140625" style="17" customWidth="1"/>
    <col min="11512" max="11512" width="2.7109375" style="17" customWidth="1"/>
    <col min="11513" max="11513" width="15.42578125" style="17" customWidth="1"/>
    <col min="11514" max="11514" width="1.28515625" style="17" customWidth="1"/>
    <col min="11515" max="11515" width="27.7109375" style="17" customWidth="1"/>
    <col min="11516" max="11516" width="6.7109375" style="17" customWidth="1"/>
    <col min="11517" max="11517" width="1.5703125" style="17" customWidth="1"/>
    <col min="11518" max="11518" width="10.5703125" style="17" customWidth="1"/>
    <col min="11519" max="11519" width="5.85546875" style="17" customWidth="1"/>
    <col min="11520" max="11520" width="1.5703125" style="17" customWidth="1"/>
    <col min="11521" max="11521" width="10.5703125" style="17" customWidth="1"/>
    <col min="11522" max="11522" width="6.7109375" style="17" customWidth="1"/>
    <col min="11523" max="11523" width="1.5703125" style="17" customWidth="1"/>
    <col min="11524" max="11524" width="10.5703125" style="17" customWidth="1"/>
    <col min="11525" max="11525" width="9.7109375" style="17" customWidth="1"/>
    <col min="11526" max="11526" width="13.28515625" style="17" bestFit="1" customWidth="1"/>
    <col min="11527" max="11527" width="7.7109375" style="17" customWidth="1"/>
    <col min="11528" max="11528" width="11.42578125" style="17"/>
    <col min="11529" max="11529" width="13.28515625" style="17" bestFit="1" customWidth="1"/>
    <col min="11530" max="11766" width="11.42578125" style="17"/>
    <col min="11767" max="11767" width="0.140625" style="17" customWidth="1"/>
    <col min="11768" max="11768" width="2.7109375" style="17" customWidth="1"/>
    <col min="11769" max="11769" width="15.42578125" style="17" customWidth="1"/>
    <col min="11770" max="11770" width="1.28515625" style="17" customWidth="1"/>
    <col min="11771" max="11771" width="27.7109375" style="17" customWidth="1"/>
    <col min="11772" max="11772" width="6.7109375" style="17" customWidth="1"/>
    <col min="11773" max="11773" width="1.5703125" style="17" customWidth="1"/>
    <col min="11774" max="11774" width="10.5703125" style="17" customWidth="1"/>
    <col min="11775" max="11775" width="5.85546875" style="17" customWidth="1"/>
    <col min="11776" max="11776" width="1.5703125" style="17" customWidth="1"/>
    <col min="11777" max="11777" width="10.5703125" style="17" customWidth="1"/>
    <col min="11778" max="11778" width="6.7109375" style="17" customWidth="1"/>
    <col min="11779" max="11779" width="1.5703125" style="17" customWidth="1"/>
    <col min="11780" max="11780" width="10.5703125" style="17" customWidth="1"/>
    <col min="11781" max="11781" width="9.7109375" style="17" customWidth="1"/>
    <col min="11782" max="11782" width="13.28515625" style="17" bestFit="1" customWidth="1"/>
    <col min="11783" max="11783" width="7.7109375" style="17" customWidth="1"/>
    <col min="11784" max="11784" width="11.42578125" style="17"/>
    <col min="11785" max="11785" width="13.28515625" style="17" bestFit="1" customWidth="1"/>
    <col min="11786" max="12022" width="11.42578125" style="17"/>
    <col min="12023" max="12023" width="0.140625" style="17" customWidth="1"/>
    <col min="12024" max="12024" width="2.7109375" style="17" customWidth="1"/>
    <col min="12025" max="12025" width="15.42578125" style="17" customWidth="1"/>
    <col min="12026" max="12026" width="1.28515625" style="17" customWidth="1"/>
    <col min="12027" max="12027" width="27.7109375" style="17" customWidth="1"/>
    <col min="12028" max="12028" width="6.7109375" style="17" customWidth="1"/>
    <col min="12029" max="12029" width="1.5703125" style="17" customWidth="1"/>
    <col min="12030" max="12030" width="10.5703125" style="17" customWidth="1"/>
    <col min="12031" max="12031" width="5.85546875" style="17" customWidth="1"/>
    <col min="12032" max="12032" width="1.5703125" style="17" customWidth="1"/>
    <col min="12033" max="12033" width="10.5703125" style="17" customWidth="1"/>
    <col min="12034" max="12034" width="6.7109375" style="17" customWidth="1"/>
    <col min="12035" max="12035" width="1.5703125" style="17" customWidth="1"/>
    <col min="12036" max="12036" width="10.5703125" style="17" customWidth="1"/>
    <col min="12037" max="12037" width="9.7109375" style="17" customWidth="1"/>
    <col min="12038" max="12038" width="13.28515625" style="17" bestFit="1" customWidth="1"/>
    <col min="12039" max="12039" width="7.7109375" style="17" customWidth="1"/>
    <col min="12040" max="12040" width="11.42578125" style="17"/>
    <col min="12041" max="12041" width="13.28515625" style="17" bestFit="1" customWidth="1"/>
    <col min="12042" max="12278" width="11.42578125" style="17"/>
    <col min="12279" max="12279" width="0.140625" style="17" customWidth="1"/>
    <col min="12280" max="12280" width="2.7109375" style="17" customWidth="1"/>
    <col min="12281" max="12281" width="15.42578125" style="17" customWidth="1"/>
    <col min="12282" max="12282" width="1.28515625" style="17" customWidth="1"/>
    <col min="12283" max="12283" width="27.7109375" style="17" customWidth="1"/>
    <col min="12284" max="12284" width="6.7109375" style="17" customWidth="1"/>
    <col min="12285" max="12285" width="1.5703125" style="17" customWidth="1"/>
    <col min="12286" max="12286" width="10.5703125" style="17" customWidth="1"/>
    <col min="12287" max="12287" width="5.85546875" style="17" customWidth="1"/>
    <col min="12288" max="12288" width="1.5703125" style="17" customWidth="1"/>
    <col min="12289" max="12289" width="10.5703125" style="17" customWidth="1"/>
    <col min="12290" max="12290" width="6.7109375" style="17" customWidth="1"/>
    <col min="12291" max="12291" width="1.5703125" style="17" customWidth="1"/>
    <col min="12292" max="12292" width="10.5703125" style="17" customWidth="1"/>
    <col min="12293" max="12293" width="9.7109375" style="17" customWidth="1"/>
    <col min="12294" max="12294" width="13.28515625" style="17" bestFit="1" customWidth="1"/>
    <col min="12295" max="12295" width="7.7109375" style="17" customWidth="1"/>
    <col min="12296" max="12296" width="11.42578125" style="17"/>
    <col min="12297" max="12297" width="13.28515625" style="17" bestFit="1" customWidth="1"/>
    <col min="12298" max="12534" width="11.42578125" style="17"/>
    <col min="12535" max="12535" width="0.140625" style="17" customWidth="1"/>
    <col min="12536" max="12536" width="2.7109375" style="17" customWidth="1"/>
    <col min="12537" max="12537" width="15.42578125" style="17" customWidth="1"/>
    <col min="12538" max="12538" width="1.28515625" style="17" customWidth="1"/>
    <col min="12539" max="12539" width="27.7109375" style="17" customWidth="1"/>
    <col min="12540" max="12540" width="6.7109375" style="17" customWidth="1"/>
    <col min="12541" max="12541" width="1.5703125" style="17" customWidth="1"/>
    <col min="12542" max="12542" width="10.5703125" style="17" customWidth="1"/>
    <col min="12543" max="12543" width="5.85546875" style="17" customWidth="1"/>
    <col min="12544" max="12544" width="1.5703125" style="17" customWidth="1"/>
    <col min="12545" max="12545" width="10.5703125" style="17" customWidth="1"/>
    <col min="12546" max="12546" width="6.7109375" style="17" customWidth="1"/>
    <col min="12547" max="12547" width="1.5703125" style="17" customWidth="1"/>
    <col min="12548" max="12548" width="10.5703125" style="17" customWidth="1"/>
    <col min="12549" max="12549" width="9.7109375" style="17" customWidth="1"/>
    <col min="12550" max="12550" width="13.28515625" style="17" bestFit="1" customWidth="1"/>
    <col min="12551" max="12551" width="7.7109375" style="17" customWidth="1"/>
    <col min="12552" max="12552" width="11.42578125" style="17"/>
    <col min="12553" max="12553" width="13.28515625" style="17" bestFit="1" customWidth="1"/>
    <col min="12554" max="12790" width="11.42578125" style="17"/>
    <col min="12791" max="12791" width="0.140625" style="17" customWidth="1"/>
    <col min="12792" max="12792" width="2.7109375" style="17" customWidth="1"/>
    <col min="12793" max="12793" width="15.42578125" style="17" customWidth="1"/>
    <col min="12794" max="12794" width="1.28515625" style="17" customWidth="1"/>
    <col min="12795" max="12795" width="27.7109375" style="17" customWidth="1"/>
    <col min="12796" max="12796" width="6.7109375" style="17" customWidth="1"/>
    <col min="12797" max="12797" width="1.5703125" style="17" customWidth="1"/>
    <col min="12798" max="12798" width="10.5703125" style="17" customWidth="1"/>
    <col min="12799" max="12799" width="5.85546875" style="17" customWidth="1"/>
    <col min="12800" max="12800" width="1.5703125" style="17" customWidth="1"/>
    <col min="12801" max="12801" width="10.5703125" style="17" customWidth="1"/>
    <col min="12802" max="12802" width="6.7109375" style="17" customWidth="1"/>
    <col min="12803" max="12803" width="1.5703125" style="17" customWidth="1"/>
    <col min="12804" max="12804" width="10.5703125" style="17" customWidth="1"/>
    <col min="12805" max="12805" width="9.7109375" style="17" customWidth="1"/>
    <col min="12806" max="12806" width="13.28515625" style="17" bestFit="1" customWidth="1"/>
    <col min="12807" max="12807" width="7.7109375" style="17" customWidth="1"/>
    <col min="12808" max="12808" width="11.42578125" style="17"/>
    <col min="12809" max="12809" width="13.28515625" style="17" bestFit="1" customWidth="1"/>
    <col min="12810" max="13046" width="11.42578125" style="17"/>
    <col min="13047" max="13047" width="0.140625" style="17" customWidth="1"/>
    <col min="13048" max="13048" width="2.7109375" style="17" customWidth="1"/>
    <col min="13049" max="13049" width="15.42578125" style="17" customWidth="1"/>
    <col min="13050" max="13050" width="1.28515625" style="17" customWidth="1"/>
    <col min="13051" max="13051" width="27.7109375" style="17" customWidth="1"/>
    <col min="13052" max="13052" width="6.7109375" style="17" customWidth="1"/>
    <col min="13053" max="13053" width="1.5703125" style="17" customWidth="1"/>
    <col min="13054" max="13054" width="10.5703125" style="17" customWidth="1"/>
    <col min="13055" max="13055" width="5.85546875" style="17" customWidth="1"/>
    <col min="13056" max="13056" width="1.5703125" style="17" customWidth="1"/>
    <col min="13057" max="13057" width="10.5703125" style="17" customWidth="1"/>
    <col min="13058" max="13058" width="6.7109375" style="17" customWidth="1"/>
    <col min="13059" max="13059" width="1.5703125" style="17" customWidth="1"/>
    <col min="13060" max="13060" width="10.5703125" style="17" customWidth="1"/>
    <col min="13061" max="13061" width="9.7109375" style="17" customWidth="1"/>
    <col min="13062" max="13062" width="13.28515625" style="17" bestFit="1" customWidth="1"/>
    <col min="13063" max="13063" width="7.7109375" style="17" customWidth="1"/>
    <col min="13064" max="13064" width="11.42578125" style="17"/>
    <col min="13065" max="13065" width="13.28515625" style="17" bestFit="1" customWidth="1"/>
    <col min="13066" max="13302" width="11.42578125" style="17"/>
    <col min="13303" max="13303" width="0.140625" style="17" customWidth="1"/>
    <col min="13304" max="13304" width="2.7109375" style="17" customWidth="1"/>
    <col min="13305" max="13305" width="15.42578125" style="17" customWidth="1"/>
    <col min="13306" max="13306" width="1.28515625" style="17" customWidth="1"/>
    <col min="13307" max="13307" width="27.7109375" style="17" customWidth="1"/>
    <col min="13308" max="13308" width="6.7109375" style="17" customWidth="1"/>
    <col min="13309" max="13309" width="1.5703125" style="17" customWidth="1"/>
    <col min="13310" max="13310" width="10.5703125" style="17" customWidth="1"/>
    <col min="13311" max="13311" width="5.85546875" style="17" customWidth="1"/>
    <col min="13312" max="13312" width="1.5703125" style="17" customWidth="1"/>
    <col min="13313" max="13313" width="10.5703125" style="17" customWidth="1"/>
    <col min="13314" max="13314" width="6.7109375" style="17" customWidth="1"/>
    <col min="13315" max="13315" width="1.5703125" style="17" customWidth="1"/>
    <col min="13316" max="13316" width="10.5703125" style="17" customWidth="1"/>
    <col min="13317" max="13317" width="9.7109375" style="17" customWidth="1"/>
    <col min="13318" max="13318" width="13.28515625" style="17" bestFit="1" customWidth="1"/>
    <col min="13319" max="13319" width="7.7109375" style="17" customWidth="1"/>
    <col min="13320" max="13320" width="11.42578125" style="17"/>
    <col min="13321" max="13321" width="13.28515625" style="17" bestFit="1" customWidth="1"/>
    <col min="13322" max="13558" width="11.42578125" style="17"/>
    <col min="13559" max="13559" width="0.140625" style="17" customWidth="1"/>
    <col min="13560" max="13560" width="2.7109375" style="17" customWidth="1"/>
    <col min="13561" max="13561" width="15.42578125" style="17" customWidth="1"/>
    <col min="13562" max="13562" width="1.28515625" style="17" customWidth="1"/>
    <col min="13563" max="13563" width="27.7109375" style="17" customWidth="1"/>
    <col min="13564" max="13564" width="6.7109375" style="17" customWidth="1"/>
    <col min="13565" max="13565" width="1.5703125" style="17" customWidth="1"/>
    <col min="13566" max="13566" width="10.5703125" style="17" customWidth="1"/>
    <col min="13567" max="13567" width="5.85546875" style="17" customWidth="1"/>
    <col min="13568" max="13568" width="1.5703125" style="17" customWidth="1"/>
    <col min="13569" max="13569" width="10.5703125" style="17" customWidth="1"/>
    <col min="13570" max="13570" width="6.7109375" style="17" customWidth="1"/>
    <col min="13571" max="13571" width="1.5703125" style="17" customWidth="1"/>
    <col min="13572" max="13572" width="10.5703125" style="17" customWidth="1"/>
    <col min="13573" max="13573" width="9.7109375" style="17" customWidth="1"/>
    <col min="13574" max="13574" width="13.28515625" style="17" bestFit="1" customWidth="1"/>
    <col min="13575" max="13575" width="7.7109375" style="17" customWidth="1"/>
    <col min="13576" max="13576" width="11.42578125" style="17"/>
    <col min="13577" max="13577" width="13.28515625" style="17" bestFit="1" customWidth="1"/>
    <col min="13578" max="13814" width="11.42578125" style="17"/>
    <col min="13815" max="13815" width="0.140625" style="17" customWidth="1"/>
    <col min="13816" max="13816" width="2.7109375" style="17" customWidth="1"/>
    <col min="13817" max="13817" width="15.42578125" style="17" customWidth="1"/>
    <col min="13818" max="13818" width="1.28515625" style="17" customWidth="1"/>
    <col min="13819" max="13819" width="27.7109375" style="17" customWidth="1"/>
    <col min="13820" max="13820" width="6.7109375" style="17" customWidth="1"/>
    <col min="13821" max="13821" width="1.5703125" style="17" customWidth="1"/>
    <col min="13822" max="13822" width="10.5703125" style="17" customWidth="1"/>
    <col min="13823" max="13823" width="5.85546875" style="17" customWidth="1"/>
    <col min="13824" max="13824" width="1.5703125" style="17" customWidth="1"/>
    <col min="13825" max="13825" width="10.5703125" style="17" customWidth="1"/>
    <col min="13826" max="13826" width="6.7109375" style="17" customWidth="1"/>
    <col min="13827" max="13827" width="1.5703125" style="17" customWidth="1"/>
    <col min="13828" max="13828" width="10.5703125" style="17" customWidth="1"/>
    <col min="13829" max="13829" width="9.7109375" style="17" customWidth="1"/>
    <col min="13830" max="13830" width="13.28515625" style="17" bestFit="1" customWidth="1"/>
    <col min="13831" max="13831" width="7.7109375" style="17" customWidth="1"/>
    <col min="13832" max="13832" width="11.42578125" style="17"/>
    <col min="13833" max="13833" width="13.28515625" style="17" bestFit="1" customWidth="1"/>
    <col min="13834" max="14070" width="11.42578125" style="17"/>
    <col min="14071" max="14071" width="0.140625" style="17" customWidth="1"/>
    <col min="14072" max="14072" width="2.7109375" style="17" customWidth="1"/>
    <col min="14073" max="14073" width="15.42578125" style="17" customWidth="1"/>
    <col min="14074" max="14074" width="1.28515625" style="17" customWidth="1"/>
    <col min="14075" max="14075" width="27.7109375" style="17" customWidth="1"/>
    <col min="14076" max="14076" width="6.7109375" style="17" customWidth="1"/>
    <col min="14077" max="14077" width="1.5703125" style="17" customWidth="1"/>
    <col min="14078" max="14078" width="10.5703125" style="17" customWidth="1"/>
    <col min="14079" max="14079" width="5.85546875" style="17" customWidth="1"/>
    <col min="14080" max="14080" width="1.5703125" style="17" customWidth="1"/>
    <col min="14081" max="14081" width="10.5703125" style="17" customWidth="1"/>
    <col min="14082" max="14082" width="6.7109375" style="17" customWidth="1"/>
    <col min="14083" max="14083" width="1.5703125" style="17" customWidth="1"/>
    <col min="14084" max="14084" width="10.5703125" style="17" customWidth="1"/>
    <col min="14085" max="14085" width="9.7109375" style="17" customWidth="1"/>
    <col min="14086" max="14086" width="13.28515625" style="17" bestFit="1" customWidth="1"/>
    <col min="14087" max="14087" width="7.7109375" style="17" customWidth="1"/>
    <col min="14088" max="14088" width="11.42578125" style="17"/>
    <col min="14089" max="14089" width="13.28515625" style="17" bestFit="1" customWidth="1"/>
    <col min="14090" max="14326" width="11.42578125" style="17"/>
    <col min="14327" max="14327" width="0.140625" style="17" customWidth="1"/>
    <col min="14328" max="14328" width="2.7109375" style="17" customWidth="1"/>
    <col min="14329" max="14329" width="15.42578125" style="17" customWidth="1"/>
    <col min="14330" max="14330" width="1.28515625" style="17" customWidth="1"/>
    <col min="14331" max="14331" width="27.7109375" style="17" customWidth="1"/>
    <col min="14332" max="14332" width="6.7109375" style="17" customWidth="1"/>
    <col min="14333" max="14333" width="1.5703125" style="17" customWidth="1"/>
    <col min="14334" max="14334" width="10.5703125" style="17" customWidth="1"/>
    <col min="14335" max="14335" width="5.85546875" style="17" customWidth="1"/>
    <col min="14336" max="14336" width="1.5703125" style="17" customWidth="1"/>
    <col min="14337" max="14337" width="10.5703125" style="17" customWidth="1"/>
    <col min="14338" max="14338" width="6.7109375" style="17" customWidth="1"/>
    <col min="14339" max="14339" width="1.5703125" style="17" customWidth="1"/>
    <col min="14340" max="14340" width="10.5703125" style="17" customWidth="1"/>
    <col min="14341" max="14341" width="9.7109375" style="17" customWidth="1"/>
    <col min="14342" max="14342" width="13.28515625" style="17" bestFit="1" customWidth="1"/>
    <col min="14343" max="14343" width="7.7109375" style="17" customWidth="1"/>
    <col min="14344" max="14344" width="11.42578125" style="17"/>
    <col min="14345" max="14345" width="13.28515625" style="17" bestFit="1" customWidth="1"/>
    <col min="14346" max="14582" width="11.42578125" style="17"/>
    <col min="14583" max="14583" width="0.140625" style="17" customWidth="1"/>
    <col min="14584" max="14584" width="2.7109375" style="17" customWidth="1"/>
    <col min="14585" max="14585" width="15.42578125" style="17" customWidth="1"/>
    <col min="14586" max="14586" width="1.28515625" style="17" customWidth="1"/>
    <col min="14587" max="14587" width="27.7109375" style="17" customWidth="1"/>
    <col min="14588" max="14588" width="6.7109375" style="17" customWidth="1"/>
    <col min="14589" max="14589" width="1.5703125" style="17" customWidth="1"/>
    <col min="14590" max="14590" width="10.5703125" style="17" customWidth="1"/>
    <col min="14591" max="14591" width="5.85546875" style="17" customWidth="1"/>
    <col min="14592" max="14592" width="1.5703125" style="17" customWidth="1"/>
    <col min="14593" max="14593" width="10.5703125" style="17" customWidth="1"/>
    <col min="14594" max="14594" width="6.7109375" style="17" customWidth="1"/>
    <col min="14595" max="14595" width="1.5703125" style="17" customWidth="1"/>
    <col min="14596" max="14596" width="10.5703125" style="17" customWidth="1"/>
    <col min="14597" max="14597" width="9.7109375" style="17" customWidth="1"/>
    <col min="14598" max="14598" width="13.28515625" style="17" bestFit="1" customWidth="1"/>
    <col min="14599" max="14599" width="7.7109375" style="17" customWidth="1"/>
    <col min="14600" max="14600" width="11.42578125" style="17"/>
    <col min="14601" max="14601" width="13.28515625" style="17" bestFit="1" customWidth="1"/>
    <col min="14602" max="14838" width="11.42578125" style="17"/>
    <col min="14839" max="14839" width="0.140625" style="17" customWidth="1"/>
    <col min="14840" max="14840" width="2.7109375" style="17" customWidth="1"/>
    <col min="14841" max="14841" width="15.42578125" style="17" customWidth="1"/>
    <col min="14842" max="14842" width="1.28515625" style="17" customWidth="1"/>
    <col min="14843" max="14843" width="27.7109375" style="17" customWidth="1"/>
    <col min="14844" max="14844" width="6.7109375" style="17" customWidth="1"/>
    <col min="14845" max="14845" width="1.5703125" style="17" customWidth="1"/>
    <col min="14846" max="14846" width="10.5703125" style="17" customWidth="1"/>
    <col min="14847" max="14847" width="5.85546875" style="17" customWidth="1"/>
    <col min="14848" max="14848" width="1.5703125" style="17" customWidth="1"/>
    <col min="14849" max="14849" width="10.5703125" style="17" customWidth="1"/>
    <col min="14850" max="14850" width="6.7109375" style="17" customWidth="1"/>
    <col min="14851" max="14851" width="1.5703125" style="17" customWidth="1"/>
    <col min="14852" max="14852" width="10.5703125" style="17" customWidth="1"/>
    <col min="14853" max="14853" width="9.7109375" style="17" customWidth="1"/>
    <col min="14854" max="14854" width="13.28515625" style="17" bestFit="1" customWidth="1"/>
    <col min="14855" max="14855" width="7.7109375" style="17" customWidth="1"/>
    <col min="14856" max="14856" width="11.42578125" style="17"/>
    <col min="14857" max="14857" width="13.28515625" style="17" bestFit="1" customWidth="1"/>
    <col min="14858" max="15094" width="11.42578125" style="17"/>
    <col min="15095" max="15095" width="0.140625" style="17" customWidth="1"/>
    <col min="15096" max="15096" width="2.7109375" style="17" customWidth="1"/>
    <col min="15097" max="15097" width="15.42578125" style="17" customWidth="1"/>
    <col min="15098" max="15098" width="1.28515625" style="17" customWidth="1"/>
    <col min="15099" max="15099" width="27.7109375" style="17" customWidth="1"/>
    <col min="15100" max="15100" width="6.7109375" style="17" customWidth="1"/>
    <col min="15101" max="15101" width="1.5703125" style="17" customWidth="1"/>
    <col min="15102" max="15102" width="10.5703125" style="17" customWidth="1"/>
    <col min="15103" max="15103" width="5.85546875" style="17" customWidth="1"/>
    <col min="15104" max="15104" width="1.5703125" style="17" customWidth="1"/>
    <col min="15105" max="15105" width="10.5703125" style="17" customWidth="1"/>
    <col min="15106" max="15106" width="6.7109375" style="17" customWidth="1"/>
    <col min="15107" max="15107" width="1.5703125" style="17" customWidth="1"/>
    <col min="15108" max="15108" width="10.5703125" style="17" customWidth="1"/>
    <col min="15109" max="15109" width="9.7109375" style="17" customWidth="1"/>
    <col min="15110" max="15110" width="13.28515625" style="17" bestFit="1" customWidth="1"/>
    <col min="15111" max="15111" width="7.7109375" style="17" customWidth="1"/>
    <col min="15112" max="15112" width="11.42578125" style="17"/>
    <col min="15113" max="15113" width="13.28515625" style="17" bestFit="1" customWidth="1"/>
    <col min="15114" max="15350" width="11.42578125" style="17"/>
    <col min="15351" max="15351" width="0.140625" style="17" customWidth="1"/>
    <col min="15352" max="15352" width="2.7109375" style="17" customWidth="1"/>
    <col min="15353" max="15353" width="15.42578125" style="17" customWidth="1"/>
    <col min="15354" max="15354" width="1.28515625" style="17" customWidth="1"/>
    <col min="15355" max="15355" width="27.7109375" style="17" customWidth="1"/>
    <col min="15356" max="15356" width="6.7109375" style="17" customWidth="1"/>
    <col min="15357" max="15357" width="1.5703125" style="17" customWidth="1"/>
    <col min="15358" max="15358" width="10.5703125" style="17" customWidth="1"/>
    <col min="15359" max="15359" width="5.85546875" style="17" customWidth="1"/>
    <col min="15360" max="15360" width="1.5703125" style="17" customWidth="1"/>
    <col min="15361" max="15361" width="10.5703125" style="17" customWidth="1"/>
    <col min="15362" max="15362" width="6.7109375" style="17" customWidth="1"/>
    <col min="15363" max="15363" width="1.5703125" style="17" customWidth="1"/>
    <col min="15364" max="15364" width="10.5703125" style="17" customWidth="1"/>
    <col min="15365" max="15365" width="9.7109375" style="17" customWidth="1"/>
    <col min="15366" max="15366" width="13.28515625" style="17" bestFit="1" customWidth="1"/>
    <col min="15367" max="15367" width="7.7109375" style="17" customWidth="1"/>
    <col min="15368" max="15368" width="11.42578125" style="17"/>
    <col min="15369" max="15369" width="13.28515625" style="17" bestFit="1" customWidth="1"/>
    <col min="15370" max="15606" width="11.42578125" style="17"/>
    <col min="15607" max="15607" width="0.140625" style="17" customWidth="1"/>
    <col min="15608" max="15608" width="2.7109375" style="17" customWidth="1"/>
    <col min="15609" max="15609" width="15.42578125" style="17" customWidth="1"/>
    <col min="15610" max="15610" width="1.28515625" style="17" customWidth="1"/>
    <col min="15611" max="15611" width="27.7109375" style="17" customWidth="1"/>
    <col min="15612" max="15612" width="6.7109375" style="17" customWidth="1"/>
    <col min="15613" max="15613" width="1.5703125" style="17" customWidth="1"/>
    <col min="15614" max="15614" width="10.5703125" style="17" customWidth="1"/>
    <col min="15615" max="15615" width="5.85546875" style="17" customWidth="1"/>
    <col min="15616" max="15616" width="1.5703125" style="17" customWidth="1"/>
    <col min="15617" max="15617" width="10.5703125" style="17" customWidth="1"/>
    <col min="15618" max="15618" width="6.7109375" style="17" customWidth="1"/>
    <col min="15619" max="15619" width="1.5703125" style="17" customWidth="1"/>
    <col min="15620" max="15620" width="10.5703125" style="17" customWidth="1"/>
    <col min="15621" max="15621" width="9.7109375" style="17" customWidth="1"/>
    <col min="15622" max="15622" width="13.28515625" style="17" bestFit="1" customWidth="1"/>
    <col min="15623" max="15623" width="7.7109375" style="17" customWidth="1"/>
    <col min="15624" max="15624" width="11.42578125" style="17"/>
    <col min="15625" max="15625" width="13.28515625" style="17" bestFit="1" customWidth="1"/>
    <col min="15626" max="15862" width="11.42578125" style="17"/>
    <col min="15863" max="15863" width="0.140625" style="17" customWidth="1"/>
    <col min="15864" max="15864" width="2.7109375" style="17" customWidth="1"/>
    <col min="15865" max="15865" width="15.42578125" style="17" customWidth="1"/>
    <col min="15866" max="15866" width="1.28515625" style="17" customWidth="1"/>
    <col min="15867" max="15867" width="27.7109375" style="17" customWidth="1"/>
    <col min="15868" max="15868" width="6.7109375" style="17" customWidth="1"/>
    <col min="15869" max="15869" width="1.5703125" style="17" customWidth="1"/>
    <col min="15870" max="15870" width="10.5703125" style="17" customWidth="1"/>
    <col min="15871" max="15871" width="5.85546875" style="17" customWidth="1"/>
    <col min="15872" max="15872" width="1.5703125" style="17" customWidth="1"/>
    <col min="15873" max="15873" width="10.5703125" style="17" customWidth="1"/>
    <col min="15874" max="15874" width="6.7109375" style="17" customWidth="1"/>
    <col min="15875" max="15875" width="1.5703125" style="17" customWidth="1"/>
    <col min="15876" max="15876" width="10.5703125" style="17" customWidth="1"/>
    <col min="15877" max="15877" width="9.7109375" style="17" customWidth="1"/>
    <col min="15878" max="15878" width="13.28515625" style="17" bestFit="1" customWidth="1"/>
    <col min="15879" max="15879" width="7.7109375" style="17" customWidth="1"/>
    <col min="15880" max="15880" width="11.42578125" style="17"/>
    <col min="15881" max="15881" width="13.28515625" style="17" bestFit="1" customWidth="1"/>
    <col min="15882" max="16118" width="11.42578125" style="17"/>
    <col min="16119" max="16119" width="0.140625" style="17" customWidth="1"/>
    <col min="16120" max="16120" width="2.7109375" style="17" customWidth="1"/>
    <col min="16121" max="16121" width="15.42578125" style="17" customWidth="1"/>
    <col min="16122" max="16122" width="1.28515625" style="17" customWidth="1"/>
    <col min="16123" max="16123" width="27.7109375" style="17" customWidth="1"/>
    <col min="16124" max="16124" width="6.7109375" style="17" customWidth="1"/>
    <col min="16125" max="16125" width="1.5703125" style="17" customWidth="1"/>
    <col min="16126" max="16126" width="10.5703125" style="17" customWidth="1"/>
    <col min="16127" max="16127" width="5.85546875" style="17" customWidth="1"/>
    <col min="16128" max="16128" width="1.5703125" style="17" customWidth="1"/>
    <col min="16129" max="16129" width="10.5703125" style="17" customWidth="1"/>
    <col min="16130" max="16130" width="6.7109375" style="17" customWidth="1"/>
    <col min="16131" max="16131" width="1.5703125" style="17" customWidth="1"/>
    <col min="16132" max="16132" width="10.5703125" style="17" customWidth="1"/>
    <col min="16133" max="16133" width="9.7109375" style="17" customWidth="1"/>
    <col min="16134" max="16134" width="13.28515625" style="17" bestFit="1" customWidth="1"/>
    <col min="16135" max="16135" width="7.7109375" style="17" customWidth="1"/>
    <col min="16136" max="16136" width="11.42578125" style="17"/>
    <col min="16137" max="16137" width="13.28515625" style="17" bestFit="1" customWidth="1"/>
    <col min="16138" max="16384" width="11.42578125" style="17"/>
  </cols>
  <sheetData>
    <row r="1" spans="1:19" s="5" customFormat="1" ht="0.75" customHeight="1"/>
    <row r="2" spans="1:19" s="5" customFormat="1" ht="21" customHeight="1">
      <c r="E2" s="6"/>
      <c r="K2" s="103" t="s">
        <v>1</v>
      </c>
    </row>
    <row r="3" spans="1:19" s="5" customFormat="1" ht="15" customHeight="1">
      <c r="E3" s="24"/>
      <c r="F3" s="24"/>
      <c r="G3" s="24"/>
      <c r="H3" s="24"/>
      <c r="I3" s="24"/>
      <c r="J3" s="24"/>
      <c r="K3" s="104" t="str">
        <f>Indice!E3</f>
        <v>Noviembre 2020</v>
      </c>
    </row>
    <row r="4" spans="1:19" s="7" customFormat="1" ht="20.25" customHeight="1">
      <c r="B4" s="8"/>
      <c r="C4" s="102" t="s">
        <v>67</v>
      </c>
      <c r="L4" s="9"/>
    </row>
    <row r="5" spans="1:19" s="7" customFormat="1" ht="12.75" customHeight="1">
      <c r="B5" s="8"/>
      <c r="C5" s="10"/>
      <c r="L5" s="9"/>
    </row>
    <row r="6" spans="1:19" s="7" customFormat="1" ht="13.5" customHeight="1">
      <c r="B6" s="8"/>
      <c r="C6" s="11"/>
      <c r="D6" s="12"/>
      <c r="E6" s="12"/>
      <c r="L6" s="9"/>
    </row>
    <row r="7" spans="1:19" s="7" customFormat="1" ht="12.75" customHeight="1">
      <c r="B7" s="8"/>
      <c r="C7" s="324" t="s">
        <v>63</v>
      </c>
      <c r="D7" s="12"/>
      <c r="E7" s="13"/>
      <c r="F7" s="325" t="str">
        <f>K3</f>
        <v>Noviembre 2020</v>
      </c>
      <c r="G7" s="326"/>
      <c r="H7" s="327" t="s">
        <v>64</v>
      </c>
      <c r="I7" s="327"/>
      <c r="J7" s="327" t="s">
        <v>71</v>
      </c>
      <c r="K7" s="327"/>
      <c r="L7" s="9"/>
    </row>
    <row r="8" spans="1:19" ht="12.75" customHeight="1">
      <c r="A8" s="7"/>
      <c r="B8" s="8"/>
      <c r="C8" s="324"/>
      <c r="D8" s="12"/>
      <c r="E8" s="14"/>
      <c r="F8" s="15" t="s">
        <v>0</v>
      </c>
      <c r="G8" s="25" t="str">
        <f>CONCATENATE("% ",MID(YEAR(F7),3,2),"/",MID(YEAR(F7)-1,3,2))</f>
        <v>% 20/19</v>
      </c>
      <c r="H8" s="15" t="s">
        <v>0</v>
      </c>
      <c r="I8" s="25" t="str">
        <f>G8</f>
        <v>% 20/19</v>
      </c>
      <c r="J8" s="15" t="s">
        <v>0</v>
      </c>
      <c r="K8" s="25" t="str">
        <f>G8</f>
        <v>% 20/19</v>
      </c>
      <c r="L8" s="16"/>
    </row>
    <row r="9" spans="1:19">
      <c r="A9" s="7"/>
      <c r="B9" s="8"/>
      <c r="C9" s="18"/>
      <c r="D9" s="12"/>
      <c r="E9" s="90" t="s">
        <v>2</v>
      </c>
      <c r="F9" s="91">
        <f>VLOOKUP("Hidráulica",Dat_01!$A$8:$J$29,2,FALSE)/1000</f>
        <v>2481.4675999999999</v>
      </c>
      <c r="G9" s="92">
        <f>VLOOKUP("Hidráulica",Dat_01!$A$8:$J$29,4,FALSE)*100</f>
        <v>-6.8181207699999993</v>
      </c>
      <c r="H9" s="91">
        <f>VLOOKUP("Hidráulica",Dat_01!$A$8:$J$29,5,FALSE)/1000</f>
        <v>27422.869937601998</v>
      </c>
      <c r="I9" s="92">
        <f>VLOOKUP("Hidráulica",Dat_01!$A$8:$J$29,7,FALSE)*100</f>
        <v>36.59123245</v>
      </c>
      <c r="J9" s="91">
        <f>VLOOKUP("Hidráulica",Dat_01!$A$8:$J$29,8,FALSE)/1000</f>
        <v>32061.779664377998</v>
      </c>
      <c r="K9" s="92">
        <f>VLOOKUP("Hidráulica",Dat_01!$A$8:$J$29,10,FALSE)*100</f>
        <v>42.098765010000001</v>
      </c>
      <c r="L9" s="19"/>
      <c r="M9" s="187"/>
      <c r="N9" s="187"/>
      <c r="O9" s="188"/>
      <c r="P9" s="187"/>
      <c r="Q9" s="188"/>
      <c r="R9" s="187"/>
      <c r="S9" s="188"/>
    </row>
    <row r="10" spans="1:19">
      <c r="A10" s="7"/>
      <c r="B10" s="8"/>
      <c r="C10" s="18"/>
      <c r="D10" s="12"/>
      <c r="E10" s="90" t="s">
        <v>5</v>
      </c>
      <c r="F10" s="91">
        <f>VLOOKUP("Eólica",Dat_01!$A$8:$J$29,2,FALSE)/1000</f>
        <v>4149.5803999999998</v>
      </c>
      <c r="G10" s="92">
        <f>VLOOKUP("Eólica",Dat_01!$A$8:$J$29,4,FALSE)*100</f>
        <v>-43.412271029999999</v>
      </c>
      <c r="H10" s="91">
        <f>VLOOKUP("Eólica",Dat_01!$A$8:$J$29,5,FALSE)/1000</f>
        <v>46307.083272000003</v>
      </c>
      <c r="I10" s="92">
        <f>VLOOKUP("Eólica",Dat_01!$A$8:$J$29,7,FALSE)*100</f>
        <v>-2.90515488</v>
      </c>
      <c r="J10" s="91">
        <f>VLOOKUP("Eólica",Dat_01!$A$8:$J$29,8,FALSE)/1000</f>
        <v>51715.309797000002</v>
      </c>
      <c r="K10" s="92">
        <f>VLOOKUP("Eólica",Dat_01!$A$8:$J$29,10,FALSE)*100</f>
        <v>-0.56977906</v>
      </c>
      <c r="L10" s="19"/>
      <c r="M10" s="187"/>
      <c r="N10" s="187"/>
      <c r="O10" s="188"/>
      <c r="P10" s="187"/>
      <c r="Q10" s="188"/>
      <c r="R10" s="187"/>
      <c r="S10" s="188"/>
    </row>
    <row r="11" spans="1:19">
      <c r="A11" s="7"/>
      <c r="B11" s="8"/>
      <c r="C11" s="11"/>
      <c r="D11" s="12"/>
      <c r="E11" s="90" t="s">
        <v>6</v>
      </c>
      <c r="F11" s="91">
        <f>VLOOKUP("Solar fotovoltaica",Dat_01!$A$8:$J$29,2,FALSE)/1000</f>
        <v>789.42206363100001</v>
      </c>
      <c r="G11" s="92">
        <f>VLOOKUP("Solar fotovoltaica",Dat_01!$A$8:$J$29,4,FALSE)*100</f>
        <v>57.547377919999995</v>
      </c>
      <c r="H11" s="91">
        <f>VLOOKUP("Solar fotovoltaica",Dat_01!$A$8:$J$29,5,FALSE)/1000</f>
        <v>14161.893409631</v>
      </c>
      <c r="I11" s="92">
        <f>VLOOKUP("Solar fotovoltaica",Dat_01!$A$8:$J$29,7,FALSE)*100</f>
        <v>69.458894340000001</v>
      </c>
      <c r="J11" s="91">
        <f>VLOOKUP("Solar fotovoltaica",Dat_01!$A$8:$J$29,8,FALSE)/1000</f>
        <v>14656.740732631</v>
      </c>
      <c r="K11" s="92">
        <f>VLOOKUP("Solar fotovoltaica",Dat_01!$A$8:$J$29,10,FALSE)*100</f>
        <v>67.278908189999996</v>
      </c>
      <c r="L11" s="19"/>
      <c r="M11" s="187"/>
      <c r="N11" s="187"/>
      <c r="O11" s="188"/>
      <c r="P11" s="187"/>
      <c r="Q11" s="188"/>
      <c r="R11" s="187"/>
      <c r="S11" s="188"/>
    </row>
    <row r="12" spans="1:19">
      <c r="A12" s="7"/>
      <c r="B12" s="8"/>
      <c r="C12" s="11"/>
      <c r="D12" s="12"/>
      <c r="E12" s="90" t="s">
        <v>7</v>
      </c>
      <c r="F12" s="91">
        <f>VLOOKUP("Solar térmica",Dat_01!$A$8:$J$29,2,FALSE)/1000</f>
        <v>123.95233636899999</v>
      </c>
      <c r="G12" s="92">
        <f>VLOOKUP("Solar térmica",Dat_01!$A$8:$J$29,4,FALSE)*100</f>
        <v>77.14913851</v>
      </c>
      <c r="H12" s="91">
        <f>VLOOKUP("Solar térmica",Dat_01!$A$8:$J$29,5,FALSE)/1000</f>
        <v>4477.9895473689994</v>
      </c>
      <c r="I12" s="92">
        <f>VLOOKUP("Solar térmica",Dat_01!$A$8:$J$29,7,FALSE)*100</f>
        <v>-12.152410750000001</v>
      </c>
      <c r="J12" s="91">
        <f>VLOOKUP("Solar térmica",Dat_01!$A$8:$J$29,8,FALSE)/1000</f>
        <v>4546.9677223690005</v>
      </c>
      <c r="K12" s="92">
        <f>VLOOKUP("Solar térmica",Dat_01!$A$8:$J$29,10,FALSE)*100</f>
        <v>-12.676331709999999</v>
      </c>
      <c r="L12" s="19"/>
      <c r="M12" s="187"/>
      <c r="N12" s="187"/>
      <c r="O12" s="188"/>
      <c r="P12" s="187"/>
      <c r="Q12" s="188"/>
      <c r="R12" s="187"/>
      <c r="S12" s="188"/>
    </row>
    <row r="13" spans="1:19">
      <c r="A13" s="7"/>
      <c r="B13" s="8"/>
      <c r="C13" s="20"/>
      <c r="D13" s="12"/>
      <c r="E13" s="90" t="s">
        <v>571</v>
      </c>
      <c r="F13" s="91">
        <f>VLOOKUP("Otras renovables",Dat_01!$A$8:$J$29,2,FALSE)/1000</f>
        <v>406.75990000000002</v>
      </c>
      <c r="G13" s="92">
        <f>VLOOKUP("Otras renovables",Dat_01!$A$8:$J$29,4,FALSE)*100</f>
        <v>31.991894789999996</v>
      </c>
      <c r="H13" s="91">
        <f>VLOOKUP("Otras renovables",Dat_01!$A$8:$J$29,5,FALSE)/1000</f>
        <v>4055.7176129999998</v>
      </c>
      <c r="I13" s="92">
        <f>VLOOKUP("Otras renovables",Dat_01!$A$8:$J$29,7,FALSE)*100</f>
        <v>22.646598070000003</v>
      </c>
      <c r="J13" s="91">
        <f>VLOOKUP("Otras renovables",Dat_01!$A$8:$J$29,8,FALSE)/1000</f>
        <v>4355.6873609999993</v>
      </c>
      <c r="K13" s="92">
        <f>VLOOKUP("Otras renovables",Dat_01!$A$8:$J$29,10,FALSE)*100</f>
        <v>20.781684170000002</v>
      </c>
      <c r="L13" s="19"/>
      <c r="M13" s="187"/>
      <c r="N13" s="187"/>
      <c r="O13" s="188"/>
      <c r="P13" s="187"/>
      <c r="Q13" s="188"/>
      <c r="R13" s="187"/>
      <c r="S13" s="188"/>
    </row>
    <row r="14" spans="1:19" ht="12.75" customHeight="1">
      <c r="A14" s="7"/>
      <c r="B14" s="8"/>
      <c r="C14" s="11"/>
      <c r="D14" s="12"/>
      <c r="E14" s="90" t="s">
        <v>82</v>
      </c>
      <c r="F14" s="91">
        <f>VLOOKUP("Residuos renovables",Dat_01!$A$8:$J$29,2,FALSE)/1000</f>
        <v>67.192899999999995</v>
      </c>
      <c r="G14" s="92">
        <f>VLOOKUP("Residuos renovables",Dat_01!$A$8:$J$29,4,FALSE)*100</f>
        <v>11.709123790000001</v>
      </c>
      <c r="H14" s="91">
        <f>VLOOKUP("Residuos renovables",Dat_01!$A$8:$J$29,5,FALSE)/1000</f>
        <v>539.07713600000011</v>
      </c>
      <c r="I14" s="92">
        <f>VLOOKUP("Residuos renovables",Dat_01!$A$8:$J$29,7,FALSE)*100</f>
        <v>-19.972630280000001</v>
      </c>
      <c r="J14" s="91">
        <f>VLOOKUP("Residuos renovables",Dat_01!$A$8:$J$29,8,FALSE)/1000</f>
        <v>604.41466500000001</v>
      </c>
      <c r="K14" s="92">
        <f>VLOOKUP("Residuos renovables",Dat_01!$A$8:$J$29,10,FALSE)*100</f>
        <v>-18.709987119999997</v>
      </c>
      <c r="L14" s="19"/>
      <c r="M14" s="187"/>
      <c r="N14" s="187"/>
      <c r="O14" s="188"/>
      <c r="P14" s="187"/>
      <c r="Q14" s="188"/>
      <c r="R14" s="187"/>
      <c r="S14" s="188"/>
    </row>
    <row r="15" spans="1:19" ht="12.75" customHeight="1">
      <c r="A15" s="7"/>
      <c r="B15" s="8"/>
      <c r="C15" s="11"/>
      <c r="D15" s="12"/>
      <c r="E15" s="93" t="s">
        <v>569</v>
      </c>
      <c r="F15" s="94">
        <f>SUM(F9:F14)</f>
        <v>8018.3751999999995</v>
      </c>
      <c r="G15" s="95">
        <f>((SUM(Dat_01!B8,Dat_01!B14:B17,Dat_01!B19)/SUM(Dat_01!C8,Dat_01!C14:C17,Dat_01!C19))-1)*100</f>
        <v>-26.67506991448726</v>
      </c>
      <c r="H15" s="94">
        <f>SUM(H9:H14)</f>
        <v>96964.630915602</v>
      </c>
      <c r="I15" s="95">
        <f>((SUM(Dat_01!E8,Dat_01!E14:E17,Dat_01!E19)/SUM(Dat_01!F8,Dat_01!F14:F17,Dat_01!F19))-1)*100</f>
        <v>13.8025734421936</v>
      </c>
      <c r="J15" s="94">
        <f>SUM(J9:J14)</f>
        <v>107940.899942378</v>
      </c>
      <c r="K15" s="95">
        <f>((SUM(Dat_01!H8,Dat_01!H14:H17,Dat_01!H19)/SUM(Dat_01!I8,Dat_01!I14:I17,Dat_01!I19))-1)*100</f>
        <v>16.1987384020434</v>
      </c>
      <c r="L15" s="19"/>
      <c r="M15" s="187"/>
      <c r="N15" s="187"/>
      <c r="O15" s="188"/>
      <c r="P15" s="187"/>
      <c r="Q15" s="188"/>
      <c r="R15" s="187"/>
      <c r="S15" s="188"/>
    </row>
    <row r="16" spans="1:19">
      <c r="A16" s="7"/>
      <c r="B16" s="8"/>
      <c r="C16" s="11"/>
      <c r="D16" s="12"/>
      <c r="E16" s="90" t="s">
        <v>573</v>
      </c>
      <c r="F16" s="91">
        <f>VLOOKUP("Turbinación bombeo",Dat_01!$A$8:$J$29,2,FALSE)/1000</f>
        <v>198.0479</v>
      </c>
      <c r="G16" s="92">
        <f>VLOOKUP("Turbinación bombeo",Dat_01!$A$8:$J$29,4,FALSE)*100</f>
        <v>15.072975229999999</v>
      </c>
      <c r="H16" s="91">
        <f>VLOOKUP("Turbinación bombeo",Dat_01!$A$8:$J$29,5,FALSE)/1000</f>
        <v>2419.2256696979998</v>
      </c>
      <c r="I16" s="92">
        <f>VLOOKUP("Turbinación bombeo",Dat_01!$A$8:$J$29,7,FALSE)*100</f>
        <v>82.78138955</v>
      </c>
      <c r="J16" s="91">
        <f>VLOOKUP("Turbinación bombeo",Dat_01!$A$8:$J$29,8,FALSE)/1000</f>
        <v>2741.1683679719999</v>
      </c>
      <c r="K16" s="92">
        <f>VLOOKUP("Turbinación bombeo",Dat_01!$A$8:$J$29,10,FALSE)*100</f>
        <v>88.261767040000009</v>
      </c>
      <c r="L16" s="19"/>
      <c r="M16" s="187"/>
      <c r="N16" s="187"/>
      <c r="O16" s="188"/>
      <c r="P16" s="187"/>
      <c r="Q16" s="188"/>
      <c r="R16" s="187"/>
      <c r="S16" s="188"/>
    </row>
    <row r="17" spans="1:19">
      <c r="A17" s="7"/>
      <c r="B17" s="8"/>
      <c r="C17" s="11"/>
      <c r="D17" s="12"/>
      <c r="E17" s="90" t="s">
        <v>3</v>
      </c>
      <c r="F17" s="91">
        <f>VLOOKUP("Nuclear",Dat_01!$A$8:$J$29,2,FALSE)/1000</f>
        <v>4654.2524999999996</v>
      </c>
      <c r="G17" s="92">
        <f>VLOOKUP("Nuclear",Dat_01!$A$8:$J$29,4,FALSE)*100</f>
        <v>35.79042433</v>
      </c>
      <c r="H17" s="91">
        <f>VLOOKUP("Nuclear",Dat_01!$A$8:$J$29,5,FALSE)/1000</f>
        <v>50500.526201000001</v>
      </c>
      <c r="I17" s="92">
        <f>VLOOKUP("Nuclear",Dat_01!$A$8:$J$29,7,FALSE)*100</f>
        <v>-1.8918366400000002</v>
      </c>
      <c r="J17" s="91">
        <f>VLOOKUP("Nuclear",Dat_01!$A$8:$J$29,8,FALSE)/1000</f>
        <v>54850.416413999999</v>
      </c>
      <c r="K17" s="92">
        <f>VLOOKUP("Nuclear",Dat_01!$A$8:$J$29,10,FALSE)*100</f>
        <v>-1.63318311</v>
      </c>
      <c r="L17" s="19"/>
      <c r="M17" s="187"/>
      <c r="N17" s="187"/>
      <c r="O17" s="188"/>
      <c r="P17" s="187"/>
      <c r="Q17" s="188"/>
      <c r="R17" s="187"/>
      <c r="S17" s="188"/>
    </row>
    <row r="18" spans="1:19">
      <c r="A18" s="7"/>
      <c r="B18" s="8"/>
      <c r="C18" s="11"/>
      <c r="D18" s="12"/>
      <c r="E18" s="90" t="s">
        <v>575</v>
      </c>
      <c r="F18" s="91">
        <f>VLOOKUP("Ciclo combinado",Dat_01!$A$8:$J$29,2,FALSE)/1000</f>
        <v>3232.4526000000001</v>
      </c>
      <c r="G18" s="92">
        <f>VLOOKUP("Ciclo combinado",Dat_01!$A$8:$J$29,4,FALSE)*100</f>
        <v>-16.268270279999999</v>
      </c>
      <c r="H18" s="91">
        <f>VLOOKUP("Ciclo combinado",Dat_01!$A$8:$J$29,5,FALSE)/1000</f>
        <v>35804.240467000003</v>
      </c>
      <c r="I18" s="92">
        <f>VLOOKUP("Ciclo combinado",Dat_01!$A$8:$J$29,7,FALSE)*100</f>
        <v>-26.005541650000001</v>
      </c>
      <c r="J18" s="91">
        <f>VLOOKUP("Ciclo combinado",Dat_01!$A$8:$J$29,8,FALSE)/1000</f>
        <v>38559.763723999997</v>
      </c>
      <c r="K18" s="92">
        <f>VLOOKUP("Ciclo combinado",Dat_01!$A$8:$J$29,10,FALSE)*100</f>
        <v>-24.811938480000002</v>
      </c>
      <c r="L18" s="19"/>
      <c r="M18" s="187"/>
      <c r="N18" s="187"/>
      <c r="O18" s="188"/>
      <c r="P18" s="187"/>
      <c r="Q18" s="188"/>
      <c r="R18" s="187"/>
      <c r="S18" s="188"/>
    </row>
    <row r="19" spans="1:19">
      <c r="A19" s="7"/>
      <c r="B19" s="8"/>
      <c r="C19" s="11"/>
      <c r="D19" s="12"/>
      <c r="E19" s="90" t="s">
        <v>4</v>
      </c>
      <c r="F19" s="91">
        <f>VLOOKUP("Carbón",Dat_01!$A$8:$J$29,2,FALSE)/1000</f>
        <v>340.17090000000002</v>
      </c>
      <c r="G19" s="92">
        <f>VLOOKUP("Carbón",Dat_01!$A$8:$J$29,4,FALSE)*100</f>
        <v>-37.940206589999995</v>
      </c>
      <c r="H19" s="91">
        <f>VLOOKUP("Carbón",Dat_01!$A$8:$J$29,5,FALSE)/1000</f>
        <v>4582.0158619999993</v>
      </c>
      <c r="I19" s="92">
        <f>VLOOKUP("Carbón",Dat_01!$A$8:$J$29,7,FALSE)*100</f>
        <v>-55.499640149999998</v>
      </c>
      <c r="J19" s="91">
        <f>VLOOKUP("Carbón",Dat_01!$A$8:$J$29,8,FALSE)/1000</f>
        <v>4956.1319709999998</v>
      </c>
      <c r="K19" s="92">
        <f>VLOOKUP("Carbón",Dat_01!$A$8:$J$29,10,FALSE)*100</f>
        <v>-62.287243780000004</v>
      </c>
      <c r="L19" s="19"/>
      <c r="M19" s="187"/>
      <c r="N19" s="187"/>
      <c r="O19" s="188"/>
      <c r="P19" s="187"/>
      <c r="Q19" s="188"/>
      <c r="R19" s="187"/>
      <c r="S19" s="188"/>
    </row>
    <row r="20" spans="1:19">
      <c r="A20" s="7"/>
      <c r="B20" s="8"/>
      <c r="C20" s="166">
        <f>ABS(F14)</f>
        <v>67.192899999999995</v>
      </c>
      <c r="D20" s="12"/>
      <c r="E20" s="90" t="s">
        <v>9</v>
      </c>
      <c r="F20" s="91">
        <f>VLOOKUP("Cogeneración",Dat_01!$A$8:$J$29,2,FALSE)/1000</f>
        <v>2400.6185</v>
      </c>
      <c r="G20" s="92">
        <f>VLOOKUP("Cogeneración",Dat_01!$A$8:$J$29,4,FALSE)*100</f>
        <v>-2.72827552</v>
      </c>
      <c r="H20" s="91">
        <f>VLOOKUP("Cogeneración",Dat_01!$A$8:$J$29,5,FALSE)/1000</f>
        <v>24734.11637</v>
      </c>
      <c r="I20" s="92">
        <f>VLOOKUP("Cogeneración",Dat_01!$A$8:$J$29,7,FALSE)*100</f>
        <v>-9.19383455</v>
      </c>
      <c r="J20" s="91">
        <f>VLOOKUP("Cogeneración",Dat_01!$A$8:$J$29,8,FALSE)/1000</f>
        <v>27076.461206</v>
      </c>
      <c r="K20" s="92">
        <f>VLOOKUP("Cogeneración",Dat_01!$A$8:$J$29,10,FALSE)*100</f>
        <v>-9.0426599100000011</v>
      </c>
      <c r="L20" s="19"/>
      <c r="M20" s="187"/>
      <c r="N20" s="187"/>
      <c r="O20" s="188"/>
      <c r="P20" s="187"/>
      <c r="Q20" s="188"/>
      <c r="R20" s="187"/>
      <c r="S20" s="188"/>
    </row>
    <row r="21" spans="1:19">
      <c r="A21" s="7"/>
      <c r="B21" s="8"/>
      <c r="C21" s="11"/>
      <c r="D21" s="12"/>
      <c r="E21" s="90" t="s">
        <v>70</v>
      </c>
      <c r="F21" s="91">
        <f>VLOOKUP("Residuos no renovables",Dat_01!$A$8:$J$29,2,FALSE)/1000</f>
        <v>178.09399999999999</v>
      </c>
      <c r="G21" s="92">
        <f>VLOOKUP("Residuos no renovables",Dat_01!$A$8:$J$29,4,FALSE)*100</f>
        <v>23.177364449999999</v>
      </c>
      <c r="H21" s="91">
        <f>VLOOKUP("Residuos no renovables",Dat_01!$A$8:$J$29,5,FALSE)/1000</f>
        <v>1712.824797</v>
      </c>
      <c r="I21" s="92">
        <f>VLOOKUP("Residuos no renovables",Dat_01!$A$8:$J$29,7,FALSE)*100</f>
        <v>-10.35196721</v>
      </c>
      <c r="J21" s="91">
        <f>VLOOKUP("Residuos no renovables",Dat_01!$A$8:$J$29,8,FALSE)/1000</f>
        <v>1873.8172669999999</v>
      </c>
      <c r="K21" s="92">
        <f>VLOOKUP("Residuos no renovables",Dat_01!$A$8:$J$29,10,FALSE)*100</f>
        <v>-10.828839029999999</v>
      </c>
      <c r="L21" s="19"/>
      <c r="M21" s="187"/>
      <c r="N21" s="187"/>
      <c r="O21" s="188"/>
      <c r="P21" s="187"/>
      <c r="Q21" s="188"/>
      <c r="R21" s="187"/>
      <c r="S21" s="188"/>
    </row>
    <row r="22" spans="1:19">
      <c r="A22" s="7"/>
      <c r="B22" s="8"/>
      <c r="C22" s="11"/>
      <c r="D22" s="12"/>
      <c r="E22" s="93" t="s">
        <v>570</v>
      </c>
      <c r="F22" s="94">
        <f>SUM(F16:F21)</f>
        <v>11003.636399999998</v>
      </c>
      <c r="G22" s="95">
        <f>((SUM(Dat_01!B9:B13,Dat_01!B18,Dat_01!B20)/SUM(Dat_01!C9:C13,Dat_01!C18,Dat_01!C20))-1)*100</f>
        <v>3.6047059070526855</v>
      </c>
      <c r="H22" s="94">
        <f>SUM(H16:H21)</f>
        <v>119752.949366698</v>
      </c>
      <c r="I22" s="95">
        <f>((SUM(Dat_01!E9:E13,Dat_01!E18,Dat_01!E20)/SUM(Dat_01!F9:F13,Dat_01!F18,Dat_01!F20))-1)*100</f>
        <v>-14.846095521083013</v>
      </c>
      <c r="J22" s="94">
        <f>SUM(J16:J21)</f>
        <v>130057.75894997199</v>
      </c>
      <c r="K22" s="95">
        <f>((SUM(Dat_01!H9:H13,Dat_01!H18,Dat_01!H20)/SUM(Dat_01!I9:I13,Dat_01!I18,Dat_01!I20))-1)*100</f>
        <v>-15.279011483578685</v>
      </c>
      <c r="L22" s="19"/>
      <c r="M22" s="187"/>
      <c r="N22" s="187"/>
      <c r="O22" s="188"/>
      <c r="P22" s="187"/>
      <c r="Q22" s="188"/>
      <c r="R22" s="187"/>
      <c r="S22" s="188"/>
    </row>
    <row r="23" spans="1:19">
      <c r="A23" s="7"/>
      <c r="B23" s="8"/>
      <c r="C23" s="11"/>
      <c r="D23" s="12"/>
      <c r="E23" s="96" t="s">
        <v>12</v>
      </c>
      <c r="F23" s="91">
        <f>VLOOKUP("Consumo de bombeo",Dat_01!$A$8:$J$29,2,FALSE)/1000</f>
        <v>-293.66879999999998</v>
      </c>
      <c r="G23" s="92">
        <f>VLOOKUP("Consumo de bombeo",Dat_01!$A$8:$J$29,4,FALSE)*100</f>
        <v>-16.13571512</v>
      </c>
      <c r="H23" s="91">
        <f>VLOOKUP("Consumo de bombeo",Dat_01!$A$8:$J$29,5,FALSE)/1000</f>
        <v>-4142.0168831250003</v>
      </c>
      <c r="I23" s="92">
        <f>VLOOKUP("Consumo de bombeo",Dat_01!$A$8:$J$29,7,FALSE)*100</f>
        <v>78.212349219999993</v>
      </c>
      <c r="J23" s="91">
        <f>VLOOKUP("Consumo de bombeo",Dat_01!$A$8:$J$29,8,FALSE)/1000</f>
        <v>-4845.124441125</v>
      </c>
      <c r="K23" s="92">
        <f>VLOOKUP("Consumo de bombeo",Dat_01!$A$8:$J$29,10,FALSE)*100</f>
        <v>90.207947239999996</v>
      </c>
      <c r="L23" s="19"/>
      <c r="M23" s="187"/>
      <c r="N23" s="187"/>
      <c r="O23" s="188"/>
      <c r="P23" s="187"/>
      <c r="Q23" s="188"/>
      <c r="R23" s="187"/>
      <c r="S23" s="188"/>
    </row>
    <row r="24" spans="1:19">
      <c r="A24" s="7"/>
      <c r="B24" s="8"/>
      <c r="C24" s="11"/>
      <c r="D24" s="12"/>
      <c r="E24" s="96" t="s">
        <v>75</v>
      </c>
      <c r="F24" s="91">
        <f>VLOOKUP("Enlace Península-Baleares",Dat_01!$A$8:$J$29,2,FALSE)/1000</f>
        <v>-96.525000000000006</v>
      </c>
      <c r="G24" s="92">
        <f>VLOOKUP("Enlace Península-Baleares",Dat_01!$A$8:$J$29,4,FALSE)*100</f>
        <v>5.6108792599999999</v>
      </c>
      <c r="H24" s="91">
        <f>VLOOKUP("Enlace Península-Baleares",Dat_01!$A$8:$J$29,5,FALSE)/1000</f>
        <v>-1288.4733060000001</v>
      </c>
      <c r="I24" s="92">
        <f>VLOOKUP("Enlace Península-Baleares",Dat_01!$A$8:$J$29,7,FALSE)*100</f>
        <v>-18.20392081</v>
      </c>
      <c r="J24" s="91">
        <f>VLOOKUP("Enlace Península-Baleares",Dat_01!$A$8:$J$29,8,FALSE)/1000</f>
        <v>-1408.0875840000001</v>
      </c>
      <c r="K24" s="92">
        <f>VLOOKUP("Enlace Península-Baleares",Dat_01!$A$8:$J$29,10,FALSE)*100</f>
        <v>-16.572687630000001</v>
      </c>
      <c r="L24" s="19"/>
      <c r="M24" s="187"/>
      <c r="N24" s="187"/>
      <c r="O24" s="188"/>
      <c r="P24" s="187"/>
      <c r="Q24" s="188"/>
      <c r="R24" s="187"/>
      <c r="S24" s="188"/>
    </row>
    <row r="25" spans="1:19" ht="12.75" customHeight="1">
      <c r="E25" s="96" t="s">
        <v>76</v>
      </c>
      <c r="F25" s="97">
        <f>VLOOKUP("Saldos intercambios internacionales",Dat_01!$A$8:$J$29,2,FALSE)/1000</f>
        <v>1106.4423000000002</v>
      </c>
      <c r="G25" s="98" t="s">
        <v>18</v>
      </c>
      <c r="H25" s="97">
        <f>VLOOKUP("Saldos intercambios internacionales",Dat_01!$A$8:$J$29,5,FALSE)/1000</f>
        <v>4095.410946</v>
      </c>
      <c r="I25" s="98">
        <f>VLOOKUP("Saldos intercambios internacionales",Dat_01!$A$8:$J$29,7,FALSE)*100</f>
        <v>-36.144077520000003</v>
      </c>
      <c r="J25" s="97">
        <f>VLOOKUP("Saldos intercambios internacionales",Dat_01!$A$8:$J$29,8,FALSE)/1000</f>
        <v>4544.2182079999993</v>
      </c>
      <c r="K25" s="98">
        <f>VLOOKUP("Saldos intercambios internacionales",Dat_01!$A$8:$J$29,10,FALSE)*100</f>
        <v>-38.196637030000005</v>
      </c>
      <c r="L25" s="19"/>
      <c r="M25" s="187"/>
      <c r="N25" s="187"/>
      <c r="O25" s="188"/>
      <c r="P25" s="187"/>
      <c r="Q25" s="188"/>
      <c r="R25" s="187"/>
      <c r="S25" s="188"/>
    </row>
    <row r="26" spans="1:19" ht="16.149999999999999" customHeight="1">
      <c r="E26" s="99" t="s">
        <v>13</v>
      </c>
      <c r="F26" s="100">
        <f>VLOOKUP("Demanda transporte (b.c.)",Dat_01!$A$8:$J$29,2,FALSE)/1000</f>
        <v>19738.260100000003</v>
      </c>
      <c r="G26" s="101">
        <f>VLOOKUP("Demanda transporte (b.c.)",Dat_01!$A$8:$J$29,4,FALSE)*100</f>
        <v>-5.1830460799999996</v>
      </c>
      <c r="H26" s="100">
        <f>VLOOKUP("Demanda transporte (b.c.)",Dat_01!$A$8:$J$29,5,FALSE)/1000</f>
        <v>215382.501039175</v>
      </c>
      <c r="I26" s="101">
        <f>VLOOKUP("Demanda transporte (b.c.)",Dat_01!$A$8:$J$29,7,FALSE)*100</f>
        <v>-5.67858806</v>
      </c>
      <c r="J26" s="100">
        <f>VLOOKUP("Demanda transporte (b.c.)",Dat_01!$A$8:$J$29,8,FALSE)/1000</f>
        <v>236289.665075225</v>
      </c>
      <c r="K26" s="101">
        <f>VLOOKUP("Demanda transporte (b.c.)",Dat_01!$A$8:$J$29,10,FALSE)*100</f>
        <v>-5.3038349999999994</v>
      </c>
      <c r="L26" s="19"/>
    </row>
    <row r="27" spans="1:19" ht="16.350000000000001" customHeight="1">
      <c r="E27" s="320" t="s">
        <v>83</v>
      </c>
      <c r="F27" s="321"/>
      <c r="G27" s="321"/>
      <c r="H27" s="321"/>
      <c r="I27" s="321"/>
      <c r="J27" s="321"/>
      <c r="K27" s="321"/>
      <c r="L27" s="16"/>
      <c r="M27" s="318"/>
      <c r="N27" s="318"/>
      <c r="O27" s="318"/>
      <c r="P27" s="318"/>
      <c r="Q27" s="318"/>
      <c r="R27" s="318"/>
      <c r="S27" s="318"/>
    </row>
    <row r="28" spans="1:19" ht="34.5" customHeight="1">
      <c r="E28" s="322" t="s">
        <v>610</v>
      </c>
      <c r="F28" s="323"/>
      <c r="G28" s="323"/>
      <c r="H28" s="323"/>
      <c r="I28" s="323"/>
      <c r="J28" s="323"/>
      <c r="K28" s="323"/>
      <c r="L28" s="16"/>
      <c r="M28" s="310"/>
      <c r="N28" s="310"/>
      <c r="O28" s="310"/>
      <c r="P28" s="310"/>
      <c r="Q28" s="310"/>
      <c r="R28" s="310"/>
      <c r="S28" s="310"/>
    </row>
    <row r="29" spans="1:19" ht="12.75" customHeight="1">
      <c r="E29" s="318" t="s">
        <v>54</v>
      </c>
      <c r="F29" s="318"/>
      <c r="G29" s="318"/>
      <c r="H29" s="318"/>
      <c r="I29" s="318"/>
      <c r="J29" s="318"/>
      <c r="K29" s="318"/>
      <c r="L29" s="16"/>
    </row>
    <row r="30" spans="1:19" ht="12.75" customHeight="1">
      <c r="E30" s="318" t="s">
        <v>72</v>
      </c>
      <c r="F30" s="318"/>
      <c r="G30" s="318"/>
      <c r="H30" s="318"/>
      <c r="I30" s="318"/>
      <c r="J30" s="318"/>
      <c r="K30" s="318"/>
      <c r="L30" s="16"/>
    </row>
    <row r="31" spans="1:19" ht="12.75" customHeight="1">
      <c r="E31" s="318" t="s">
        <v>572</v>
      </c>
      <c r="F31" s="318"/>
      <c r="G31" s="318"/>
      <c r="H31" s="318"/>
      <c r="I31" s="318"/>
      <c r="J31" s="318"/>
      <c r="K31" s="318"/>
      <c r="L31" s="16"/>
    </row>
    <row r="32" spans="1:19" ht="12.75" customHeight="1">
      <c r="E32" s="319" t="s">
        <v>574</v>
      </c>
      <c r="F32" s="319"/>
      <c r="G32" s="319"/>
      <c r="H32" s="319"/>
      <c r="I32" s="319"/>
      <c r="J32" s="319"/>
      <c r="K32" s="319"/>
      <c r="L32" s="16"/>
    </row>
    <row r="33" spans="5:12" ht="12.75" customHeight="1">
      <c r="E33" s="318" t="s">
        <v>576</v>
      </c>
      <c r="F33" s="318"/>
      <c r="G33" s="318"/>
      <c r="H33" s="318"/>
      <c r="I33" s="318"/>
      <c r="J33" s="318"/>
      <c r="K33" s="318"/>
      <c r="L33" s="16"/>
    </row>
    <row r="34" spans="5:12" ht="15" customHeight="1">
      <c r="E34" s="319" t="s">
        <v>74</v>
      </c>
      <c r="F34" s="319"/>
      <c r="G34" s="319"/>
      <c r="H34" s="319"/>
      <c r="I34" s="319"/>
      <c r="J34" s="319"/>
      <c r="K34" s="319"/>
    </row>
    <row r="35" spans="5:12" ht="24" customHeight="1">
      <c r="E35" s="319" t="s">
        <v>79</v>
      </c>
      <c r="F35" s="319"/>
      <c r="G35" s="319"/>
      <c r="H35" s="319"/>
      <c r="I35" s="319"/>
      <c r="J35" s="319"/>
      <c r="K35" s="319"/>
    </row>
    <row r="36" spans="5:12">
      <c r="F36" s="281"/>
      <c r="G36" s="281"/>
      <c r="H36" s="281"/>
      <c r="I36" s="281"/>
      <c r="J36" s="281"/>
      <c r="K36" s="281"/>
    </row>
    <row r="37" spans="5:12">
      <c r="E37" s="21"/>
      <c r="F37" s="21"/>
    </row>
    <row r="38" spans="5:12">
      <c r="E38" s="21"/>
      <c r="F38" s="21"/>
    </row>
    <row r="39" spans="5:12">
      <c r="E39" s="21"/>
      <c r="F39" s="21"/>
    </row>
    <row r="40" spans="5:12">
      <c r="F40" s="21"/>
    </row>
    <row r="41" spans="5:12">
      <c r="E41" s="21"/>
      <c r="F41" s="23"/>
    </row>
    <row r="42" spans="5:12">
      <c r="E42" s="21"/>
      <c r="F42" s="21"/>
    </row>
    <row r="43" spans="5:12">
      <c r="E43" s="21"/>
      <c r="F43" s="21"/>
    </row>
    <row r="44" spans="5:12">
      <c r="E44" s="21"/>
      <c r="F44" s="21"/>
    </row>
    <row r="45" spans="5:12">
      <c r="E45" s="21"/>
      <c r="F45" s="21"/>
    </row>
    <row r="46" spans="5:12">
      <c r="E46" s="21"/>
      <c r="F46" s="21"/>
    </row>
    <row r="47" spans="5:12">
      <c r="E47" s="21"/>
      <c r="F47" s="21"/>
    </row>
    <row r="48" spans="5:12">
      <c r="E48" s="21"/>
      <c r="F48" s="21"/>
    </row>
    <row r="50" spans="1:19" s="22" customFormat="1">
      <c r="A50" s="5"/>
      <c r="B50" s="5"/>
      <c r="C50" s="5"/>
      <c r="D50" s="5"/>
      <c r="E50" s="17"/>
      <c r="F50" s="17"/>
      <c r="G50" s="17"/>
      <c r="I50" s="17"/>
      <c r="K50" s="17"/>
      <c r="L50" s="17"/>
      <c r="M50" s="17"/>
      <c r="N50" s="17"/>
      <c r="O50" s="17"/>
      <c r="P50" s="17"/>
      <c r="Q50" s="17"/>
      <c r="R50" s="17"/>
      <c r="S50" s="17"/>
    </row>
  </sheetData>
  <mergeCells count="14">
    <mergeCell ref="C7:C8"/>
    <mergeCell ref="F7:G7"/>
    <mergeCell ref="H7:I7"/>
    <mergeCell ref="J7:K7"/>
    <mergeCell ref="E35:K35"/>
    <mergeCell ref="M27:S27"/>
    <mergeCell ref="E34:K34"/>
    <mergeCell ref="E29:K29"/>
    <mergeCell ref="E30:K30"/>
    <mergeCell ref="E31:K31"/>
    <mergeCell ref="E32:K32"/>
    <mergeCell ref="E27:K27"/>
    <mergeCell ref="E33:K33"/>
    <mergeCell ref="E28:K2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I15 G22 I22 G15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H40"/>
  <sheetViews>
    <sheetView showGridLines="0" showRowColHeaders="0" zoomScaleNormal="100" workbookViewId="0">
      <selection activeCell="C7" sqref="C7:C8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7" width="11.42578125" style="36"/>
    <col min="8" max="8" width="15.5703125" style="36" customWidth="1"/>
    <col min="9" max="252" width="11.42578125" style="36"/>
    <col min="253" max="253" width="0.140625" style="36" customWidth="1"/>
    <col min="254" max="254" width="2.7109375" style="36" customWidth="1"/>
    <col min="255" max="255" width="18.5703125" style="36" customWidth="1"/>
    <col min="256" max="256" width="1.28515625" style="36" customWidth="1"/>
    <col min="257" max="257" width="58.85546875" style="36" customWidth="1"/>
    <col min="258" max="259" width="11.42578125" style="36"/>
    <col min="260" max="260" width="2.140625" style="36" customWidth="1"/>
    <col min="261" max="261" width="11.42578125" style="36"/>
    <col min="262" max="262" width="9.5703125" style="36" customWidth="1"/>
    <col min="263" max="508" width="11.42578125" style="36"/>
    <col min="509" max="509" width="0.140625" style="36" customWidth="1"/>
    <col min="510" max="510" width="2.7109375" style="36" customWidth="1"/>
    <col min="511" max="511" width="18.5703125" style="36" customWidth="1"/>
    <col min="512" max="512" width="1.28515625" style="36" customWidth="1"/>
    <col min="513" max="513" width="58.85546875" style="36" customWidth="1"/>
    <col min="514" max="515" width="11.42578125" style="36"/>
    <col min="516" max="516" width="2.140625" style="36" customWidth="1"/>
    <col min="517" max="517" width="11.42578125" style="36"/>
    <col min="518" max="518" width="9.5703125" style="36" customWidth="1"/>
    <col min="519" max="764" width="11.42578125" style="36"/>
    <col min="765" max="765" width="0.140625" style="36" customWidth="1"/>
    <col min="766" max="766" width="2.7109375" style="36" customWidth="1"/>
    <col min="767" max="767" width="18.5703125" style="36" customWidth="1"/>
    <col min="768" max="768" width="1.28515625" style="36" customWidth="1"/>
    <col min="769" max="769" width="58.85546875" style="36" customWidth="1"/>
    <col min="770" max="771" width="11.42578125" style="36"/>
    <col min="772" max="772" width="2.140625" style="36" customWidth="1"/>
    <col min="773" max="773" width="11.42578125" style="36"/>
    <col min="774" max="774" width="9.5703125" style="36" customWidth="1"/>
    <col min="775" max="1020" width="11.42578125" style="36"/>
    <col min="1021" max="1021" width="0.140625" style="36" customWidth="1"/>
    <col min="1022" max="1022" width="2.7109375" style="36" customWidth="1"/>
    <col min="1023" max="1023" width="18.5703125" style="36" customWidth="1"/>
    <col min="1024" max="1024" width="1.28515625" style="36" customWidth="1"/>
    <col min="1025" max="1025" width="58.85546875" style="36" customWidth="1"/>
    <col min="1026" max="1027" width="11.42578125" style="36"/>
    <col min="1028" max="1028" width="2.140625" style="36" customWidth="1"/>
    <col min="1029" max="1029" width="11.42578125" style="36"/>
    <col min="1030" max="1030" width="9.5703125" style="36" customWidth="1"/>
    <col min="1031" max="1276" width="11.42578125" style="36"/>
    <col min="1277" max="1277" width="0.140625" style="36" customWidth="1"/>
    <col min="1278" max="1278" width="2.7109375" style="36" customWidth="1"/>
    <col min="1279" max="1279" width="18.5703125" style="36" customWidth="1"/>
    <col min="1280" max="1280" width="1.28515625" style="36" customWidth="1"/>
    <col min="1281" max="1281" width="58.85546875" style="36" customWidth="1"/>
    <col min="1282" max="1283" width="11.42578125" style="36"/>
    <col min="1284" max="1284" width="2.140625" style="36" customWidth="1"/>
    <col min="1285" max="1285" width="11.42578125" style="36"/>
    <col min="1286" max="1286" width="9.5703125" style="36" customWidth="1"/>
    <col min="1287" max="1532" width="11.42578125" style="36"/>
    <col min="1533" max="1533" width="0.140625" style="36" customWidth="1"/>
    <col min="1534" max="1534" width="2.7109375" style="36" customWidth="1"/>
    <col min="1535" max="1535" width="18.5703125" style="36" customWidth="1"/>
    <col min="1536" max="1536" width="1.28515625" style="36" customWidth="1"/>
    <col min="1537" max="1537" width="58.85546875" style="36" customWidth="1"/>
    <col min="1538" max="1539" width="11.42578125" style="36"/>
    <col min="1540" max="1540" width="2.140625" style="36" customWidth="1"/>
    <col min="1541" max="1541" width="11.42578125" style="36"/>
    <col min="1542" max="1542" width="9.5703125" style="36" customWidth="1"/>
    <col min="1543" max="1788" width="11.42578125" style="36"/>
    <col min="1789" max="1789" width="0.140625" style="36" customWidth="1"/>
    <col min="1790" max="1790" width="2.7109375" style="36" customWidth="1"/>
    <col min="1791" max="1791" width="18.5703125" style="36" customWidth="1"/>
    <col min="1792" max="1792" width="1.28515625" style="36" customWidth="1"/>
    <col min="1793" max="1793" width="58.85546875" style="36" customWidth="1"/>
    <col min="1794" max="1795" width="11.42578125" style="36"/>
    <col min="1796" max="1796" width="2.140625" style="36" customWidth="1"/>
    <col min="1797" max="1797" width="11.42578125" style="36"/>
    <col min="1798" max="1798" width="9.5703125" style="36" customWidth="1"/>
    <col min="1799" max="2044" width="11.42578125" style="36"/>
    <col min="2045" max="2045" width="0.140625" style="36" customWidth="1"/>
    <col min="2046" max="2046" width="2.7109375" style="36" customWidth="1"/>
    <col min="2047" max="2047" width="18.5703125" style="36" customWidth="1"/>
    <col min="2048" max="2048" width="1.28515625" style="36" customWidth="1"/>
    <col min="2049" max="2049" width="58.85546875" style="36" customWidth="1"/>
    <col min="2050" max="2051" width="11.42578125" style="36"/>
    <col min="2052" max="2052" width="2.140625" style="36" customWidth="1"/>
    <col min="2053" max="2053" width="11.42578125" style="36"/>
    <col min="2054" max="2054" width="9.5703125" style="36" customWidth="1"/>
    <col min="2055" max="2300" width="11.42578125" style="36"/>
    <col min="2301" max="2301" width="0.140625" style="36" customWidth="1"/>
    <col min="2302" max="2302" width="2.7109375" style="36" customWidth="1"/>
    <col min="2303" max="2303" width="18.5703125" style="36" customWidth="1"/>
    <col min="2304" max="2304" width="1.28515625" style="36" customWidth="1"/>
    <col min="2305" max="2305" width="58.85546875" style="36" customWidth="1"/>
    <col min="2306" max="2307" width="11.42578125" style="36"/>
    <col min="2308" max="2308" width="2.140625" style="36" customWidth="1"/>
    <col min="2309" max="2309" width="11.42578125" style="36"/>
    <col min="2310" max="2310" width="9.5703125" style="36" customWidth="1"/>
    <col min="2311" max="2556" width="11.42578125" style="36"/>
    <col min="2557" max="2557" width="0.140625" style="36" customWidth="1"/>
    <col min="2558" max="2558" width="2.7109375" style="36" customWidth="1"/>
    <col min="2559" max="2559" width="18.5703125" style="36" customWidth="1"/>
    <col min="2560" max="2560" width="1.28515625" style="36" customWidth="1"/>
    <col min="2561" max="2561" width="58.85546875" style="36" customWidth="1"/>
    <col min="2562" max="2563" width="11.42578125" style="36"/>
    <col min="2564" max="2564" width="2.140625" style="36" customWidth="1"/>
    <col min="2565" max="2565" width="11.42578125" style="36"/>
    <col min="2566" max="2566" width="9.5703125" style="36" customWidth="1"/>
    <col min="2567" max="2812" width="11.42578125" style="36"/>
    <col min="2813" max="2813" width="0.140625" style="36" customWidth="1"/>
    <col min="2814" max="2814" width="2.7109375" style="36" customWidth="1"/>
    <col min="2815" max="2815" width="18.5703125" style="36" customWidth="1"/>
    <col min="2816" max="2816" width="1.28515625" style="36" customWidth="1"/>
    <col min="2817" max="2817" width="58.85546875" style="36" customWidth="1"/>
    <col min="2818" max="2819" width="11.42578125" style="36"/>
    <col min="2820" max="2820" width="2.140625" style="36" customWidth="1"/>
    <col min="2821" max="2821" width="11.42578125" style="36"/>
    <col min="2822" max="2822" width="9.5703125" style="36" customWidth="1"/>
    <col min="2823" max="3068" width="11.42578125" style="36"/>
    <col min="3069" max="3069" width="0.140625" style="36" customWidth="1"/>
    <col min="3070" max="3070" width="2.7109375" style="36" customWidth="1"/>
    <col min="3071" max="3071" width="18.5703125" style="36" customWidth="1"/>
    <col min="3072" max="3072" width="1.28515625" style="36" customWidth="1"/>
    <col min="3073" max="3073" width="58.85546875" style="36" customWidth="1"/>
    <col min="3074" max="3075" width="11.42578125" style="36"/>
    <col min="3076" max="3076" width="2.140625" style="36" customWidth="1"/>
    <col min="3077" max="3077" width="11.42578125" style="36"/>
    <col min="3078" max="3078" width="9.5703125" style="36" customWidth="1"/>
    <col min="3079" max="3324" width="11.42578125" style="36"/>
    <col min="3325" max="3325" width="0.140625" style="36" customWidth="1"/>
    <col min="3326" max="3326" width="2.7109375" style="36" customWidth="1"/>
    <col min="3327" max="3327" width="18.5703125" style="36" customWidth="1"/>
    <col min="3328" max="3328" width="1.28515625" style="36" customWidth="1"/>
    <col min="3329" max="3329" width="58.85546875" style="36" customWidth="1"/>
    <col min="3330" max="3331" width="11.42578125" style="36"/>
    <col min="3332" max="3332" width="2.140625" style="36" customWidth="1"/>
    <col min="3333" max="3333" width="11.42578125" style="36"/>
    <col min="3334" max="3334" width="9.5703125" style="36" customWidth="1"/>
    <col min="3335" max="3580" width="11.42578125" style="36"/>
    <col min="3581" max="3581" width="0.140625" style="36" customWidth="1"/>
    <col min="3582" max="3582" width="2.7109375" style="36" customWidth="1"/>
    <col min="3583" max="3583" width="18.5703125" style="36" customWidth="1"/>
    <col min="3584" max="3584" width="1.28515625" style="36" customWidth="1"/>
    <col min="3585" max="3585" width="58.85546875" style="36" customWidth="1"/>
    <col min="3586" max="3587" width="11.42578125" style="36"/>
    <col min="3588" max="3588" width="2.140625" style="36" customWidth="1"/>
    <col min="3589" max="3589" width="11.42578125" style="36"/>
    <col min="3590" max="3590" width="9.5703125" style="36" customWidth="1"/>
    <col min="3591" max="3836" width="11.42578125" style="36"/>
    <col min="3837" max="3837" width="0.140625" style="36" customWidth="1"/>
    <col min="3838" max="3838" width="2.7109375" style="36" customWidth="1"/>
    <col min="3839" max="3839" width="18.5703125" style="36" customWidth="1"/>
    <col min="3840" max="3840" width="1.28515625" style="36" customWidth="1"/>
    <col min="3841" max="3841" width="58.85546875" style="36" customWidth="1"/>
    <col min="3842" max="3843" width="11.42578125" style="36"/>
    <col min="3844" max="3844" width="2.140625" style="36" customWidth="1"/>
    <col min="3845" max="3845" width="11.42578125" style="36"/>
    <col min="3846" max="3846" width="9.5703125" style="36" customWidth="1"/>
    <col min="3847" max="4092" width="11.42578125" style="36"/>
    <col min="4093" max="4093" width="0.140625" style="36" customWidth="1"/>
    <col min="4094" max="4094" width="2.7109375" style="36" customWidth="1"/>
    <col min="4095" max="4095" width="18.5703125" style="36" customWidth="1"/>
    <col min="4096" max="4096" width="1.28515625" style="36" customWidth="1"/>
    <col min="4097" max="4097" width="58.85546875" style="36" customWidth="1"/>
    <col min="4098" max="4099" width="11.42578125" style="36"/>
    <col min="4100" max="4100" width="2.140625" style="36" customWidth="1"/>
    <col min="4101" max="4101" width="11.42578125" style="36"/>
    <col min="4102" max="4102" width="9.5703125" style="36" customWidth="1"/>
    <col min="4103" max="4348" width="11.42578125" style="36"/>
    <col min="4349" max="4349" width="0.140625" style="36" customWidth="1"/>
    <col min="4350" max="4350" width="2.7109375" style="36" customWidth="1"/>
    <col min="4351" max="4351" width="18.5703125" style="36" customWidth="1"/>
    <col min="4352" max="4352" width="1.28515625" style="36" customWidth="1"/>
    <col min="4353" max="4353" width="58.85546875" style="36" customWidth="1"/>
    <col min="4354" max="4355" width="11.42578125" style="36"/>
    <col min="4356" max="4356" width="2.140625" style="36" customWidth="1"/>
    <col min="4357" max="4357" width="11.42578125" style="36"/>
    <col min="4358" max="4358" width="9.5703125" style="36" customWidth="1"/>
    <col min="4359" max="4604" width="11.42578125" style="36"/>
    <col min="4605" max="4605" width="0.140625" style="36" customWidth="1"/>
    <col min="4606" max="4606" width="2.7109375" style="36" customWidth="1"/>
    <col min="4607" max="4607" width="18.5703125" style="36" customWidth="1"/>
    <col min="4608" max="4608" width="1.28515625" style="36" customWidth="1"/>
    <col min="4609" max="4609" width="58.85546875" style="36" customWidth="1"/>
    <col min="4610" max="4611" width="11.42578125" style="36"/>
    <col min="4612" max="4612" width="2.140625" style="36" customWidth="1"/>
    <col min="4613" max="4613" width="11.42578125" style="36"/>
    <col min="4614" max="4614" width="9.5703125" style="36" customWidth="1"/>
    <col min="4615" max="4860" width="11.42578125" style="36"/>
    <col min="4861" max="4861" width="0.140625" style="36" customWidth="1"/>
    <col min="4862" max="4862" width="2.7109375" style="36" customWidth="1"/>
    <col min="4863" max="4863" width="18.5703125" style="36" customWidth="1"/>
    <col min="4864" max="4864" width="1.28515625" style="36" customWidth="1"/>
    <col min="4865" max="4865" width="58.85546875" style="36" customWidth="1"/>
    <col min="4866" max="4867" width="11.42578125" style="36"/>
    <col min="4868" max="4868" width="2.140625" style="36" customWidth="1"/>
    <col min="4869" max="4869" width="11.42578125" style="36"/>
    <col min="4870" max="4870" width="9.5703125" style="36" customWidth="1"/>
    <col min="4871" max="5116" width="11.42578125" style="36"/>
    <col min="5117" max="5117" width="0.140625" style="36" customWidth="1"/>
    <col min="5118" max="5118" width="2.7109375" style="36" customWidth="1"/>
    <col min="5119" max="5119" width="18.5703125" style="36" customWidth="1"/>
    <col min="5120" max="5120" width="1.28515625" style="36" customWidth="1"/>
    <col min="5121" max="5121" width="58.85546875" style="36" customWidth="1"/>
    <col min="5122" max="5123" width="11.42578125" style="36"/>
    <col min="5124" max="5124" width="2.140625" style="36" customWidth="1"/>
    <col min="5125" max="5125" width="11.42578125" style="36"/>
    <col min="5126" max="5126" width="9.5703125" style="36" customWidth="1"/>
    <col min="5127" max="5372" width="11.42578125" style="36"/>
    <col min="5373" max="5373" width="0.140625" style="36" customWidth="1"/>
    <col min="5374" max="5374" width="2.7109375" style="36" customWidth="1"/>
    <col min="5375" max="5375" width="18.5703125" style="36" customWidth="1"/>
    <col min="5376" max="5376" width="1.28515625" style="36" customWidth="1"/>
    <col min="5377" max="5377" width="58.85546875" style="36" customWidth="1"/>
    <col min="5378" max="5379" width="11.42578125" style="36"/>
    <col min="5380" max="5380" width="2.140625" style="36" customWidth="1"/>
    <col min="5381" max="5381" width="11.42578125" style="36"/>
    <col min="5382" max="5382" width="9.5703125" style="36" customWidth="1"/>
    <col min="5383" max="5628" width="11.42578125" style="36"/>
    <col min="5629" max="5629" width="0.140625" style="36" customWidth="1"/>
    <col min="5630" max="5630" width="2.7109375" style="36" customWidth="1"/>
    <col min="5631" max="5631" width="18.5703125" style="36" customWidth="1"/>
    <col min="5632" max="5632" width="1.28515625" style="36" customWidth="1"/>
    <col min="5633" max="5633" width="58.85546875" style="36" customWidth="1"/>
    <col min="5634" max="5635" width="11.42578125" style="36"/>
    <col min="5636" max="5636" width="2.140625" style="36" customWidth="1"/>
    <col min="5637" max="5637" width="11.42578125" style="36"/>
    <col min="5638" max="5638" width="9.5703125" style="36" customWidth="1"/>
    <col min="5639" max="5884" width="11.42578125" style="36"/>
    <col min="5885" max="5885" width="0.140625" style="36" customWidth="1"/>
    <col min="5886" max="5886" width="2.7109375" style="36" customWidth="1"/>
    <col min="5887" max="5887" width="18.5703125" style="36" customWidth="1"/>
    <col min="5888" max="5888" width="1.28515625" style="36" customWidth="1"/>
    <col min="5889" max="5889" width="58.85546875" style="36" customWidth="1"/>
    <col min="5890" max="5891" width="11.42578125" style="36"/>
    <col min="5892" max="5892" width="2.140625" style="36" customWidth="1"/>
    <col min="5893" max="5893" width="11.42578125" style="36"/>
    <col min="5894" max="5894" width="9.5703125" style="36" customWidth="1"/>
    <col min="5895" max="6140" width="11.42578125" style="36"/>
    <col min="6141" max="6141" width="0.140625" style="36" customWidth="1"/>
    <col min="6142" max="6142" width="2.7109375" style="36" customWidth="1"/>
    <col min="6143" max="6143" width="18.5703125" style="36" customWidth="1"/>
    <col min="6144" max="6144" width="1.28515625" style="36" customWidth="1"/>
    <col min="6145" max="6145" width="58.85546875" style="36" customWidth="1"/>
    <col min="6146" max="6147" width="11.42578125" style="36"/>
    <col min="6148" max="6148" width="2.140625" style="36" customWidth="1"/>
    <col min="6149" max="6149" width="11.42578125" style="36"/>
    <col min="6150" max="6150" width="9.5703125" style="36" customWidth="1"/>
    <col min="6151" max="6396" width="11.42578125" style="36"/>
    <col min="6397" max="6397" width="0.140625" style="36" customWidth="1"/>
    <col min="6398" max="6398" width="2.7109375" style="36" customWidth="1"/>
    <col min="6399" max="6399" width="18.5703125" style="36" customWidth="1"/>
    <col min="6400" max="6400" width="1.28515625" style="36" customWidth="1"/>
    <col min="6401" max="6401" width="58.85546875" style="36" customWidth="1"/>
    <col min="6402" max="6403" width="11.42578125" style="36"/>
    <col min="6404" max="6404" width="2.140625" style="36" customWidth="1"/>
    <col min="6405" max="6405" width="11.42578125" style="36"/>
    <col min="6406" max="6406" width="9.5703125" style="36" customWidth="1"/>
    <col min="6407" max="6652" width="11.42578125" style="36"/>
    <col min="6653" max="6653" width="0.140625" style="36" customWidth="1"/>
    <col min="6654" max="6654" width="2.7109375" style="36" customWidth="1"/>
    <col min="6655" max="6655" width="18.5703125" style="36" customWidth="1"/>
    <col min="6656" max="6656" width="1.28515625" style="36" customWidth="1"/>
    <col min="6657" max="6657" width="58.85546875" style="36" customWidth="1"/>
    <col min="6658" max="6659" width="11.42578125" style="36"/>
    <col min="6660" max="6660" width="2.140625" style="36" customWidth="1"/>
    <col min="6661" max="6661" width="11.42578125" style="36"/>
    <col min="6662" max="6662" width="9.5703125" style="36" customWidth="1"/>
    <col min="6663" max="6908" width="11.42578125" style="36"/>
    <col min="6909" max="6909" width="0.140625" style="36" customWidth="1"/>
    <col min="6910" max="6910" width="2.7109375" style="36" customWidth="1"/>
    <col min="6911" max="6911" width="18.5703125" style="36" customWidth="1"/>
    <col min="6912" max="6912" width="1.28515625" style="36" customWidth="1"/>
    <col min="6913" max="6913" width="58.85546875" style="36" customWidth="1"/>
    <col min="6914" max="6915" width="11.42578125" style="36"/>
    <col min="6916" max="6916" width="2.140625" style="36" customWidth="1"/>
    <col min="6917" max="6917" width="11.42578125" style="36"/>
    <col min="6918" max="6918" width="9.5703125" style="36" customWidth="1"/>
    <col min="6919" max="7164" width="11.42578125" style="36"/>
    <col min="7165" max="7165" width="0.140625" style="36" customWidth="1"/>
    <col min="7166" max="7166" width="2.7109375" style="36" customWidth="1"/>
    <col min="7167" max="7167" width="18.5703125" style="36" customWidth="1"/>
    <col min="7168" max="7168" width="1.28515625" style="36" customWidth="1"/>
    <col min="7169" max="7169" width="58.85546875" style="36" customWidth="1"/>
    <col min="7170" max="7171" width="11.42578125" style="36"/>
    <col min="7172" max="7172" width="2.140625" style="36" customWidth="1"/>
    <col min="7173" max="7173" width="11.42578125" style="36"/>
    <col min="7174" max="7174" width="9.5703125" style="36" customWidth="1"/>
    <col min="7175" max="7420" width="11.42578125" style="36"/>
    <col min="7421" max="7421" width="0.140625" style="36" customWidth="1"/>
    <col min="7422" max="7422" width="2.7109375" style="36" customWidth="1"/>
    <col min="7423" max="7423" width="18.5703125" style="36" customWidth="1"/>
    <col min="7424" max="7424" width="1.28515625" style="36" customWidth="1"/>
    <col min="7425" max="7425" width="58.85546875" style="36" customWidth="1"/>
    <col min="7426" max="7427" width="11.42578125" style="36"/>
    <col min="7428" max="7428" width="2.140625" style="36" customWidth="1"/>
    <col min="7429" max="7429" width="11.42578125" style="36"/>
    <col min="7430" max="7430" width="9.5703125" style="36" customWidth="1"/>
    <col min="7431" max="7676" width="11.42578125" style="36"/>
    <col min="7677" max="7677" width="0.140625" style="36" customWidth="1"/>
    <col min="7678" max="7678" width="2.7109375" style="36" customWidth="1"/>
    <col min="7679" max="7679" width="18.5703125" style="36" customWidth="1"/>
    <col min="7680" max="7680" width="1.28515625" style="36" customWidth="1"/>
    <col min="7681" max="7681" width="58.85546875" style="36" customWidth="1"/>
    <col min="7682" max="7683" width="11.42578125" style="36"/>
    <col min="7684" max="7684" width="2.140625" style="36" customWidth="1"/>
    <col min="7685" max="7685" width="11.42578125" style="36"/>
    <col min="7686" max="7686" width="9.5703125" style="36" customWidth="1"/>
    <col min="7687" max="7932" width="11.42578125" style="36"/>
    <col min="7933" max="7933" width="0.140625" style="36" customWidth="1"/>
    <col min="7934" max="7934" width="2.7109375" style="36" customWidth="1"/>
    <col min="7935" max="7935" width="18.5703125" style="36" customWidth="1"/>
    <col min="7936" max="7936" width="1.28515625" style="36" customWidth="1"/>
    <col min="7937" max="7937" width="58.85546875" style="36" customWidth="1"/>
    <col min="7938" max="7939" width="11.42578125" style="36"/>
    <col min="7940" max="7940" width="2.140625" style="36" customWidth="1"/>
    <col min="7941" max="7941" width="11.42578125" style="36"/>
    <col min="7942" max="7942" width="9.5703125" style="36" customWidth="1"/>
    <col min="7943" max="8188" width="11.42578125" style="36"/>
    <col min="8189" max="8189" width="0.140625" style="36" customWidth="1"/>
    <col min="8190" max="8190" width="2.7109375" style="36" customWidth="1"/>
    <col min="8191" max="8191" width="18.5703125" style="36" customWidth="1"/>
    <col min="8192" max="8192" width="1.28515625" style="36" customWidth="1"/>
    <col min="8193" max="8193" width="58.85546875" style="36" customWidth="1"/>
    <col min="8194" max="8195" width="11.42578125" style="36"/>
    <col min="8196" max="8196" width="2.140625" style="36" customWidth="1"/>
    <col min="8197" max="8197" width="11.42578125" style="36"/>
    <col min="8198" max="8198" width="9.5703125" style="36" customWidth="1"/>
    <col min="8199" max="8444" width="11.42578125" style="36"/>
    <col min="8445" max="8445" width="0.140625" style="36" customWidth="1"/>
    <col min="8446" max="8446" width="2.7109375" style="36" customWidth="1"/>
    <col min="8447" max="8447" width="18.5703125" style="36" customWidth="1"/>
    <col min="8448" max="8448" width="1.28515625" style="36" customWidth="1"/>
    <col min="8449" max="8449" width="58.85546875" style="36" customWidth="1"/>
    <col min="8450" max="8451" width="11.42578125" style="36"/>
    <col min="8452" max="8452" width="2.140625" style="36" customWidth="1"/>
    <col min="8453" max="8453" width="11.42578125" style="36"/>
    <col min="8454" max="8454" width="9.5703125" style="36" customWidth="1"/>
    <col min="8455" max="8700" width="11.42578125" style="36"/>
    <col min="8701" max="8701" width="0.140625" style="36" customWidth="1"/>
    <col min="8702" max="8702" width="2.7109375" style="36" customWidth="1"/>
    <col min="8703" max="8703" width="18.5703125" style="36" customWidth="1"/>
    <col min="8704" max="8704" width="1.28515625" style="36" customWidth="1"/>
    <col min="8705" max="8705" width="58.85546875" style="36" customWidth="1"/>
    <col min="8706" max="8707" width="11.42578125" style="36"/>
    <col min="8708" max="8708" width="2.140625" style="36" customWidth="1"/>
    <col min="8709" max="8709" width="11.42578125" style="36"/>
    <col min="8710" max="8710" width="9.5703125" style="36" customWidth="1"/>
    <col min="8711" max="8956" width="11.42578125" style="36"/>
    <col min="8957" max="8957" width="0.140625" style="36" customWidth="1"/>
    <col min="8958" max="8958" width="2.7109375" style="36" customWidth="1"/>
    <col min="8959" max="8959" width="18.5703125" style="36" customWidth="1"/>
    <col min="8960" max="8960" width="1.28515625" style="36" customWidth="1"/>
    <col min="8961" max="8961" width="58.85546875" style="36" customWidth="1"/>
    <col min="8962" max="8963" width="11.42578125" style="36"/>
    <col min="8964" max="8964" width="2.140625" style="36" customWidth="1"/>
    <col min="8965" max="8965" width="11.42578125" style="36"/>
    <col min="8966" max="8966" width="9.5703125" style="36" customWidth="1"/>
    <col min="8967" max="9212" width="11.42578125" style="36"/>
    <col min="9213" max="9213" width="0.140625" style="36" customWidth="1"/>
    <col min="9214" max="9214" width="2.7109375" style="36" customWidth="1"/>
    <col min="9215" max="9215" width="18.5703125" style="36" customWidth="1"/>
    <col min="9216" max="9216" width="1.28515625" style="36" customWidth="1"/>
    <col min="9217" max="9217" width="58.85546875" style="36" customWidth="1"/>
    <col min="9218" max="9219" width="11.42578125" style="36"/>
    <col min="9220" max="9220" width="2.140625" style="36" customWidth="1"/>
    <col min="9221" max="9221" width="11.42578125" style="36"/>
    <col min="9222" max="9222" width="9.5703125" style="36" customWidth="1"/>
    <col min="9223" max="9468" width="11.42578125" style="36"/>
    <col min="9469" max="9469" width="0.140625" style="36" customWidth="1"/>
    <col min="9470" max="9470" width="2.7109375" style="36" customWidth="1"/>
    <col min="9471" max="9471" width="18.5703125" style="36" customWidth="1"/>
    <col min="9472" max="9472" width="1.28515625" style="36" customWidth="1"/>
    <col min="9473" max="9473" width="58.85546875" style="36" customWidth="1"/>
    <col min="9474" max="9475" width="11.42578125" style="36"/>
    <col min="9476" max="9476" width="2.140625" style="36" customWidth="1"/>
    <col min="9477" max="9477" width="11.42578125" style="36"/>
    <col min="9478" max="9478" width="9.5703125" style="36" customWidth="1"/>
    <col min="9479" max="9724" width="11.42578125" style="36"/>
    <col min="9725" max="9725" width="0.140625" style="36" customWidth="1"/>
    <col min="9726" max="9726" width="2.7109375" style="36" customWidth="1"/>
    <col min="9727" max="9727" width="18.5703125" style="36" customWidth="1"/>
    <col min="9728" max="9728" width="1.28515625" style="36" customWidth="1"/>
    <col min="9729" max="9729" width="58.85546875" style="36" customWidth="1"/>
    <col min="9730" max="9731" width="11.42578125" style="36"/>
    <col min="9732" max="9732" width="2.140625" style="36" customWidth="1"/>
    <col min="9733" max="9733" width="11.42578125" style="36"/>
    <col min="9734" max="9734" width="9.5703125" style="36" customWidth="1"/>
    <col min="9735" max="9980" width="11.42578125" style="36"/>
    <col min="9981" max="9981" width="0.140625" style="36" customWidth="1"/>
    <col min="9982" max="9982" width="2.7109375" style="36" customWidth="1"/>
    <col min="9983" max="9983" width="18.5703125" style="36" customWidth="1"/>
    <col min="9984" max="9984" width="1.28515625" style="36" customWidth="1"/>
    <col min="9985" max="9985" width="58.85546875" style="36" customWidth="1"/>
    <col min="9986" max="9987" width="11.42578125" style="36"/>
    <col min="9988" max="9988" width="2.140625" style="36" customWidth="1"/>
    <col min="9989" max="9989" width="11.42578125" style="36"/>
    <col min="9990" max="9990" width="9.5703125" style="36" customWidth="1"/>
    <col min="9991" max="10236" width="11.42578125" style="36"/>
    <col min="10237" max="10237" width="0.140625" style="36" customWidth="1"/>
    <col min="10238" max="10238" width="2.7109375" style="36" customWidth="1"/>
    <col min="10239" max="10239" width="18.5703125" style="36" customWidth="1"/>
    <col min="10240" max="10240" width="1.28515625" style="36" customWidth="1"/>
    <col min="10241" max="10241" width="58.85546875" style="36" customWidth="1"/>
    <col min="10242" max="10243" width="11.42578125" style="36"/>
    <col min="10244" max="10244" width="2.140625" style="36" customWidth="1"/>
    <col min="10245" max="10245" width="11.42578125" style="36"/>
    <col min="10246" max="10246" width="9.5703125" style="36" customWidth="1"/>
    <col min="10247" max="10492" width="11.42578125" style="36"/>
    <col min="10493" max="10493" width="0.140625" style="36" customWidth="1"/>
    <col min="10494" max="10494" width="2.7109375" style="36" customWidth="1"/>
    <col min="10495" max="10495" width="18.5703125" style="36" customWidth="1"/>
    <col min="10496" max="10496" width="1.28515625" style="36" customWidth="1"/>
    <col min="10497" max="10497" width="58.85546875" style="36" customWidth="1"/>
    <col min="10498" max="10499" width="11.42578125" style="36"/>
    <col min="10500" max="10500" width="2.140625" style="36" customWidth="1"/>
    <col min="10501" max="10501" width="11.42578125" style="36"/>
    <col min="10502" max="10502" width="9.5703125" style="36" customWidth="1"/>
    <col min="10503" max="10748" width="11.42578125" style="36"/>
    <col min="10749" max="10749" width="0.140625" style="36" customWidth="1"/>
    <col min="10750" max="10750" width="2.7109375" style="36" customWidth="1"/>
    <col min="10751" max="10751" width="18.5703125" style="36" customWidth="1"/>
    <col min="10752" max="10752" width="1.28515625" style="36" customWidth="1"/>
    <col min="10753" max="10753" width="58.85546875" style="36" customWidth="1"/>
    <col min="10754" max="10755" width="11.42578125" style="36"/>
    <col min="10756" max="10756" width="2.140625" style="36" customWidth="1"/>
    <col min="10757" max="10757" width="11.42578125" style="36"/>
    <col min="10758" max="10758" width="9.5703125" style="36" customWidth="1"/>
    <col min="10759" max="11004" width="11.42578125" style="36"/>
    <col min="11005" max="11005" width="0.140625" style="36" customWidth="1"/>
    <col min="11006" max="11006" width="2.7109375" style="36" customWidth="1"/>
    <col min="11007" max="11007" width="18.5703125" style="36" customWidth="1"/>
    <col min="11008" max="11008" width="1.28515625" style="36" customWidth="1"/>
    <col min="11009" max="11009" width="58.85546875" style="36" customWidth="1"/>
    <col min="11010" max="11011" width="11.42578125" style="36"/>
    <col min="11012" max="11012" width="2.140625" style="36" customWidth="1"/>
    <col min="11013" max="11013" width="11.42578125" style="36"/>
    <col min="11014" max="11014" width="9.5703125" style="36" customWidth="1"/>
    <col min="11015" max="11260" width="11.42578125" style="36"/>
    <col min="11261" max="11261" width="0.140625" style="36" customWidth="1"/>
    <col min="11262" max="11262" width="2.7109375" style="36" customWidth="1"/>
    <col min="11263" max="11263" width="18.5703125" style="36" customWidth="1"/>
    <col min="11264" max="11264" width="1.28515625" style="36" customWidth="1"/>
    <col min="11265" max="11265" width="58.85546875" style="36" customWidth="1"/>
    <col min="11266" max="11267" width="11.42578125" style="36"/>
    <col min="11268" max="11268" width="2.140625" style="36" customWidth="1"/>
    <col min="11269" max="11269" width="11.42578125" style="36"/>
    <col min="11270" max="11270" width="9.5703125" style="36" customWidth="1"/>
    <col min="11271" max="11516" width="11.42578125" style="36"/>
    <col min="11517" max="11517" width="0.140625" style="36" customWidth="1"/>
    <col min="11518" max="11518" width="2.7109375" style="36" customWidth="1"/>
    <col min="11519" max="11519" width="18.5703125" style="36" customWidth="1"/>
    <col min="11520" max="11520" width="1.28515625" style="36" customWidth="1"/>
    <col min="11521" max="11521" width="58.85546875" style="36" customWidth="1"/>
    <col min="11522" max="11523" width="11.42578125" style="36"/>
    <col min="11524" max="11524" width="2.140625" style="36" customWidth="1"/>
    <col min="11525" max="11525" width="11.42578125" style="36"/>
    <col min="11526" max="11526" width="9.5703125" style="36" customWidth="1"/>
    <col min="11527" max="11772" width="11.42578125" style="36"/>
    <col min="11773" max="11773" width="0.140625" style="36" customWidth="1"/>
    <col min="11774" max="11774" width="2.7109375" style="36" customWidth="1"/>
    <col min="11775" max="11775" width="18.5703125" style="36" customWidth="1"/>
    <col min="11776" max="11776" width="1.28515625" style="36" customWidth="1"/>
    <col min="11777" max="11777" width="58.85546875" style="36" customWidth="1"/>
    <col min="11778" max="11779" width="11.42578125" style="36"/>
    <col min="11780" max="11780" width="2.140625" style="36" customWidth="1"/>
    <col min="11781" max="11781" width="11.42578125" style="36"/>
    <col min="11782" max="11782" width="9.5703125" style="36" customWidth="1"/>
    <col min="11783" max="12028" width="11.42578125" style="36"/>
    <col min="12029" max="12029" width="0.140625" style="36" customWidth="1"/>
    <col min="12030" max="12030" width="2.7109375" style="36" customWidth="1"/>
    <col min="12031" max="12031" width="18.5703125" style="36" customWidth="1"/>
    <col min="12032" max="12032" width="1.28515625" style="36" customWidth="1"/>
    <col min="12033" max="12033" width="58.85546875" style="36" customWidth="1"/>
    <col min="12034" max="12035" width="11.42578125" style="36"/>
    <col min="12036" max="12036" width="2.140625" style="36" customWidth="1"/>
    <col min="12037" max="12037" width="11.42578125" style="36"/>
    <col min="12038" max="12038" width="9.5703125" style="36" customWidth="1"/>
    <col min="12039" max="12284" width="11.42578125" style="36"/>
    <col min="12285" max="12285" width="0.140625" style="36" customWidth="1"/>
    <col min="12286" max="12286" width="2.7109375" style="36" customWidth="1"/>
    <col min="12287" max="12287" width="18.5703125" style="36" customWidth="1"/>
    <col min="12288" max="12288" width="1.28515625" style="36" customWidth="1"/>
    <col min="12289" max="12289" width="58.85546875" style="36" customWidth="1"/>
    <col min="12290" max="12291" width="11.42578125" style="36"/>
    <col min="12292" max="12292" width="2.140625" style="36" customWidth="1"/>
    <col min="12293" max="12293" width="11.42578125" style="36"/>
    <col min="12294" max="12294" width="9.5703125" style="36" customWidth="1"/>
    <col min="12295" max="12540" width="11.42578125" style="36"/>
    <col min="12541" max="12541" width="0.140625" style="36" customWidth="1"/>
    <col min="12542" max="12542" width="2.7109375" style="36" customWidth="1"/>
    <col min="12543" max="12543" width="18.5703125" style="36" customWidth="1"/>
    <col min="12544" max="12544" width="1.28515625" style="36" customWidth="1"/>
    <col min="12545" max="12545" width="58.85546875" style="36" customWidth="1"/>
    <col min="12546" max="12547" width="11.42578125" style="36"/>
    <col min="12548" max="12548" width="2.140625" style="36" customWidth="1"/>
    <col min="12549" max="12549" width="11.42578125" style="36"/>
    <col min="12550" max="12550" width="9.5703125" style="36" customWidth="1"/>
    <col min="12551" max="12796" width="11.42578125" style="36"/>
    <col min="12797" max="12797" width="0.140625" style="36" customWidth="1"/>
    <col min="12798" max="12798" width="2.7109375" style="36" customWidth="1"/>
    <col min="12799" max="12799" width="18.5703125" style="36" customWidth="1"/>
    <col min="12800" max="12800" width="1.28515625" style="36" customWidth="1"/>
    <col min="12801" max="12801" width="58.85546875" style="36" customWidth="1"/>
    <col min="12802" max="12803" width="11.42578125" style="36"/>
    <col min="12804" max="12804" width="2.140625" style="36" customWidth="1"/>
    <col min="12805" max="12805" width="11.42578125" style="36"/>
    <col min="12806" max="12806" width="9.5703125" style="36" customWidth="1"/>
    <col min="12807" max="13052" width="11.42578125" style="36"/>
    <col min="13053" max="13053" width="0.140625" style="36" customWidth="1"/>
    <col min="13054" max="13054" width="2.7109375" style="36" customWidth="1"/>
    <col min="13055" max="13055" width="18.5703125" style="36" customWidth="1"/>
    <col min="13056" max="13056" width="1.28515625" style="36" customWidth="1"/>
    <col min="13057" max="13057" width="58.85546875" style="36" customWidth="1"/>
    <col min="13058" max="13059" width="11.42578125" style="36"/>
    <col min="13060" max="13060" width="2.140625" style="36" customWidth="1"/>
    <col min="13061" max="13061" width="11.42578125" style="36"/>
    <col min="13062" max="13062" width="9.5703125" style="36" customWidth="1"/>
    <col min="13063" max="13308" width="11.42578125" style="36"/>
    <col min="13309" max="13309" width="0.140625" style="36" customWidth="1"/>
    <col min="13310" max="13310" width="2.7109375" style="36" customWidth="1"/>
    <col min="13311" max="13311" width="18.5703125" style="36" customWidth="1"/>
    <col min="13312" max="13312" width="1.28515625" style="36" customWidth="1"/>
    <col min="13313" max="13313" width="58.85546875" style="36" customWidth="1"/>
    <col min="13314" max="13315" width="11.42578125" style="36"/>
    <col min="13316" max="13316" width="2.140625" style="36" customWidth="1"/>
    <col min="13317" max="13317" width="11.42578125" style="36"/>
    <col min="13318" max="13318" width="9.5703125" style="36" customWidth="1"/>
    <col min="13319" max="13564" width="11.42578125" style="36"/>
    <col min="13565" max="13565" width="0.140625" style="36" customWidth="1"/>
    <col min="13566" max="13566" width="2.7109375" style="36" customWidth="1"/>
    <col min="13567" max="13567" width="18.5703125" style="36" customWidth="1"/>
    <col min="13568" max="13568" width="1.28515625" style="36" customWidth="1"/>
    <col min="13569" max="13569" width="58.85546875" style="36" customWidth="1"/>
    <col min="13570" max="13571" width="11.42578125" style="36"/>
    <col min="13572" max="13572" width="2.140625" style="36" customWidth="1"/>
    <col min="13573" max="13573" width="11.42578125" style="36"/>
    <col min="13574" max="13574" width="9.5703125" style="36" customWidth="1"/>
    <col min="13575" max="13820" width="11.42578125" style="36"/>
    <col min="13821" max="13821" width="0.140625" style="36" customWidth="1"/>
    <col min="13822" max="13822" width="2.7109375" style="36" customWidth="1"/>
    <col min="13823" max="13823" width="18.5703125" style="36" customWidth="1"/>
    <col min="13824" max="13824" width="1.28515625" style="36" customWidth="1"/>
    <col min="13825" max="13825" width="58.85546875" style="36" customWidth="1"/>
    <col min="13826" max="13827" width="11.42578125" style="36"/>
    <col min="13828" max="13828" width="2.140625" style="36" customWidth="1"/>
    <col min="13829" max="13829" width="11.42578125" style="36"/>
    <col min="13830" max="13830" width="9.5703125" style="36" customWidth="1"/>
    <col min="13831" max="14076" width="11.42578125" style="36"/>
    <col min="14077" max="14077" width="0.140625" style="36" customWidth="1"/>
    <col min="14078" max="14078" width="2.7109375" style="36" customWidth="1"/>
    <col min="14079" max="14079" width="18.5703125" style="36" customWidth="1"/>
    <col min="14080" max="14080" width="1.28515625" style="36" customWidth="1"/>
    <col min="14081" max="14081" width="58.85546875" style="36" customWidth="1"/>
    <col min="14082" max="14083" width="11.42578125" style="36"/>
    <col min="14084" max="14084" width="2.140625" style="36" customWidth="1"/>
    <col min="14085" max="14085" width="11.42578125" style="36"/>
    <col min="14086" max="14086" width="9.5703125" style="36" customWidth="1"/>
    <col min="14087" max="14332" width="11.42578125" style="36"/>
    <col min="14333" max="14333" width="0.140625" style="36" customWidth="1"/>
    <col min="14334" max="14334" width="2.7109375" style="36" customWidth="1"/>
    <col min="14335" max="14335" width="18.5703125" style="36" customWidth="1"/>
    <col min="14336" max="14336" width="1.28515625" style="36" customWidth="1"/>
    <col min="14337" max="14337" width="58.85546875" style="36" customWidth="1"/>
    <col min="14338" max="14339" width="11.42578125" style="36"/>
    <col min="14340" max="14340" width="2.140625" style="36" customWidth="1"/>
    <col min="14341" max="14341" width="11.42578125" style="36"/>
    <col min="14342" max="14342" width="9.5703125" style="36" customWidth="1"/>
    <col min="14343" max="14588" width="11.42578125" style="36"/>
    <col min="14589" max="14589" width="0.140625" style="36" customWidth="1"/>
    <col min="14590" max="14590" width="2.7109375" style="36" customWidth="1"/>
    <col min="14591" max="14591" width="18.5703125" style="36" customWidth="1"/>
    <col min="14592" max="14592" width="1.28515625" style="36" customWidth="1"/>
    <col min="14593" max="14593" width="58.85546875" style="36" customWidth="1"/>
    <col min="14594" max="14595" width="11.42578125" style="36"/>
    <col min="14596" max="14596" width="2.140625" style="36" customWidth="1"/>
    <col min="14597" max="14597" width="11.42578125" style="36"/>
    <col min="14598" max="14598" width="9.5703125" style="36" customWidth="1"/>
    <col min="14599" max="14844" width="11.42578125" style="36"/>
    <col min="14845" max="14845" width="0.140625" style="36" customWidth="1"/>
    <col min="14846" max="14846" width="2.7109375" style="36" customWidth="1"/>
    <col min="14847" max="14847" width="18.5703125" style="36" customWidth="1"/>
    <col min="14848" max="14848" width="1.28515625" style="36" customWidth="1"/>
    <col min="14849" max="14849" width="58.85546875" style="36" customWidth="1"/>
    <col min="14850" max="14851" width="11.42578125" style="36"/>
    <col min="14852" max="14852" width="2.140625" style="36" customWidth="1"/>
    <col min="14853" max="14853" width="11.42578125" style="36"/>
    <col min="14854" max="14854" width="9.5703125" style="36" customWidth="1"/>
    <col min="14855" max="15100" width="11.42578125" style="36"/>
    <col min="15101" max="15101" width="0.140625" style="36" customWidth="1"/>
    <col min="15102" max="15102" width="2.7109375" style="36" customWidth="1"/>
    <col min="15103" max="15103" width="18.5703125" style="36" customWidth="1"/>
    <col min="15104" max="15104" width="1.28515625" style="36" customWidth="1"/>
    <col min="15105" max="15105" width="58.85546875" style="36" customWidth="1"/>
    <col min="15106" max="15107" width="11.42578125" style="36"/>
    <col min="15108" max="15108" width="2.140625" style="36" customWidth="1"/>
    <col min="15109" max="15109" width="11.42578125" style="36"/>
    <col min="15110" max="15110" width="9.5703125" style="36" customWidth="1"/>
    <col min="15111" max="15356" width="11.42578125" style="36"/>
    <col min="15357" max="15357" width="0.140625" style="36" customWidth="1"/>
    <col min="15358" max="15358" width="2.7109375" style="36" customWidth="1"/>
    <col min="15359" max="15359" width="18.5703125" style="36" customWidth="1"/>
    <col min="15360" max="15360" width="1.28515625" style="36" customWidth="1"/>
    <col min="15361" max="15361" width="58.85546875" style="36" customWidth="1"/>
    <col min="15362" max="15363" width="11.42578125" style="36"/>
    <col min="15364" max="15364" width="2.140625" style="36" customWidth="1"/>
    <col min="15365" max="15365" width="11.42578125" style="36"/>
    <col min="15366" max="15366" width="9.5703125" style="36" customWidth="1"/>
    <col min="15367" max="15612" width="11.42578125" style="36"/>
    <col min="15613" max="15613" width="0.140625" style="36" customWidth="1"/>
    <col min="15614" max="15614" width="2.7109375" style="36" customWidth="1"/>
    <col min="15615" max="15615" width="18.5703125" style="36" customWidth="1"/>
    <col min="15616" max="15616" width="1.28515625" style="36" customWidth="1"/>
    <col min="15617" max="15617" width="58.85546875" style="36" customWidth="1"/>
    <col min="15618" max="15619" width="11.42578125" style="36"/>
    <col min="15620" max="15620" width="2.140625" style="36" customWidth="1"/>
    <col min="15621" max="15621" width="11.42578125" style="36"/>
    <col min="15622" max="15622" width="9.5703125" style="36" customWidth="1"/>
    <col min="15623" max="15868" width="11.42578125" style="36"/>
    <col min="15869" max="15869" width="0.140625" style="36" customWidth="1"/>
    <col min="15870" max="15870" width="2.7109375" style="36" customWidth="1"/>
    <col min="15871" max="15871" width="18.5703125" style="36" customWidth="1"/>
    <col min="15872" max="15872" width="1.28515625" style="36" customWidth="1"/>
    <col min="15873" max="15873" width="58.85546875" style="36" customWidth="1"/>
    <col min="15874" max="15875" width="11.42578125" style="36"/>
    <col min="15876" max="15876" width="2.140625" style="36" customWidth="1"/>
    <col min="15877" max="15877" width="11.42578125" style="36"/>
    <col min="15878" max="15878" width="9.5703125" style="36" customWidth="1"/>
    <col min="15879" max="16124" width="11.42578125" style="36"/>
    <col min="16125" max="16125" width="0.140625" style="36" customWidth="1"/>
    <col min="16126" max="16126" width="2.7109375" style="36" customWidth="1"/>
    <col min="16127" max="16127" width="18.5703125" style="36" customWidth="1"/>
    <col min="16128" max="16128" width="1.28515625" style="36" customWidth="1"/>
    <col min="16129" max="16129" width="58.85546875" style="36" customWidth="1"/>
    <col min="16130" max="16131" width="11.42578125" style="36"/>
    <col min="16132" max="16132" width="2.140625" style="36" customWidth="1"/>
    <col min="16133" max="16133" width="11.42578125" style="36"/>
    <col min="16134" max="16134" width="9.5703125" style="36" customWidth="1"/>
    <col min="16135" max="16384" width="11.42578125" style="36"/>
  </cols>
  <sheetData>
    <row r="1" spans="2:7" s="26" customFormat="1" ht="0.75" customHeight="1"/>
    <row r="2" spans="2:7" s="26" customFormat="1" ht="21" customHeight="1">
      <c r="E2" s="103" t="s">
        <v>1</v>
      </c>
    </row>
    <row r="3" spans="2:7" s="26" customFormat="1" ht="15" customHeight="1">
      <c r="E3" s="104" t="str">
        <f>Indice!E3</f>
        <v>Noviembre 2020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</row>
    <row r="7" spans="2:7" s="29" customFormat="1" ht="12.75" customHeight="1">
      <c r="B7" s="28"/>
      <c r="C7" s="328" t="s">
        <v>58</v>
      </c>
      <c r="D7" s="32"/>
      <c r="E7" s="39"/>
    </row>
    <row r="8" spans="2:7" s="29" customFormat="1" ht="12.75" customHeight="1">
      <c r="B8" s="28"/>
      <c r="C8" s="328"/>
      <c r="D8" s="32"/>
      <c r="E8" s="39"/>
      <c r="F8" s="33"/>
    </row>
    <row r="9" spans="2:7" s="29" customFormat="1" ht="12.75" customHeight="1">
      <c r="B9" s="28"/>
      <c r="C9" s="295"/>
      <c r="D9" s="32"/>
      <c r="E9" s="39"/>
      <c r="F9" s="266"/>
      <c r="G9" s="267"/>
    </row>
    <row r="10" spans="2:7" s="29" customFormat="1" ht="12.75" customHeight="1">
      <c r="B10" s="28"/>
      <c r="C10" s="132"/>
      <c r="D10" s="32"/>
      <c r="E10" s="39"/>
      <c r="F10" s="33"/>
    </row>
    <row r="11" spans="2:7" s="29" customFormat="1" ht="12.75" customHeight="1">
      <c r="B11" s="28"/>
      <c r="C11" s="34"/>
      <c r="D11" s="32"/>
      <c r="E11" s="39"/>
      <c r="F11" s="33"/>
    </row>
    <row r="12" spans="2:7" s="29" customFormat="1" ht="12.75" customHeight="1">
      <c r="B12" s="28"/>
      <c r="D12" s="32"/>
      <c r="E12" s="32"/>
      <c r="F12" s="33"/>
    </row>
    <row r="13" spans="2:7" s="29" customFormat="1" ht="12.75" customHeight="1">
      <c r="B13" s="28"/>
      <c r="C13" s="35"/>
      <c r="D13" s="32"/>
      <c r="E13" s="32"/>
      <c r="F13" s="33"/>
    </row>
    <row r="14" spans="2:7" s="29" customFormat="1" ht="12.75" customHeight="1">
      <c r="B14" s="28"/>
      <c r="C14" s="35"/>
      <c r="D14" s="32"/>
      <c r="E14" s="32"/>
      <c r="F14" s="33"/>
    </row>
    <row r="15" spans="2:7" s="29" customFormat="1" ht="12.75" customHeight="1">
      <c r="B15" s="28"/>
      <c r="C15" s="35"/>
      <c r="D15" s="32"/>
      <c r="E15" s="32"/>
      <c r="F15" s="33"/>
    </row>
    <row r="16" spans="2:7" s="29" customFormat="1" ht="12.75" customHeight="1">
      <c r="B16" s="28"/>
      <c r="C16" s="35"/>
      <c r="D16" s="32"/>
      <c r="E16" s="32"/>
      <c r="F16" s="33"/>
    </row>
    <row r="17" spans="2:6" s="29" customFormat="1" ht="12.75" customHeight="1">
      <c r="B17" s="28"/>
      <c r="D17" s="32"/>
      <c r="E17" s="32"/>
      <c r="F17" s="33"/>
    </row>
    <row r="18" spans="2:6" s="29" customFormat="1" ht="12.75" customHeight="1">
      <c r="B18" s="28"/>
      <c r="D18" s="32"/>
      <c r="E18" s="32"/>
      <c r="F18" s="33"/>
    </row>
    <row r="19" spans="2:6" s="29" customFormat="1" ht="12.75" customHeight="1">
      <c r="B19" s="28"/>
      <c r="C19" s="35"/>
      <c r="D19" s="32"/>
      <c r="E19" s="32"/>
      <c r="F19" s="33"/>
    </row>
    <row r="20" spans="2:6" s="29" customFormat="1" ht="12.75" customHeight="1">
      <c r="B20" s="28"/>
      <c r="C20" s="31"/>
      <c r="D20" s="32"/>
      <c r="E20" s="32"/>
      <c r="F20" s="33"/>
    </row>
    <row r="21" spans="2:6" s="29" customFormat="1" ht="12.75" customHeight="1">
      <c r="B21" s="28"/>
      <c r="C21" s="31"/>
      <c r="D21" s="32"/>
      <c r="E21" s="32"/>
      <c r="F21" s="33"/>
    </row>
    <row r="22" spans="2:6" s="29" customFormat="1" ht="12.75" customHeight="1">
      <c r="B22" s="28"/>
      <c r="C22" s="31"/>
      <c r="D22" s="32"/>
      <c r="E22" s="32"/>
    </row>
    <row r="23" spans="2:6" ht="12.75" customHeight="1">
      <c r="C23" s="328" t="s">
        <v>60</v>
      </c>
      <c r="E23" s="41"/>
    </row>
    <row r="24" spans="2:6" ht="12.75" customHeight="1">
      <c r="C24" s="328"/>
      <c r="E24" s="37"/>
    </row>
    <row r="25" spans="2:6" ht="12.75" customHeight="1">
      <c r="C25" s="328"/>
      <c r="E25" s="38"/>
    </row>
    <row r="26" spans="2:6" ht="12.75" customHeight="1">
      <c r="C26" s="132"/>
    </row>
    <row r="27" spans="2:6">
      <c r="C27" s="132"/>
    </row>
    <row r="28" spans="2:6">
      <c r="C28" s="40"/>
      <c r="F28" s="33"/>
    </row>
    <row r="29" spans="2:6">
      <c r="C29" s="40"/>
      <c r="F29" s="33"/>
    </row>
    <row r="30" spans="2:6">
      <c r="C30" s="34"/>
      <c r="F30" s="33"/>
    </row>
    <row r="31" spans="2:6">
      <c r="F31" s="33"/>
    </row>
    <row r="32" spans="2:6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/>
      <c r="F39" s="33"/>
    </row>
    <row r="40" spans="5:8">
      <c r="F40" s="33"/>
      <c r="H40" s="105"/>
    </row>
  </sheetData>
  <mergeCells count="2">
    <mergeCell ref="C7:C8"/>
    <mergeCell ref="C23:C25"/>
  </mergeCells>
  <printOptions horizontalCentered="1" verticalCentered="1"/>
  <pageMargins left="0.78740157480314965" right="0.78740157480314965" top="0.98425196850393704" bottom="0.98425196850393704" header="0" footer="0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G30"/>
  <sheetViews>
    <sheetView showGridLines="0" showRowColHeaders="0" zoomScaleNormal="100" workbookViewId="0">
      <selection activeCell="G31" sqref="G31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6" width="1.28515625" style="26" customWidth="1"/>
    <col min="7" max="7" width="58.85546875" style="36" customWidth="1"/>
    <col min="8" max="8" width="11.42578125" style="36"/>
    <col min="9" max="9" width="15.5703125" style="36" customWidth="1"/>
    <col min="10" max="255" width="11.42578125" style="36"/>
    <col min="256" max="256" width="0.140625" style="36" customWidth="1"/>
    <col min="257" max="257" width="2.7109375" style="36" customWidth="1"/>
    <col min="258" max="258" width="18.5703125" style="36" customWidth="1"/>
    <col min="259" max="259" width="1.28515625" style="36" customWidth="1"/>
    <col min="260" max="260" width="58.85546875" style="36" customWidth="1"/>
    <col min="261" max="262" width="11.42578125" style="36"/>
    <col min="263" max="263" width="2.140625" style="36" customWidth="1"/>
    <col min="264" max="264" width="11.42578125" style="36"/>
    <col min="265" max="265" width="9.5703125" style="36" customWidth="1"/>
    <col min="266" max="511" width="11.42578125" style="36"/>
    <col min="512" max="512" width="0.140625" style="36" customWidth="1"/>
    <col min="513" max="513" width="2.7109375" style="36" customWidth="1"/>
    <col min="514" max="514" width="18.5703125" style="36" customWidth="1"/>
    <col min="515" max="515" width="1.28515625" style="36" customWidth="1"/>
    <col min="516" max="516" width="58.85546875" style="36" customWidth="1"/>
    <col min="517" max="518" width="11.42578125" style="36"/>
    <col min="519" max="519" width="2.140625" style="36" customWidth="1"/>
    <col min="520" max="520" width="11.42578125" style="36"/>
    <col min="521" max="521" width="9.5703125" style="36" customWidth="1"/>
    <col min="522" max="767" width="11.42578125" style="36"/>
    <col min="768" max="768" width="0.140625" style="36" customWidth="1"/>
    <col min="769" max="769" width="2.7109375" style="36" customWidth="1"/>
    <col min="770" max="770" width="18.5703125" style="36" customWidth="1"/>
    <col min="771" max="771" width="1.28515625" style="36" customWidth="1"/>
    <col min="772" max="772" width="58.85546875" style="36" customWidth="1"/>
    <col min="773" max="774" width="11.42578125" style="36"/>
    <col min="775" max="775" width="2.140625" style="36" customWidth="1"/>
    <col min="776" max="776" width="11.42578125" style="36"/>
    <col min="777" max="777" width="9.5703125" style="36" customWidth="1"/>
    <col min="778" max="1023" width="11.42578125" style="36"/>
    <col min="1024" max="1024" width="0.140625" style="36" customWidth="1"/>
    <col min="1025" max="1025" width="2.7109375" style="36" customWidth="1"/>
    <col min="1026" max="1026" width="18.5703125" style="36" customWidth="1"/>
    <col min="1027" max="1027" width="1.28515625" style="36" customWidth="1"/>
    <col min="1028" max="1028" width="58.85546875" style="36" customWidth="1"/>
    <col min="1029" max="1030" width="11.42578125" style="36"/>
    <col min="1031" max="1031" width="2.140625" style="36" customWidth="1"/>
    <col min="1032" max="1032" width="11.42578125" style="36"/>
    <col min="1033" max="1033" width="9.5703125" style="36" customWidth="1"/>
    <col min="1034" max="1279" width="11.42578125" style="36"/>
    <col min="1280" max="1280" width="0.140625" style="36" customWidth="1"/>
    <col min="1281" max="1281" width="2.7109375" style="36" customWidth="1"/>
    <col min="1282" max="1282" width="18.5703125" style="36" customWidth="1"/>
    <col min="1283" max="1283" width="1.28515625" style="36" customWidth="1"/>
    <col min="1284" max="1284" width="58.85546875" style="36" customWidth="1"/>
    <col min="1285" max="1286" width="11.42578125" style="36"/>
    <col min="1287" max="1287" width="2.140625" style="36" customWidth="1"/>
    <col min="1288" max="1288" width="11.42578125" style="36"/>
    <col min="1289" max="1289" width="9.5703125" style="36" customWidth="1"/>
    <col min="1290" max="1535" width="11.42578125" style="36"/>
    <col min="1536" max="1536" width="0.140625" style="36" customWidth="1"/>
    <col min="1537" max="1537" width="2.7109375" style="36" customWidth="1"/>
    <col min="1538" max="1538" width="18.5703125" style="36" customWidth="1"/>
    <col min="1539" max="1539" width="1.28515625" style="36" customWidth="1"/>
    <col min="1540" max="1540" width="58.85546875" style="36" customWidth="1"/>
    <col min="1541" max="1542" width="11.42578125" style="36"/>
    <col min="1543" max="1543" width="2.140625" style="36" customWidth="1"/>
    <col min="1544" max="1544" width="11.42578125" style="36"/>
    <col min="1545" max="1545" width="9.5703125" style="36" customWidth="1"/>
    <col min="1546" max="1791" width="11.42578125" style="36"/>
    <col min="1792" max="1792" width="0.140625" style="36" customWidth="1"/>
    <col min="1793" max="1793" width="2.7109375" style="36" customWidth="1"/>
    <col min="1794" max="1794" width="18.5703125" style="36" customWidth="1"/>
    <col min="1795" max="1795" width="1.28515625" style="36" customWidth="1"/>
    <col min="1796" max="1796" width="58.85546875" style="36" customWidth="1"/>
    <col min="1797" max="1798" width="11.42578125" style="36"/>
    <col min="1799" max="1799" width="2.140625" style="36" customWidth="1"/>
    <col min="1800" max="1800" width="11.42578125" style="36"/>
    <col min="1801" max="1801" width="9.5703125" style="36" customWidth="1"/>
    <col min="1802" max="2047" width="11.42578125" style="36"/>
    <col min="2048" max="2048" width="0.140625" style="36" customWidth="1"/>
    <col min="2049" max="2049" width="2.7109375" style="36" customWidth="1"/>
    <col min="2050" max="2050" width="18.5703125" style="36" customWidth="1"/>
    <col min="2051" max="2051" width="1.28515625" style="36" customWidth="1"/>
    <col min="2052" max="2052" width="58.85546875" style="36" customWidth="1"/>
    <col min="2053" max="2054" width="11.42578125" style="36"/>
    <col min="2055" max="2055" width="2.140625" style="36" customWidth="1"/>
    <col min="2056" max="2056" width="11.42578125" style="36"/>
    <col min="2057" max="2057" width="9.5703125" style="36" customWidth="1"/>
    <col min="2058" max="2303" width="11.42578125" style="36"/>
    <col min="2304" max="2304" width="0.140625" style="36" customWidth="1"/>
    <col min="2305" max="2305" width="2.7109375" style="36" customWidth="1"/>
    <col min="2306" max="2306" width="18.5703125" style="36" customWidth="1"/>
    <col min="2307" max="2307" width="1.28515625" style="36" customWidth="1"/>
    <col min="2308" max="2308" width="58.85546875" style="36" customWidth="1"/>
    <col min="2309" max="2310" width="11.42578125" style="36"/>
    <col min="2311" max="2311" width="2.140625" style="36" customWidth="1"/>
    <col min="2312" max="2312" width="11.42578125" style="36"/>
    <col min="2313" max="2313" width="9.5703125" style="36" customWidth="1"/>
    <col min="2314" max="2559" width="11.42578125" style="36"/>
    <col min="2560" max="2560" width="0.140625" style="36" customWidth="1"/>
    <col min="2561" max="2561" width="2.7109375" style="36" customWidth="1"/>
    <col min="2562" max="2562" width="18.5703125" style="36" customWidth="1"/>
    <col min="2563" max="2563" width="1.28515625" style="36" customWidth="1"/>
    <col min="2564" max="2564" width="58.85546875" style="36" customWidth="1"/>
    <col min="2565" max="2566" width="11.42578125" style="36"/>
    <col min="2567" max="2567" width="2.140625" style="36" customWidth="1"/>
    <col min="2568" max="2568" width="11.42578125" style="36"/>
    <col min="2569" max="2569" width="9.5703125" style="36" customWidth="1"/>
    <col min="2570" max="2815" width="11.42578125" style="36"/>
    <col min="2816" max="2816" width="0.140625" style="36" customWidth="1"/>
    <col min="2817" max="2817" width="2.7109375" style="36" customWidth="1"/>
    <col min="2818" max="2818" width="18.5703125" style="36" customWidth="1"/>
    <col min="2819" max="2819" width="1.28515625" style="36" customWidth="1"/>
    <col min="2820" max="2820" width="58.85546875" style="36" customWidth="1"/>
    <col min="2821" max="2822" width="11.42578125" style="36"/>
    <col min="2823" max="2823" width="2.140625" style="36" customWidth="1"/>
    <col min="2824" max="2824" width="11.42578125" style="36"/>
    <col min="2825" max="2825" width="9.5703125" style="36" customWidth="1"/>
    <col min="2826" max="3071" width="11.42578125" style="36"/>
    <col min="3072" max="3072" width="0.140625" style="36" customWidth="1"/>
    <col min="3073" max="3073" width="2.7109375" style="36" customWidth="1"/>
    <col min="3074" max="3074" width="18.5703125" style="36" customWidth="1"/>
    <col min="3075" max="3075" width="1.28515625" style="36" customWidth="1"/>
    <col min="3076" max="3076" width="58.85546875" style="36" customWidth="1"/>
    <col min="3077" max="3078" width="11.42578125" style="36"/>
    <col min="3079" max="3079" width="2.140625" style="36" customWidth="1"/>
    <col min="3080" max="3080" width="11.42578125" style="36"/>
    <col min="3081" max="3081" width="9.5703125" style="36" customWidth="1"/>
    <col min="3082" max="3327" width="11.42578125" style="36"/>
    <col min="3328" max="3328" width="0.140625" style="36" customWidth="1"/>
    <col min="3329" max="3329" width="2.7109375" style="36" customWidth="1"/>
    <col min="3330" max="3330" width="18.5703125" style="36" customWidth="1"/>
    <col min="3331" max="3331" width="1.28515625" style="36" customWidth="1"/>
    <col min="3332" max="3332" width="58.85546875" style="36" customWidth="1"/>
    <col min="3333" max="3334" width="11.42578125" style="36"/>
    <col min="3335" max="3335" width="2.140625" style="36" customWidth="1"/>
    <col min="3336" max="3336" width="11.42578125" style="36"/>
    <col min="3337" max="3337" width="9.5703125" style="36" customWidth="1"/>
    <col min="3338" max="3583" width="11.42578125" style="36"/>
    <col min="3584" max="3584" width="0.140625" style="36" customWidth="1"/>
    <col min="3585" max="3585" width="2.7109375" style="36" customWidth="1"/>
    <col min="3586" max="3586" width="18.5703125" style="36" customWidth="1"/>
    <col min="3587" max="3587" width="1.28515625" style="36" customWidth="1"/>
    <col min="3588" max="3588" width="58.85546875" style="36" customWidth="1"/>
    <col min="3589" max="3590" width="11.42578125" style="36"/>
    <col min="3591" max="3591" width="2.140625" style="36" customWidth="1"/>
    <col min="3592" max="3592" width="11.42578125" style="36"/>
    <col min="3593" max="3593" width="9.5703125" style="36" customWidth="1"/>
    <col min="3594" max="3839" width="11.42578125" style="36"/>
    <col min="3840" max="3840" width="0.140625" style="36" customWidth="1"/>
    <col min="3841" max="3841" width="2.7109375" style="36" customWidth="1"/>
    <col min="3842" max="3842" width="18.5703125" style="36" customWidth="1"/>
    <col min="3843" max="3843" width="1.28515625" style="36" customWidth="1"/>
    <col min="3844" max="3844" width="58.85546875" style="36" customWidth="1"/>
    <col min="3845" max="3846" width="11.42578125" style="36"/>
    <col min="3847" max="3847" width="2.140625" style="36" customWidth="1"/>
    <col min="3848" max="3848" width="11.42578125" style="36"/>
    <col min="3849" max="3849" width="9.5703125" style="36" customWidth="1"/>
    <col min="3850" max="4095" width="11.42578125" style="36"/>
    <col min="4096" max="4096" width="0.140625" style="36" customWidth="1"/>
    <col min="4097" max="4097" width="2.7109375" style="36" customWidth="1"/>
    <col min="4098" max="4098" width="18.5703125" style="36" customWidth="1"/>
    <col min="4099" max="4099" width="1.28515625" style="36" customWidth="1"/>
    <col min="4100" max="4100" width="58.85546875" style="36" customWidth="1"/>
    <col min="4101" max="4102" width="11.42578125" style="36"/>
    <col min="4103" max="4103" width="2.140625" style="36" customWidth="1"/>
    <col min="4104" max="4104" width="11.42578125" style="36"/>
    <col min="4105" max="4105" width="9.5703125" style="36" customWidth="1"/>
    <col min="4106" max="4351" width="11.42578125" style="36"/>
    <col min="4352" max="4352" width="0.140625" style="36" customWidth="1"/>
    <col min="4353" max="4353" width="2.7109375" style="36" customWidth="1"/>
    <col min="4354" max="4354" width="18.5703125" style="36" customWidth="1"/>
    <col min="4355" max="4355" width="1.28515625" style="36" customWidth="1"/>
    <col min="4356" max="4356" width="58.85546875" style="36" customWidth="1"/>
    <col min="4357" max="4358" width="11.42578125" style="36"/>
    <col min="4359" max="4359" width="2.140625" style="36" customWidth="1"/>
    <col min="4360" max="4360" width="11.42578125" style="36"/>
    <col min="4361" max="4361" width="9.5703125" style="36" customWidth="1"/>
    <col min="4362" max="4607" width="11.42578125" style="36"/>
    <col min="4608" max="4608" width="0.140625" style="36" customWidth="1"/>
    <col min="4609" max="4609" width="2.7109375" style="36" customWidth="1"/>
    <col min="4610" max="4610" width="18.5703125" style="36" customWidth="1"/>
    <col min="4611" max="4611" width="1.28515625" style="36" customWidth="1"/>
    <col min="4612" max="4612" width="58.85546875" style="36" customWidth="1"/>
    <col min="4613" max="4614" width="11.42578125" style="36"/>
    <col min="4615" max="4615" width="2.140625" style="36" customWidth="1"/>
    <col min="4616" max="4616" width="11.42578125" style="36"/>
    <col min="4617" max="4617" width="9.5703125" style="36" customWidth="1"/>
    <col min="4618" max="4863" width="11.42578125" style="36"/>
    <col min="4864" max="4864" width="0.140625" style="36" customWidth="1"/>
    <col min="4865" max="4865" width="2.7109375" style="36" customWidth="1"/>
    <col min="4866" max="4866" width="18.5703125" style="36" customWidth="1"/>
    <col min="4867" max="4867" width="1.28515625" style="36" customWidth="1"/>
    <col min="4868" max="4868" width="58.85546875" style="36" customWidth="1"/>
    <col min="4869" max="4870" width="11.42578125" style="36"/>
    <col min="4871" max="4871" width="2.140625" style="36" customWidth="1"/>
    <col min="4872" max="4872" width="11.42578125" style="36"/>
    <col min="4873" max="4873" width="9.5703125" style="36" customWidth="1"/>
    <col min="4874" max="5119" width="11.42578125" style="36"/>
    <col min="5120" max="5120" width="0.140625" style="36" customWidth="1"/>
    <col min="5121" max="5121" width="2.7109375" style="36" customWidth="1"/>
    <col min="5122" max="5122" width="18.5703125" style="36" customWidth="1"/>
    <col min="5123" max="5123" width="1.28515625" style="36" customWidth="1"/>
    <col min="5124" max="5124" width="58.85546875" style="36" customWidth="1"/>
    <col min="5125" max="5126" width="11.42578125" style="36"/>
    <col min="5127" max="5127" width="2.140625" style="36" customWidth="1"/>
    <col min="5128" max="5128" width="11.42578125" style="36"/>
    <col min="5129" max="5129" width="9.5703125" style="36" customWidth="1"/>
    <col min="5130" max="5375" width="11.42578125" style="36"/>
    <col min="5376" max="5376" width="0.140625" style="36" customWidth="1"/>
    <col min="5377" max="5377" width="2.7109375" style="36" customWidth="1"/>
    <col min="5378" max="5378" width="18.5703125" style="36" customWidth="1"/>
    <col min="5379" max="5379" width="1.28515625" style="36" customWidth="1"/>
    <col min="5380" max="5380" width="58.85546875" style="36" customWidth="1"/>
    <col min="5381" max="5382" width="11.42578125" style="36"/>
    <col min="5383" max="5383" width="2.140625" style="36" customWidth="1"/>
    <col min="5384" max="5384" width="11.42578125" style="36"/>
    <col min="5385" max="5385" width="9.5703125" style="36" customWidth="1"/>
    <col min="5386" max="5631" width="11.42578125" style="36"/>
    <col min="5632" max="5632" width="0.140625" style="36" customWidth="1"/>
    <col min="5633" max="5633" width="2.7109375" style="36" customWidth="1"/>
    <col min="5634" max="5634" width="18.5703125" style="36" customWidth="1"/>
    <col min="5635" max="5635" width="1.28515625" style="36" customWidth="1"/>
    <col min="5636" max="5636" width="58.85546875" style="36" customWidth="1"/>
    <col min="5637" max="5638" width="11.42578125" style="36"/>
    <col min="5639" max="5639" width="2.140625" style="36" customWidth="1"/>
    <col min="5640" max="5640" width="11.42578125" style="36"/>
    <col min="5641" max="5641" width="9.5703125" style="36" customWidth="1"/>
    <col min="5642" max="5887" width="11.42578125" style="36"/>
    <col min="5888" max="5888" width="0.140625" style="36" customWidth="1"/>
    <col min="5889" max="5889" width="2.7109375" style="36" customWidth="1"/>
    <col min="5890" max="5890" width="18.5703125" style="36" customWidth="1"/>
    <col min="5891" max="5891" width="1.28515625" style="36" customWidth="1"/>
    <col min="5892" max="5892" width="58.85546875" style="36" customWidth="1"/>
    <col min="5893" max="5894" width="11.42578125" style="36"/>
    <col min="5895" max="5895" width="2.140625" style="36" customWidth="1"/>
    <col min="5896" max="5896" width="11.42578125" style="36"/>
    <col min="5897" max="5897" width="9.5703125" style="36" customWidth="1"/>
    <col min="5898" max="6143" width="11.42578125" style="36"/>
    <col min="6144" max="6144" width="0.140625" style="36" customWidth="1"/>
    <col min="6145" max="6145" width="2.7109375" style="36" customWidth="1"/>
    <col min="6146" max="6146" width="18.5703125" style="36" customWidth="1"/>
    <col min="6147" max="6147" width="1.28515625" style="36" customWidth="1"/>
    <col min="6148" max="6148" width="58.85546875" style="36" customWidth="1"/>
    <col min="6149" max="6150" width="11.42578125" style="36"/>
    <col min="6151" max="6151" width="2.140625" style="36" customWidth="1"/>
    <col min="6152" max="6152" width="11.42578125" style="36"/>
    <col min="6153" max="6153" width="9.5703125" style="36" customWidth="1"/>
    <col min="6154" max="6399" width="11.42578125" style="36"/>
    <col min="6400" max="6400" width="0.140625" style="36" customWidth="1"/>
    <col min="6401" max="6401" width="2.7109375" style="36" customWidth="1"/>
    <col min="6402" max="6402" width="18.5703125" style="36" customWidth="1"/>
    <col min="6403" max="6403" width="1.28515625" style="36" customWidth="1"/>
    <col min="6404" max="6404" width="58.85546875" style="36" customWidth="1"/>
    <col min="6405" max="6406" width="11.42578125" style="36"/>
    <col min="6407" max="6407" width="2.140625" style="36" customWidth="1"/>
    <col min="6408" max="6408" width="11.42578125" style="36"/>
    <col min="6409" max="6409" width="9.5703125" style="36" customWidth="1"/>
    <col min="6410" max="6655" width="11.42578125" style="36"/>
    <col min="6656" max="6656" width="0.140625" style="36" customWidth="1"/>
    <col min="6657" max="6657" width="2.7109375" style="36" customWidth="1"/>
    <col min="6658" max="6658" width="18.5703125" style="36" customWidth="1"/>
    <col min="6659" max="6659" width="1.28515625" style="36" customWidth="1"/>
    <col min="6660" max="6660" width="58.85546875" style="36" customWidth="1"/>
    <col min="6661" max="6662" width="11.42578125" style="36"/>
    <col min="6663" max="6663" width="2.140625" style="36" customWidth="1"/>
    <col min="6664" max="6664" width="11.42578125" style="36"/>
    <col min="6665" max="6665" width="9.5703125" style="36" customWidth="1"/>
    <col min="6666" max="6911" width="11.42578125" style="36"/>
    <col min="6912" max="6912" width="0.140625" style="36" customWidth="1"/>
    <col min="6913" max="6913" width="2.7109375" style="36" customWidth="1"/>
    <col min="6914" max="6914" width="18.5703125" style="36" customWidth="1"/>
    <col min="6915" max="6915" width="1.28515625" style="36" customWidth="1"/>
    <col min="6916" max="6916" width="58.85546875" style="36" customWidth="1"/>
    <col min="6917" max="6918" width="11.42578125" style="36"/>
    <col min="6919" max="6919" width="2.140625" style="36" customWidth="1"/>
    <col min="6920" max="6920" width="11.42578125" style="36"/>
    <col min="6921" max="6921" width="9.5703125" style="36" customWidth="1"/>
    <col min="6922" max="7167" width="11.42578125" style="36"/>
    <col min="7168" max="7168" width="0.140625" style="36" customWidth="1"/>
    <col min="7169" max="7169" width="2.7109375" style="36" customWidth="1"/>
    <col min="7170" max="7170" width="18.5703125" style="36" customWidth="1"/>
    <col min="7171" max="7171" width="1.28515625" style="36" customWidth="1"/>
    <col min="7172" max="7172" width="58.85546875" style="36" customWidth="1"/>
    <col min="7173" max="7174" width="11.42578125" style="36"/>
    <col min="7175" max="7175" width="2.140625" style="36" customWidth="1"/>
    <col min="7176" max="7176" width="11.42578125" style="36"/>
    <col min="7177" max="7177" width="9.5703125" style="36" customWidth="1"/>
    <col min="7178" max="7423" width="11.42578125" style="36"/>
    <col min="7424" max="7424" width="0.140625" style="36" customWidth="1"/>
    <col min="7425" max="7425" width="2.7109375" style="36" customWidth="1"/>
    <col min="7426" max="7426" width="18.5703125" style="36" customWidth="1"/>
    <col min="7427" max="7427" width="1.28515625" style="36" customWidth="1"/>
    <col min="7428" max="7428" width="58.85546875" style="36" customWidth="1"/>
    <col min="7429" max="7430" width="11.42578125" style="36"/>
    <col min="7431" max="7431" width="2.140625" style="36" customWidth="1"/>
    <col min="7432" max="7432" width="11.42578125" style="36"/>
    <col min="7433" max="7433" width="9.5703125" style="36" customWidth="1"/>
    <col min="7434" max="7679" width="11.42578125" style="36"/>
    <col min="7680" max="7680" width="0.140625" style="36" customWidth="1"/>
    <col min="7681" max="7681" width="2.7109375" style="36" customWidth="1"/>
    <col min="7682" max="7682" width="18.5703125" style="36" customWidth="1"/>
    <col min="7683" max="7683" width="1.28515625" style="36" customWidth="1"/>
    <col min="7684" max="7684" width="58.85546875" style="36" customWidth="1"/>
    <col min="7685" max="7686" width="11.42578125" style="36"/>
    <col min="7687" max="7687" width="2.140625" style="36" customWidth="1"/>
    <col min="7688" max="7688" width="11.42578125" style="36"/>
    <col min="7689" max="7689" width="9.5703125" style="36" customWidth="1"/>
    <col min="7690" max="7935" width="11.42578125" style="36"/>
    <col min="7936" max="7936" width="0.140625" style="36" customWidth="1"/>
    <col min="7937" max="7937" width="2.7109375" style="36" customWidth="1"/>
    <col min="7938" max="7938" width="18.5703125" style="36" customWidth="1"/>
    <col min="7939" max="7939" width="1.28515625" style="36" customWidth="1"/>
    <col min="7940" max="7940" width="58.85546875" style="36" customWidth="1"/>
    <col min="7941" max="7942" width="11.42578125" style="36"/>
    <col min="7943" max="7943" width="2.140625" style="36" customWidth="1"/>
    <col min="7944" max="7944" width="11.42578125" style="36"/>
    <col min="7945" max="7945" width="9.5703125" style="36" customWidth="1"/>
    <col min="7946" max="8191" width="11.42578125" style="36"/>
    <col min="8192" max="8192" width="0.140625" style="36" customWidth="1"/>
    <col min="8193" max="8193" width="2.7109375" style="36" customWidth="1"/>
    <col min="8194" max="8194" width="18.5703125" style="36" customWidth="1"/>
    <col min="8195" max="8195" width="1.28515625" style="36" customWidth="1"/>
    <col min="8196" max="8196" width="58.85546875" style="36" customWidth="1"/>
    <col min="8197" max="8198" width="11.42578125" style="36"/>
    <col min="8199" max="8199" width="2.140625" style="36" customWidth="1"/>
    <col min="8200" max="8200" width="11.42578125" style="36"/>
    <col min="8201" max="8201" width="9.5703125" style="36" customWidth="1"/>
    <col min="8202" max="8447" width="11.42578125" style="36"/>
    <col min="8448" max="8448" width="0.140625" style="36" customWidth="1"/>
    <col min="8449" max="8449" width="2.7109375" style="36" customWidth="1"/>
    <col min="8450" max="8450" width="18.5703125" style="36" customWidth="1"/>
    <col min="8451" max="8451" width="1.28515625" style="36" customWidth="1"/>
    <col min="8452" max="8452" width="58.85546875" style="36" customWidth="1"/>
    <col min="8453" max="8454" width="11.42578125" style="36"/>
    <col min="8455" max="8455" width="2.140625" style="36" customWidth="1"/>
    <col min="8456" max="8456" width="11.42578125" style="36"/>
    <col min="8457" max="8457" width="9.5703125" style="36" customWidth="1"/>
    <col min="8458" max="8703" width="11.42578125" style="36"/>
    <col min="8704" max="8704" width="0.140625" style="36" customWidth="1"/>
    <col min="8705" max="8705" width="2.7109375" style="36" customWidth="1"/>
    <col min="8706" max="8706" width="18.5703125" style="36" customWidth="1"/>
    <col min="8707" max="8707" width="1.28515625" style="36" customWidth="1"/>
    <col min="8708" max="8708" width="58.85546875" style="36" customWidth="1"/>
    <col min="8709" max="8710" width="11.42578125" style="36"/>
    <col min="8711" max="8711" width="2.140625" style="36" customWidth="1"/>
    <col min="8712" max="8712" width="11.42578125" style="36"/>
    <col min="8713" max="8713" width="9.5703125" style="36" customWidth="1"/>
    <col min="8714" max="8959" width="11.42578125" style="36"/>
    <col min="8960" max="8960" width="0.140625" style="36" customWidth="1"/>
    <col min="8961" max="8961" width="2.7109375" style="36" customWidth="1"/>
    <col min="8962" max="8962" width="18.5703125" style="36" customWidth="1"/>
    <col min="8963" max="8963" width="1.28515625" style="36" customWidth="1"/>
    <col min="8964" max="8964" width="58.85546875" style="36" customWidth="1"/>
    <col min="8965" max="8966" width="11.42578125" style="36"/>
    <col min="8967" max="8967" width="2.140625" style="36" customWidth="1"/>
    <col min="8968" max="8968" width="11.42578125" style="36"/>
    <col min="8969" max="8969" width="9.5703125" style="36" customWidth="1"/>
    <col min="8970" max="9215" width="11.42578125" style="36"/>
    <col min="9216" max="9216" width="0.140625" style="36" customWidth="1"/>
    <col min="9217" max="9217" width="2.7109375" style="36" customWidth="1"/>
    <col min="9218" max="9218" width="18.5703125" style="36" customWidth="1"/>
    <col min="9219" max="9219" width="1.28515625" style="36" customWidth="1"/>
    <col min="9220" max="9220" width="58.85546875" style="36" customWidth="1"/>
    <col min="9221" max="9222" width="11.42578125" style="36"/>
    <col min="9223" max="9223" width="2.140625" style="36" customWidth="1"/>
    <col min="9224" max="9224" width="11.42578125" style="36"/>
    <col min="9225" max="9225" width="9.5703125" style="36" customWidth="1"/>
    <col min="9226" max="9471" width="11.42578125" style="36"/>
    <col min="9472" max="9472" width="0.140625" style="36" customWidth="1"/>
    <col min="9473" max="9473" width="2.7109375" style="36" customWidth="1"/>
    <col min="9474" max="9474" width="18.5703125" style="36" customWidth="1"/>
    <col min="9475" max="9475" width="1.28515625" style="36" customWidth="1"/>
    <col min="9476" max="9476" width="58.85546875" style="36" customWidth="1"/>
    <col min="9477" max="9478" width="11.42578125" style="36"/>
    <col min="9479" max="9479" width="2.140625" style="36" customWidth="1"/>
    <col min="9480" max="9480" width="11.42578125" style="36"/>
    <col min="9481" max="9481" width="9.5703125" style="36" customWidth="1"/>
    <col min="9482" max="9727" width="11.42578125" style="36"/>
    <col min="9728" max="9728" width="0.140625" style="36" customWidth="1"/>
    <col min="9729" max="9729" width="2.7109375" style="36" customWidth="1"/>
    <col min="9730" max="9730" width="18.5703125" style="36" customWidth="1"/>
    <col min="9731" max="9731" width="1.28515625" style="36" customWidth="1"/>
    <col min="9732" max="9732" width="58.85546875" style="36" customWidth="1"/>
    <col min="9733" max="9734" width="11.42578125" style="36"/>
    <col min="9735" max="9735" width="2.140625" style="36" customWidth="1"/>
    <col min="9736" max="9736" width="11.42578125" style="36"/>
    <col min="9737" max="9737" width="9.5703125" style="36" customWidth="1"/>
    <col min="9738" max="9983" width="11.42578125" style="36"/>
    <col min="9984" max="9984" width="0.140625" style="36" customWidth="1"/>
    <col min="9985" max="9985" width="2.7109375" style="36" customWidth="1"/>
    <col min="9986" max="9986" width="18.5703125" style="36" customWidth="1"/>
    <col min="9987" max="9987" width="1.28515625" style="36" customWidth="1"/>
    <col min="9988" max="9988" width="58.85546875" style="36" customWidth="1"/>
    <col min="9989" max="9990" width="11.42578125" style="36"/>
    <col min="9991" max="9991" width="2.140625" style="36" customWidth="1"/>
    <col min="9992" max="9992" width="11.42578125" style="36"/>
    <col min="9993" max="9993" width="9.5703125" style="36" customWidth="1"/>
    <col min="9994" max="10239" width="11.42578125" style="36"/>
    <col min="10240" max="10240" width="0.140625" style="36" customWidth="1"/>
    <col min="10241" max="10241" width="2.7109375" style="36" customWidth="1"/>
    <col min="10242" max="10242" width="18.5703125" style="36" customWidth="1"/>
    <col min="10243" max="10243" width="1.28515625" style="36" customWidth="1"/>
    <col min="10244" max="10244" width="58.85546875" style="36" customWidth="1"/>
    <col min="10245" max="10246" width="11.42578125" style="36"/>
    <col min="10247" max="10247" width="2.140625" style="36" customWidth="1"/>
    <col min="10248" max="10248" width="11.42578125" style="36"/>
    <col min="10249" max="10249" width="9.5703125" style="36" customWidth="1"/>
    <col min="10250" max="10495" width="11.42578125" style="36"/>
    <col min="10496" max="10496" width="0.140625" style="36" customWidth="1"/>
    <col min="10497" max="10497" width="2.7109375" style="36" customWidth="1"/>
    <col min="10498" max="10498" width="18.5703125" style="36" customWidth="1"/>
    <col min="10499" max="10499" width="1.28515625" style="36" customWidth="1"/>
    <col min="10500" max="10500" width="58.85546875" style="36" customWidth="1"/>
    <col min="10501" max="10502" width="11.42578125" style="36"/>
    <col min="10503" max="10503" width="2.140625" style="36" customWidth="1"/>
    <col min="10504" max="10504" width="11.42578125" style="36"/>
    <col min="10505" max="10505" width="9.5703125" style="36" customWidth="1"/>
    <col min="10506" max="10751" width="11.42578125" style="36"/>
    <col min="10752" max="10752" width="0.140625" style="36" customWidth="1"/>
    <col min="10753" max="10753" width="2.7109375" style="36" customWidth="1"/>
    <col min="10754" max="10754" width="18.5703125" style="36" customWidth="1"/>
    <col min="10755" max="10755" width="1.28515625" style="36" customWidth="1"/>
    <col min="10756" max="10756" width="58.85546875" style="36" customWidth="1"/>
    <col min="10757" max="10758" width="11.42578125" style="36"/>
    <col min="10759" max="10759" width="2.140625" style="36" customWidth="1"/>
    <col min="10760" max="10760" width="11.42578125" style="36"/>
    <col min="10761" max="10761" width="9.5703125" style="36" customWidth="1"/>
    <col min="10762" max="11007" width="11.42578125" style="36"/>
    <col min="11008" max="11008" width="0.140625" style="36" customWidth="1"/>
    <col min="11009" max="11009" width="2.7109375" style="36" customWidth="1"/>
    <col min="11010" max="11010" width="18.5703125" style="36" customWidth="1"/>
    <col min="11011" max="11011" width="1.28515625" style="36" customWidth="1"/>
    <col min="11012" max="11012" width="58.85546875" style="36" customWidth="1"/>
    <col min="11013" max="11014" width="11.42578125" style="36"/>
    <col min="11015" max="11015" width="2.140625" style="36" customWidth="1"/>
    <col min="11016" max="11016" width="11.42578125" style="36"/>
    <col min="11017" max="11017" width="9.5703125" style="36" customWidth="1"/>
    <col min="11018" max="11263" width="11.42578125" style="36"/>
    <col min="11264" max="11264" width="0.140625" style="36" customWidth="1"/>
    <col min="11265" max="11265" width="2.7109375" style="36" customWidth="1"/>
    <col min="11266" max="11266" width="18.5703125" style="36" customWidth="1"/>
    <col min="11267" max="11267" width="1.28515625" style="36" customWidth="1"/>
    <col min="11268" max="11268" width="58.85546875" style="36" customWidth="1"/>
    <col min="11269" max="11270" width="11.42578125" style="36"/>
    <col min="11271" max="11271" width="2.140625" style="36" customWidth="1"/>
    <col min="11272" max="11272" width="11.42578125" style="36"/>
    <col min="11273" max="11273" width="9.5703125" style="36" customWidth="1"/>
    <col min="11274" max="11519" width="11.42578125" style="36"/>
    <col min="11520" max="11520" width="0.140625" style="36" customWidth="1"/>
    <col min="11521" max="11521" width="2.7109375" style="36" customWidth="1"/>
    <col min="11522" max="11522" width="18.5703125" style="36" customWidth="1"/>
    <col min="11523" max="11523" width="1.28515625" style="36" customWidth="1"/>
    <col min="11524" max="11524" width="58.85546875" style="36" customWidth="1"/>
    <col min="11525" max="11526" width="11.42578125" style="36"/>
    <col min="11527" max="11527" width="2.140625" style="36" customWidth="1"/>
    <col min="11528" max="11528" width="11.42578125" style="36"/>
    <col min="11529" max="11529" width="9.5703125" style="36" customWidth="1"/>
    <col min="11530" max="11775" width="11.42578125" style="36"/>
    <col min="11776" max="11776" width="0.140625" style="36" customWidth="1"/>
    <col min="11777" max="11777" width="2.7109375" style="36" customWidth="1"/>
    <col min="11778" max="11778" width="18.5703125" style="36" customWidth="1"/>
    <col min="11779" max="11779" width="1.28515625" style="36" customWidth="1"/>
    <col min="11780" max="11780" width="58.85546875" style="36" customWidth="1"/>
    <col min="11781" max="11782" width="11.42578125" style="36"/>
    <col min="11783" max="11783" width="2.140625" style="36" customWidth="1"/>
    <col min="11784" max="11784" width="11.42578125" style="36"/>
    <col min="11785" max="11785" width="9.5703125" style="36" customWidth="1"/>
    <col min="11786" max="12031" width="11.42578125" style="36"/>
    <col min="12032" max="12032" width="0.140625" style="36" customWidth="1"/>
    <col min="12033" max="12033" width="2.7109375" style="36" customWidth="1"/>
    <col min="12034" max="12034" width="18.5703125" style="36" customWidth="1"/>
    <col min="12035" max="12035" width="1.28515625" style="36" customWidth="1"/>
    <col min="12036" max="12036" width="58.85546875" style="36" customWidth="1"/>
    <col min="12037" max="12038" width="11.42578125" style="36"/>
    <col min="12039" max="12039" width="2.140625" style="36" customWidth="1"/>
    <col min="12040" max="12040" width="11.42578125" style="36"/>
    <col min="12041" max="12041" width="9.5703125" style="36" customWidth="1"/>
    <col min="12042" max="12287" width="11.42578125" style="36"/>
    <col min="12288" max="12288" width="0.140625" style="36" customWidth="1"/>
    <col min="12289" max="12289" width="2.7109375" style="36" customWidth="1"/>
    <col min="12290" max="12290" width="18.5703125" style="36" customWidth="1"/>
    <col min="12291" max="12291" width="1.28515625" style="36" customWidth="1"/>
    <col min="12292" max="12292" width="58.85546875" style="36" customWidth="1"/>
    <col min="12293" max="12294" width="11.42578125" style="36"/>
    <col min="12295" max="12295" width="2.140625" style="36" customWidth="1"/>
    <col min="12296" max="12296" width="11.42578125" style="36"/>
    <col min="12297" max="12297" width="9.5703125" style="36" customWidth="1"/>
    <col min="12298" max="12543" width="11.42578125" style="36"/>
    <col min="12544" max="12544" width="0.140625" style="36" customWidth="1"/>
    <col min="12545" max="12545" width="2.7109375" style="36" customWidth="1"/>
    <col min="12546" max="12546" width="18.5703125" style="36" customWidth="1"/>
    <col min="12547" max="12547" width="1.28515625" style="36" customWidth="1"/>
    <col min="12548" max="12548" width="58.85546875" style="36" customWidth="1"/>
    <col min="12549" max="12550" width="11.42578125" style="36"/>
    <col min="12551" max="12551" width="2.140625" style="36" customWidth="1"/>
    <col min="12552" max="12552" width="11.42578125" style="36"/>
    <col min="12553" max="12553" width="9.5703125" style="36" customWidth="1"/>
    <col min="12554" max="12799" width="11.42578125" style="36"/>
    <col min="12800" max="12800" width="0.140625" style="36" customWidth="1"/>
    <col min="12801" max="12801" width="2.7109375" style="36" customWidth="1"/>
    <col min="12802" max="12802" width="18.5703125" style="36" customWidth="1"/>
    <col min="12803" max="12803" width="1.28515625" style="36" customWidth="1"/>
    <col min="12804" max="12804" width="58.85546875" style="36" customWidth="1"/>
    <col min="12805" max="12806" width="11.42578125" style="36"/>
    <col min="12807" max="12807" width="2.140625" style="36" customWidth="1"/>
    <col min="12808" max="12808" width="11.42578125" style="36"/>
    <col min="12809" max="12809" width="9.5703125" style="36" customWidth="1"/>
    <col min="12810" max="13055" width="11.42578125" style="36"/>
    <col min="13056" max="13056" width="0.140625" style="36" customWidth="1"/>
    <col min="13057" max="13057" width="2.7109375" style="36" customWidth="1"/>
    <col min="13058" max="13058" width="18.5703125" style="36" customWidth="1"/>
    <col min="13059" max="13059" width="1.28515625" style="36" customWidth="1"/>
    <col min="13060" max="13060" width="58.85546875" style="36" customWidth="1"/>
    <col min="13061" max="13062" width="11.42578125" style="36"/>
    <col min="13063" max="13063" width="2.140625" style="36" customWidth="1"/>
    <col min="13064" max="13064" width="11.42578125" style="36"/>
    <col min="13065" max="13065" width="9.5703125" style="36" customWidth="1"/>
    <col min="13066" max="13311" width="11.42578125" style="36"/>
    <col min="13312" max="13312" width="0.140625" style="36" customWidth="1"/>
    <col min="13313" max="13313" width="2.7109375" style="36" customWidth="1"/>
    <col min="13314" max="13314" width="18.5703125" style="36" customWidth="1"/>
    <col min="13315" max="13315" width="1.28515625" style="36" customWidth="1"/>
    <col min="13316" max="13316" width="58.85546875" style="36" customWidth="1"/>
    <col min="13317" max="13318" width="11.42578125" style="36"/>
    <col min="13319" max="13319" width="2.140625" style="36" customWidth="1"/>
    <col min="13320" max="13320" width="11.42578125" style="36"/>
    <col min="13321" max="13321" width="9.5703125" style="36" customWidth="1"/>
    <col min="13322" max="13567" width="11.42578125" style="36"/>
    <col min="13568" max="13568" width="0.140625" style="36" customWidth="1"/>
    <col min="13569" max="13569" width="2.7109375" style="36" customWidth="1"/>
    <col min="13570" max="13570" width="18.5703125" style="36" customWidth="1"/>
    <col min="13571" max="13571" width="1.28515625" style="36" customWidth="1"/>
    <col min="13572" max="13572" width="58.85546875" style="36" customWidth="1"/>
    <col min="13573" max="13574" width="11.42578125" style="36"/>
    <col min="13575" max="13575" width="2.140625" style="36" customWidth="1"/>
    <col min="13576" max="13576" width="11.42578125" style="36"/>
    <col min="13577" max="13577" width="9.5703125" style="36" customWidth="1"/>
    <col min="13578" max="13823" width="11.42578125" style="36"/>
    <col min="13824" max="13824" width="0.140625" style="36" customWidth="1"/>
    <col min="13825" max="13825" width="2.7109375" style="36" customWidth="1"/>
    <col min="13826" max="13826" width="18.5703125" style="36" customWidth="1"/>
    <col min="13827" max="13827" width="1.28515625" style="36" customWidth="1"/>
    <col min="13828" max="13828" width="58.85546875" style="36" customWidth="1"/>
    <col min="13829" max="13830" width="11.42578125" style="36"/>
    <col min="13831" max="13831" width="2.140625" style="36" customWidth="1"/>
    <col min="13832" max="13832" width="11.42578125" style="36"/>
    <col min="13833" max="13833" width="9.5703125" style="36" customWidth="1"/>
    <col min="13834" max="14079" width="11.42578125" style="36"/>
    <col min="14080" max="14080" width="0.140625" style="36" customWidth="1"/>
    <col min="14081" max="14081" width="2.7109375" style="36" customWidth="1"/>
    <col min="14082" max="14082" width="18.5703125" style="36" customWidth="1"/>
    <col min="14083" max="14083" width="1.28515625" style="36" customWidth="1"/>
    <col min="14084" max="14084" width="58.85546875" style="36" customWidth="1"/>
    <col min="14085" max="14086" width="11.42578125" style="36"/>
    <col min="14087" max="14087" width="2.140625" style="36" customWidth="1"/>
    <col min="14088" max="14088" width="11.42578125" style="36"/>
    <col min="14089" max="14089" width="9.5703125" style="36" customWidth="1"/>
    <col min="14090" max="14335" width="11.42578125" style="36"/>
    <col min="14336" max="14336" width="0.140625" style="36" customWidth="1"/>
    <col min="14337" max="14337" width="2.7109375" style="36" customWidth="1"/>
    <col min="14338" max="14338" width="18.5703125" style="36" customWidth="1"/>
    <col min="14339" max="14339" width="1.28515625" style="36" customWidth="1"/>
    <col min="14340" max="14340" width="58.85546875" style="36" customWidth="1"/>
    <col min="14341" max="14342" width="11.42578125" style="36"/>
    <col min="14343" max="14343" width="2.140625" style="36" customWidth="1"/>
    <col min="14344" max="14344" width="11.42578125" style="36"/>
    <col min="14345" max="14345" width="9.5703125" style="36" customWidth="1"/>
    <col min="14346" max="14591" width="11.42578125" style="36"/>
    <col min="14592" max="14592" width="0.140625" style="36" customWidth="1"/>
    <col min="14593" max="14593" width="2.7109375" style="36" customWidth="1"/>
    <col min="14594" max="14594" width="18.5703125" style="36" customWidth="1"/>
    <col min="14595" max="14595" width="1.28515625" style="36" customWidth="1"/>
    <col min="14596" max="14596" width="58.85546875" style="36" customWidth="1"/>
    <col min="14597" max="14598" width="11.42578125" style="36"/>
    <col min="14599" max="14599" width="2.140625" style="36" customWidth="1"/>
    <col min="14600" max="14600" width="11.42578125" style="36"/>
    <col min="14601" max="14601" width="9.5703125" style="36" customWidth="1"/>
    <col min="14602" max="14847" width="11.42578125" style="36"/>
    <col min="14848" max="14848" width="0.140625" style="36" customWidth="1"/>
    <col min="14849" max="14849" width="2.7109375" style="36" customWidth="1"/>
    <col min="14850" max="14850" width="18.5703125" style="36" customWidth="1"/>
    <col min="14851" max="14851" width="1.28515625" style="36" customWidth="1"/>
    <col min="14852" max="14852" width="58.85546875" style="36" customWidth="1"/>
    <col min="14853" max="14854" width="11.42578125" style="36"/>
    <col min="14855" max="14855" width="2.140625" style="36" customWidth="1"/>
    <col min="14856" max="14856" width="11.42578125" style="36"/>
    <col min="14857" max="14857" width="9.5703125" style="36" customWidth="1"/>
    <col min="14858" max="15103" width="11.42578125" style="36"/>
    <col min="15104" max="15104" width="0.140625" style="36" customWidth="1"/>
    <col min="15105" max="15105" width="2.7109375" style="36" customWidth="1"/>
    <col min="15106" max="15106" width="18.5703125" style="36" customWidth="1"/>
    <col min="15107" max="15107" width="1.28515625" style="36" customWidth="1"/>
    <col min="15108" max="15108" width="58.85546875" style="36" customWidth="1"/>
    <col min="15109" max="15110" width="11.42578125" style="36"/>
    <col min="15111" max="15111" width="2.140625" style="36" customWidth="1"/>
    <col min="15112" max="15112" width="11.42578125" style="36"/>
    <col min="15113" max="15113" width="9.5703125" style="36" customWidth="1"/>
    <col min="15114" max="15359" width="11.42578125" style="36"/>
    <col min="15360" max="15360" width="0.140625" style="36" customWidth="1"/>
    <col min="15361" max="15361" width="2.7109375" style="36" customWidth="1"/>
    <col min="15362" max="15362" width="18.5703125" style="36" customWidth="1"/>
    <col min="15363" max="15363" width="1.28515625" style="36" customWidth="1"/>
    <col min="15364" max="15364" width="58.85546875" style="36" customWidth="1"/>
    <col min="15365" max="15366" width="11.42578125" style="36"/>
    <col min="15367" max="15367" width="2.140625" style="36" customWidth="1"/>
    <col min="15368" max="15368" width="11.42578125" style="36"/>
    <col min="15369" max="15369" width="9.5703125" style="36" customWidth="1"/>
    <col min="15370" max="15615" width="11.42578125" style="36"/>
    <col min="15616" max="15616" width="0.140625" style="36" customWidth="1"/>
    <col min="15617" max="15617" width="2.7109375" style="36" customWidth="1"/>
    <col min="15618" max="15618" width="18.5703125" style="36" customWidth="1"/>
    <col min="15619" max="15619" width="1.28515625" style="36" customWidth="1"/>
    <col min="15620" max="15620" width="58.85546875" style="36" customWidth="1"/>
    <col min="15621" max="15622" width="11.42578125" style="36"/>
    <col min="15623" max="15623" width="2.140625" style="36" customWidth="1"/>
    <col min="15624" max="15624" width="11.42578125" style="36"/>
    <col min="15625" max="15625" width="9.5703125" style="36" customWidth="1"/>
    <col min="15626" max="15871" width="11.42578125" style="36"/>
    <col min="15872" max="15872" width="0.140625" style="36" customWidth="1"/>
    <col min="15873" max="15873" width="2.7109375" style="36" customWidth="1"/>
    <col min="15874" max="15874" width="18.5703125" style="36" customWidth="1"/>
    <col min="15875" max="15875" width="1.28515625" style="36" customWidth="1"/>
    <col min="15876" max="15876" width="58.85546875" style="36" customWidth="1"/>
    <col min="15877" max="15878" width="11.42578125" style="36"/>
    <col min="15879" max="15879" width="2.140625" style="36" customWidth="1"/>
    <col min="15880" max="15880" width="11.42578125" style="36"/>
    <col min="15881" max="15881" width="9.5703125" style="36" customWidth="1"/>
    <col min="15882" max="16127" width="11.42578125" style="36"/>
    <col min="16128" max="16128" width="0.140625" style="36" customWidth="1"/>
    <col min="16129" max="16129" width="2.7109375" style="36" customWidth="1"/>
    <col min="16130" max="16130" width="18.5703125" style="36" customWidth="1"/>
    <col min="16131" max="16131" width="1.28515625" style="36" customWidth="1"/>
    <col min="16132" max="16132" width="58.85546875" style="36" customWidth="1"/>
    <col min="16133" max="16134" width="11.42578125" style="36"/>
    <col min="16135" max="16135" width="2.140625" style="36" customWidth="1"/>
    <col min="16136" max="16136" width="11.42578125" style="36"/>
    <col min="16137" max="16137" width="9.5703125" style="36" customWidth="1"/>
    <col min="16138" max="16384" width="11.42578125" style="36"/>
  </cols>
  <sheetData>
    <row r="1" spans="2:7" s="26" customFormat="1" ht="0.75" customHeight="1"/>
    <row r="2" spans="2:7" s="26" customFormat="1" ht="21" customHeight="1">
      <c r="E2" s="1"/>
      <c r="G2" s="103" t="s">
        <v>1</v>
      </c>
    </row>
    <row r="3" spans="2:7" s="26" customFormat="1" ht="15" customHeight="1">
      <c r="E3" s="27"/>
      <c r="G3" s="104" t="str">
        <f>Indice!E3</f>
        <v>Noviembre 2020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329" t="s">
        <v>73</v>
      </c>
      <c r="D7" s="32"/>
      <c r="E7" s="39"/>
      <c r="F7" s="32"/>
    </row>
    <row r="8" spans="2:7" s="29" customFormat="1" ht="12.75" customHeight="1">
      <c r="B8" s="28"/>
      <c r="C8" s="329"/>
      <c r="D8" s="32"/>
      <c r="E8" s="39"/>
      <c r="F8" s="32"/>
    </row>
    <row r="9" spans="2:7" s="29" customFormat="1" ht="12.75" customHeight="1">
      <c r="B9" s="28"/>
      <c r="C9" s="329"/>
      <c r="D9" s="32"/>
      <c r="E9" s="39"/>
      <c r="F9" s="32"/>
    </row>
    <row r="10" spans="2:7" s="29" customFormat="1" ht="12.75" customHeight="1">
      <c r="B10" s="28"/>
      <c r="C10" s="329"/>
      <c r="D10" s="32"/>
      <c r="E10" s="39"/>
      <c r="F10" s="32"/>
    </row>
    <row r="11" spans="2:7" s="29" customFormat="1" ht="12.75" customHeight="1">
      <c r="B11" s="28"/>
      <c r="C11" s="134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3"/>
      <c r="G22" s="296"/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C1:Y51"/>
  <sheetViews>
    <sheetView showGridLines="0" showRowColHeaders="0" topLeftCell="B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Noviembre 2020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9" t="s">
        <v>62</v>
      </c>
      <c r="E7" s="4"/>
    </row>
    <row r="8" spans="3:25">
      <c r="C8" s="329"/>
      <c r="E8" s="4"/>
    </row>
    <row r="9" spans="3:25">
      <c r="C9" s="329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19"/>
    </row>
    <row r="43" spans="3:5">
      <c r="C43" s="119"/>
    </row>
    <row r="44" spans="3:5">
      <c r="C44" s="119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C1:Y65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Noviembre 2020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9" t="s">
        <v>614</v>
      </c>
      <c r="E7" s="4"/>
    </row>
    <row r="8" spans="3:25">
      <c r="C8" s="329"/>
      <c r="E8" s="4"/>
    </row>
    <row r="9" spans="3:25">
      <c r="C9" s="329"/>
      <c r="E9" s="4"/>
    </row>
    <row r="10" spans="3:25">
      <c r="C10" s="329"/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1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Noviembre 2020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9" t="s">
        <v>55</v>
      </c>
      <c r="E7" s="4"/>
    </row>
    <row r="8" spans="3:25">
      <c r="C8" s="329"/>
      <c r="E8" s="4"/>
    </row>
    <row r="9" spans="3:25">
      <c r="C9" s="119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11">
      <c r="E17" s="4"/>
    </row>
    <row r="18" spans="5:11">
      <c r="E18" s="4"/>
    </row>
    <row r="19" spans="5:11">
      <c r="E19" s="4"/>
    </row>
    <row r="20" spans="5:11">
      <c r="E20" s="4"/>
    </row>
    <row r="21" spans="5:11">
      <c r="E21" s="4"/>
    </row>
    <row r="22" spans="5:11">
      <c r="E22" s="4"/>
    </row>
    <row r="26" spans="5:11" ht="22.5">
      <c r="E26" s="312" t="s">
        <v>610</v>
      </c>
      <c r="F26" s="313"/>
      <c r="G26" s="313"/>
      <c r="H26" s="313"/>
      <c r="I26" s="313"/>
      <c r="J26" s="313"/>
      <c r="K26" s="313"/>
    </row>
    <row r="40" spans="3:5">
      <c r="E40" s="41"/>
    </row>
    <row r="42" spans="3:5">
      <c r="C42" s="119"/>
    </row>
    <row r="43" spans="3:5">
      <c r="C43" s="119"/>
    </row>
    <row r="44" spans="3:5">
      <c r="C44" s="11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Noviembre 2020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9" t="s">
        <v>61</v>
      </c>
      <c r="E7" s="4"/>
    </row>
    <row r="8" spans="3:25">
      <c r="C8" s="329"/>
      <c r="E8" s="4"/>
    </row>
    <row r="9" spans="3:25">
      <c r="C9" s="119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 ht="22.5">
      <c r="E26" s="312" t="s">
        <v>610</v>
      </c>
    </row>
    <row r="40" spans="3:5">
      <c r="E40" s="41"/>
    </row>
    <row r="42" spans="3:5">
      <c r="C42" s="119"/>
    </row>
    <row r="43" spans="3:5">
      <c r="C43" s="119"/>
    </row>
    <row r="44" spans="3:5">
      <c r="C44" s="11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Indice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Data 1</vt:lpstr>
      <vt:lpstr>Dat_01</vt:lpstr>
      <vt:lpstr>Dat_02</vt:lpstr>
      <vt:lpstr>Data 2</vt:lpstr>
      <vt:lpstr>Data 3</vt:lpstr>
      <vt:lpstr>Data 4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2020-12-14T13:06:50Z</dcterms:modified>
</cp:coreProperties>
</file>