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+xml"/>
  <Override PartName="/xl/charts/chart9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8.xml" ContentType="application/vnd.openxmlformats-officedocument.drawing+xml"/>
  <Override PartName="/xl/charts/chart10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+xml"/>
  <Override PartName="/xl/charts/chart11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+xml"/>
  <Override PartName="/xl/charts/chart13.xml" ContentType="application/vnd.openxmlformats-officedocument.drawingml.chart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codeName="ThisWorkbook"/>
  <mc:AlternateContent xmlns:mc="http://schemas.openxmlformats.org/markup-compatibility/2006">
    <mc:Choice Requires="x15">
      <x15ac:absPath xmlns:x15ac="http://schemas.microsoft.com/office/spreadsheetml/2010/11/ac" url="\\MORNT4\analisis\Departamento\BOLETIN ELECTRONICO\2019\MAY\INF_ELABORADA\"/>
    </mc:Choice>
  </mc:AlternateContent>
  <xr:revisionPtr revIDLastSave="0" documentId="8_{A61057AF-3608-4949-8C03-A687B5F004EB}" xr6:coauthVersionLast="36" xr6:coauthVersionMax="36" xr10:uidLastSave="{00000000-0000-0000-0000-000000000000}"/>
  <bookViews>
    <workbookView xWindow="0" yWindow="0" windowWidth="24000" windowHeight="8235" tabRatio="852" xr2:uid="{00000000-000D-0000-FFFF-FFFF00000000}"/>
  </bookViews>
  <sheets>
    <sheet name="Indice" sheetId="40" r:id="rId1"/>
    <sheet name="Mozart Reports" sheetId="45" state="veryHidden" r:id="rId2"/>
    <sheet name="P1" sheetId="6" r:id="rId3"/>
    <sheet name="P2" sheetId="29" r:id="rId4"/>
    <sheet name="P3" sheetId="11" r:id="rId5"/>
    <sheet name="P4" sheetId="10" r:id="rId6"/>
    <sheet name="P5" sheetId="13" r:id="rId7"/>
    <sheet name="P6" sheetId="30" r:id="rId8"/>
    <sheet name="P7" sheetId="31" r:id="rId9"/>
    <sheet name="P8" sheetId="14" r:id="rId10"/>
    <sheet name="P9" sheetId="15" r:id="rId11"/>
    <sheet name="P10" sheetId="16" r:id="rId12"/>
    <sheet name="P11" sheetId="20" r:id="rId13"/>
    <sheet name="P12" sheetId="21" r:id="rId14"/>
    <sheet name="P13" sheetId="23" r:id="rId15"/>
    <sheet name="Dat_01" sheetId="44" r:id="rId16"/>
    <sheet name="Data 1" sheetId="48" state="hidden" r:id="rId17"/>
    <sheet name="Dat_02" sheetId="47" r:id="rId18"/>
    <sheet name="Data 2" sheetId="49" state="hidden" r:id="rId19"/>
    <sheet name="Data 3" sheetId="43" r:id="rId20"/>
  </sheets>
  <externalReferences>
    <externalReference r:id="rId21"/>
    <externalReference r:id="rId22"/>
  </externalReferences>
  <definedNames>
    <definedName name="_xlnm.Print_Area">#REF!</definedName>
    <definedName name="_xlnm.Database">#REF!</definedName>
    <definedName name="cc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ccc">[1]!ccc</definedName>
    <definedName name="CCCCV">#REF!</definedName>
    <definedName name="CUADRO_ANTERIOR">[1]!CUADRO_ANTERIOR</definedName>
    <definedName name="cuadro_anterior_jcol">#N/A</definedName>
    <definedName name="CUADRO_PROXIMO">[1]!CUADRO_PROXIMO</definedName>
    <definedName name="cuadro_proximo_jcol">#N/A</definedName>
    <definedName name="DATOS">#REF!</definedName>
    <definedName name="DD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D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Demanda">[2]Demanda!$D$371:$AA$371</definedName>
    <definedName name="Eol_Dia">OFFSET(Dat_01!$W$180,0,0,COUNT(Dat_01!$W$180:$W$211),1)</definedName>
    <definedName name="Eol_Fechas">OFFSET(Dat_01!$A$180,0,0,COUNT(Dat_01!$A$180:$A$211),1)</definedName>
    <definedName name="Eol_Porcentaje">OFFSET(Dat_01!$V$180,0,0,COUNT(Dat_01!$V$180:$V$211),1)</definedName>
    <definedName name="Fecha">[2]I.Precios!$A$1:$A$74</definedName>
    <definedName name="FINALIZAR">[1]!FINALIZAR</definedName>
    <definedName name="finalizar_jcol">#N/A</definedName>
    <definedName name="fl">#N/A</definedName>
    <definedName name="H_Eol">OFFSET(Dat_01!$I$220,0,0,COUNT(Dat_01!$I$220:$I$245),1)</definedName>
    <definedName name="H_Gen">OFFSET(Dat_01!$P$220,0,0,COUNT(Dat_01!$P$220:$P$245),1)</definedName>
    <definedName name="H_Porcentaje">OFFSET(Dat_01!$V$220,0,0,COUNT(Dat_01!$V$220:$V$245),1)</definedName>
    <definedName name="hola">#N/A</definedName>
    <definedName name="HTML1_1" hidden="1">"[energianosuministrada]Hoja1!$A$13:$J$46"</definedName>
    <definedName name="HTML1_10" hidden="1">""</definedName>
    <definedName name="HTML1_11" hidden="1">1</definedName>
    <definedName name="HTML1_12" hidden="1">"Macintosh HD:CASADO:INTRANET:calidaddeservicio:CS"</definedName>
    <definedName name="HTML1_2" hidden="1">1</definedName>
    <definedName name="HTML1_3" hidden="1">"energianosuministrada"</definedName>
    <definedName name="HTML1_4" hidden="1">""</definedName>
    <definedName name="HTML1_5" hidden="1">""</definedName>
    <definedName name="HTML1_6" hidden="1">-4146</definedName>
    <definedName name="HTML1_7" hidden="1">-4146</definedName>
    <definedName name="HTML1_8" hidden="1">"11/11/97"</definedName>
    <definedName name="HTML1_9" hidden="1">"SOPORTE DE USUARIOS"</definedName>
    <definedName name="HTMLCount" hidden="1">1</definedName>
    <definedName name="IMPRESION">[1]!IMPRESION</definedName>
    <definedName name="impresion_jcol">#N/A</definedName>
    <definedName name="jkhjklhjkhjkl">#N/A</definedName>
    <definedName name="MSTR.BANDA_PARA_CONSEJO_PROCESOS">#REF!</definedName>
    <definedName name="MSTR.BANDA_PARA_CONSEJO_PROCESOS1">#REF!</definedName>
    <definedName name="MSTR.BANDA_PARA_CONSEJO_PROCESOS10">#REF!</definedName>
    <definedName name="MSTR.BANDA_PARA_CONSEJO_PROCESOS2">#REF!</definedName>
    <definedName name="MSTR.BANDA_PARA_CONSEJO_PROCESOS3">#REF!</definedName>
    <definedName name="MSTR.BANDA_PARA_CONSEJO_PROCESOS4">#REF!</definedName>
    <definedName name="MSTR.BANDA_PARA_CONSEJO_PROCESOS5">#REF!</definedName>
    <definedName name="MSTR.BANDA_PARA_CONSEJO_PROCESOS6">#REF!</definedName>
    <definedName name="MSTR.BANDA_PARA_CONSEJO_PROCESOS7">#REF!</definedName>
    <definedName name="MSTR.BANDA_PARA_CONSEJO_PROCESOS8">#REF!</definedName>
    <definedName name="MSTR.BANDA_PARA_CONSEJO_PROCESOS9">#REF!</definedName>
    <definedName name="MSTR.Liquidación_por_Segmentos">#REF!</definedName>
    <definedName name="MSTR.Liquidación_por_Segmentos1">#REF!</definedName>
    <definedName name="MSTR.Liquidación_por_Segmentos10">#REF!</definedName>
    <definedName name="MSTR.Liquidación_por_Segmentos11">#REF!</definedName>
    <definedName name="MSTR.Liquidación_por_Segmentos2">#REF!</definedName>
    <definedName name="MSTR.Liquidación_por_Segmentos3">#REF!</definedName>
    <definedName name="MSTR.Liquidación_por_Segmentos4">#REF!</definedName>
    <definedName name="MSTR.Liquidación_por_Segmentos5">#REF!</definedName>
    <definedName name="MSTR.Liquidación_por_Segmentos6">#REF!</definedName>
    <definedName name="MSTR.Liquidación_por_Segmentos7">#REF!</definedName>
    <definedName name="MSTR.Liquidación_por_Segmentos8">#REF!</definedName>
    <definedName name="MSTR.Liquidación_por_Segmentos9">#REF!</definedName>
    <definedName name="MSTR.Serie_Balance_Nuevo_Energía_Eléctrica_Mensual.1">#REF!</definedName>
    <definedName name="MSTR.Serie_Balance_Nuevo_Energía_Eléctrica_Mes_Baleares">#REF!</definedName>
    <definedName name="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nnn">[1]!nnn</definedName>
    <definedName name="nnnn">[1]!nnnn</definedName>
    <definedName name="nu">[1]!nu</definedName>
    <definedName name="nuevo">#N/A</definedName>
    <definedName name="PRINCIPAL">[1]!PRINCIPAL</definedName>
    <definedName name="principal_jcol">#N/A</definedName>
    <definedName name="Prod">OFFSET(Dat_02!$E$3,0,0,COUNT(Dat_02!$E$3:$E$500),1)</definedName>
    <definedName name="Prod_Dia">OFFSET(Dat_02!$C$3,0,0,COUNT(Dat_02!$C$3:$C$500),1)</definedName>
    <definedName name="Prod_Inter">OFFSET(Dat_02!$G$3,0,0,COUNT(Dat_02!#REF!),1)</definedName>
    <definedName name="Prod_Med">OFFSET(Dat_02!$D$3,0,0,COUNT(Dat_02!$D$3:$D$500),1)</definedName>
    <definedName name="rosa">[1]!rosa</definedName>
    <definedName name="rosa2">[1]!rosa2</definedName>
    <definedName name="v">#N/A</definedName>
    <definedName name="VV">[1]!VV</definedName>
    <definedName name="wrn.Completo.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2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rn.Completo.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0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1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3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localSheetId="4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WW" hidden="1">{#N/A,#N/A,FALSE,"Portada";#N/A,#N/A,FALSE,"Creditos";#N/A,#N/A,FALSE,"Introducción";#N/A,#N/A,FALSE,"Balance";#N/A,#N/A,FALSE,"Demanda_1";#N/A,#N/A,FALSE,"Demanda_2";#N/A,#N/A,FALSE,"Demanda_3";#N/A,#N/A,FALSE,"Demanda_4";#N/A,#N/A,FALSE,"Hidraulicidad_1";#N/A,#N/A,FALSE,"Hidraulicidad_2";#N/A,#N/A,FALSE,"Equipo_Generador";#N/A,#N/A,FALSE,"Equipo_Transporte_1";#N/A,#N/A,FALSE,"Equipo_Transporte_2";#N/A,#N/A,FALSE,"Intercambios_Internacionales";#N/A,#N/A,FALSE,"Extrapeninsulares"}</definedName>
    <definedName name="x">[1]!x</definedName>
    <definedName name="XX">[1]!XX</definedName>
    <definedName name="xxx">[1]!xxx</definedName>
    <definedName name="XXXX">[1]!XXXX</definedName>
    <definedName name="xxxxx">[1]!xxxxx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1" i="47" l="1"/>
  <c r="G412" i="47"/>
  <c r="F400" i="47"/>
  <c r="F401" i="47"/>
  <c r="F402" i="47"/>
  <c r="F403" i="47"/>
  <c r="F404" i="47"/>
  <c r="F405" i="47"/>
  <c r="F406" i="47"/>
  <c r="F407" i="47"/>
  <c r="F408" i="47"/>
  <c r="F409" i="47"/>
  <c r="F410" i="47"/>
  <c r="F411" i="47"/>
  <c r="F412" i="47"/>
  <c r="F4" i="47" l="1"/>
  <c r="F5" i="47"/>
  <c r="F6" i="47"/>
  <c r="F7" i="47"/>
  <c r="F8" i="47"/>
  <c r="F9" i="47"/>
  <c r="F10" i="47"/>
  <c r="F11" i="47"/>
  <c r="F12" i="47"/>
  <c r="F13" i="47"/>
  <c r="F14" i="47"/>
  <c r="F15" i="47"/>
  <c r="F16" i="47"/>
  <c r="F18" i="47"/>
  <c r="F19" i="47"/>
  <c r="F20" i="47"/>
  <c r="F21" i="47"/>
  <c r="F22" i="47"/>
  <c r="F23" i="47"/>
  <c r="F24" i="47"/>
  <c r="F25" i="47"/>
  <c r="F26" i="47"/>
  <c r="F27" i="47"/>
  <c r="F28" i="47"/>
  <c r="F29" i="47"/>
  <c r="F30" i="47"/>
  <c r="F31" i="47"/>
  <c r="F32" i="47"/>
  <c r="F33" i="47"/>
  <c r="F34" i="47"/>
  <c r="F35" i="47"/>
  <c r="F36" i="47"/>
  <c r="F37" i="47"/>
  <c r="F38" i="47"/>
  <c r="F39" i="47"/>
  <c r="F40" i="47"/>
  <c r="F41" i="47"/>
  <c r="F42" i="47"/>
  <c r="F43" i="47"/>
  <c r="F44" i="47"/>
  <c r="F45" i="47"/>
  <c r="F46" i="47"/>
  <c r="F47" i="47"/>
  <c r="F49" i="47"/>
  <c r="F50" i="47"/>
  <c r="F51" i="47"/>
  <c r="F52" i="47"/>
  <c r="F53" i="47"/>
  <c r="F54" i="47"/>
  <c r="F55" i="47"/>
  <c r="F56" i="47"/>
  <c r="F57" i="47"/>
  <c r="F58" i="47"/>
  <c r="F59" i="47"/>
  <c r="F60" i="47"/>
  <c r="F61" i="47"/>
  <c r="F62" i="47"/>
  <c r="F63" i="47"/>
  <c r="F64" i="47"/>
  <c r="F65" i="47"/>
  <c r="F66" i="47"/>
  <c r="F67" i="47"/>
  <c r="F68" i="47"/>
  <c r="F69" i="47"/>
  <c r="F70" i="47"/>
  <c r="F71" i="47"/>
  <c r="F72" i="47"/>
  <c r="F73" i="47"/>
  <c r="F74" i="47"/>
  <c r="F75" i="47"/>
  <c r="F76" i="47"/>
  <c r="F77" i="47"/>
  <c r="F79" i="47"/>
  <c r="F80" i="47"/>
  <c r="F81" i="47"/>
  <c r="F82" i="47"/>
  <c r="F83" i="47"/>
  <c r="F84" i="47"/>
  <c r="F85" i="47"/>
  <c r="F86" i="47"/>
  <c r="F87" i="47"/>
  <c r="F88" i="47"/>
  <c r="F89" i="47"/>
  <c r="F90" i="47"/>
  <c r="F91" i="47"/>
  <c r="F92" i="47"/>
  <c r="F93" i="47"/>
  <c r="F94" i="47"/>
  <c r="F95" i="47"/>
  <c r="F96" i="47"/>
  <c r="F97" i="47"/>
  <c r="F98" i="47"/>
  <c r="F99" i="47"/>
  <c r="F100" i="47"/>
  <c r="F101" i="47"/>
  <c r="F102" i="47"/>
  <c r="F103" i="47"/>
  <c r="F104" i="47"/>
  <c r="F105" i="47"/>
  <c r="F106" i="47"/>
  <c r="F107" i="47"/>
  <c r="F108" i="47"/>
  <c r="F110" i="47"/>
  <c r="F111" i="47"/>
  <c r="F112" i="47"/>
  <c r="F113" i="47"/>
  <c r="F114" i="47"/>
  <c r="F115" i="47"/>
  <c r="F116" i="47"/>
  <c r="F117" i="47"/>
  <c r="F118" i="47"/>
  <c r="F119" i="47"/>
  <c r="F120" i="47"/>
  <c r="F121" i="47"/>
  <c r="F122" i="47"/>
  <c r="F123" i="47"/>
  <c r="F124" i="47"/>
  <c r="F125" i="47"/>
  <c r="F126" i="47"/>
  <c r="F127" i="47"/>
  <c r="F128" i="47"/>
  <c r="F129" i="47"/>
  <c r="F130" i="47"/>
  <c r="F131" i="47"/>
  <c r="F132" i="47"/>
  <c r="F133" i="47"/>
  <c r="F134" i="47"/>
  <c r="F135" i="47"/>
  <c r="F136" i="47"/>
  <c r="F137" i="47"/>
  <c r="F138" i="47"/>
  <c r="F139" i="47"/>
  <c r="F141" i="47"/>
  <c r="F142" i="47"/>
  <c r="F143" i="47"/>
  <c r="F144" i="47"/>
  <c r="F145" i="47"/>
  <c r="F146" i="47"/>
  <c r="F147" i="47"/>
  <c r="F148" i="47"/>
  <c r="F149" i="47"/>
  <c r="F150" i="47"/>
  <c r="F151" i="47"/>
  <c r="F152" i="47"/>
  <c r="F153" i="47"/>
  <c r="F154" i="47"/>
  <c r="F155" i="47"/>
  <c r="F156" i="47"/>
  <c r="F157" i="47"/>
  <c r="F158" i="47"/>
  <c r="F159" i="47"/>
  <c r="F160" i="47"/>
  <c r="F161" i="47"/>
  <c r="F162" i="47"/>
  <c r="F163" i="47"/>
  <c r="F164" i="47"/>
  <c r="F165" i="47"/>
  <c r="F166" i="47"/>
  <c r="F167" i="47"/>
  <c r="F168" i="47"/>
  <c r="F169" i="47"/>
  <c r="F171" i="47"/>
  <c r="F172" i="47"/>
  <c r="F173" i="47"/>
  <c r="F174" i="47"/>
  <c r="F175" i="47"/>
  <c r="F176" i="47"/>
  <c r="F177" i="47"/>
  <c r="F178" i="47"/>
  <c r="F179" i="47"/>
  <c r="F180" i="47"/>
  <c r="F181" i="47"/>
  <c r="F182" i="47"/>
  <c r="F183" i="47"/>
  <c r="F184" i="47"/>
  <c r="F185" i="47"/>
  <c r="F186" i="47"/>
  <c r="F187" i="47"/>
  <c r="F188" i="47"/>
  <c r="F189" i="47"/>
  <c r="F190" i="47"/>
  <c r="F191" i="47"/>
  <c r="F192" i="47"/>
  <c r="F193" i="47"/>
  <c r="F194" i="47"/>
  <c r="F195" i="47"/>
  <c r="F196" i="47"/>
  <c r="F197" i="47"/>
  <c r="F198" i="47"/>
  <c r="F199" i="47"/>
  <c r="F200" i="47"/>
  <c r="F202" i="47"/>
  <c r="F203" i="47"/>
  <c r="F204" i="47"/>
  <c r="F205" i="47"/>
  <c r="F206" i="47"/>
  <c r="F207" i="47"/>
  <c r="F208" i="47"/>
  <c r="F209" i="47"/>
  <c r="F210" i="47"/>
  <c r="F211" i="47"/>
  <c r="F212" i="47"/>
  <c r="F213" i="47"/>
  <c r="F214" i="47"/>
  <c r="F215" i="47"/>
  <c r="F216" i="47"/>
  <c r="F217" i="47"/>
  <c r="F218" i="47"/>
  <c r="F219" i="47"/>
  <c r="F220" i="47"/>
  <c r="F221" i="47"/>
  <c r="F222" i="47"/>
  <c r="F223" i="47"/>
  <c r="F224" i="47"/>
  <c r="F225" i="47"/>
  <c r="F226" i="47"/>
  <c r="F227" i="47"/>
  <c r="F228" i="47"/>
  <c r="F229" i="47"/>
  <c r="F230" i="47"/>
  <c r="F232" i="47"/>
  <c r="F233" i="47"/>
  <c r="F234" i="47"/>
  <c r="F235" i="47"/>
  <c r="F236" i="47"/>
  <c r="F237" i="47"/>
  <c r="F238" i="47"/>
  <c r="F239" i="47"/>
  <c r="F240" i="47"/>
  <c r="F241" i="47"/>
  <c r="F242" i="47"/>
  <c r="F243" i="47"/>
  <c r="F244" i="47"/>
  <c r="F245" i="47"/>
  <c r="F246" i="47"/>
  <c r="F247" i="47"/>
  <c r="F248" i="47"/>
  <c r="F249" i="47"/>
  <c r="F250" i="47"/>
  <c r="F251" i="47"/>
  <c r="F252" i="47"/>
  <c r="F253" i="47"/>
  <c r="F254" i="47"/>
  <c r="F255" i="47"/>
  <c r="F256" i="47"/>
  <c r="F257" i="47"/>
  <c r="F258" i="47"/>
  <c r="F259" i="47"/>
  <c r="F260" i="47"/>
  <c r="F261" i="47"/>
  <c r="F263" i="47"/>
  <c r="F264" i="47"/>
  <c r="F265" i="47"/>
  <c r="F266" i="47"/>
  <c r="F267" i="47"/>
  <c r="F268" i="47"/>
  <c r="F269" i="47"/>
  <c r="F270" i="47"/>
  <c r="F271" i="47"/>
  <c r="F272" i="47"/>
  <c r="F273" i="47"/>
  <c r="F274" i="47"/>
  <c r="F275" i="47"/>
  <c r="F276" i="47"/>
  <c r="F277" i="47"/>
  <c r="F278" i="47"/>
  <c r="F279" i="47"/>
  <c r="F280" i="47"/>
  <c r="F281" i="47"/>
  <c r="F282" i="47"/>
  <c r="F283" i="47"/>
  <c r="F284" i="47"/>
  <c r="F285" i="47"/>
  <c r="F286" i="47"/>
  <c r="F287" i="47"/>
  <c r="F288" i="47"/>
  <c r="F289" i="47"/>
  <c r="F290" i="47"/>
  <c r="F291" i="47"/>
  <c r="F292" i="47"/>
  <c r="F294" i="47"/>
  <c r="F295" i="47"/>
  <c r="F296" i="47"/>
  <c r="F297" i="47"/>
  <c r="F298" i="47"/>
  <c r="F299" i="47"/>
  <c r="F300" i="47"/>
  <c r="F301" i="47"/>
  <c r="F302" i="47"/>
  <c r="F303" i="47"/>
  <c r="F304" i="47"/>
  <c r="F305" i="47"/>
  <c r="F306" i="47"/>
  <c r="F307" i="47"/>
  <c r="F308" i="47"/>
  <c r="F309" i="47"/>
  <c r="F310" i="47"/>
  <c r="F311" i="47"/>
  <c r="F312" i="47"/>
  <c r="F313" i="47"/>
  <c r="F314" i="47"/>
  <c r="F315" i="47"/>
  <c r="F316" i="47"/>
  <c r="F317" i="47"/>
  <c r="F318" i="47"/>
  <c r="F319" i="47"/>
  <c r="F320" i="47"/>
  <c r="F322" i="47"/>
  <c r="F323" i="47"/>
  <c r="F324" i="47"/>
  <c r="F325" i="47"/>
  <c r="F326" i="47"/>
  <c r="F327" i="47"/>
  <c r="F328" i="47"/>
  <c r="F329" i="47"/>
  <c r="F330" i="47"/>
  <c r="F331" i="47"/>
  <c r="F332" i="47"/>
  <c r="F333" i="47"/>
  <c r="F334" i="47"/>
  <c r="F335" i="47"/>
  <c r="F336" i="47"/>
  <c r="F337" i="47"/>
  <c r="F338" i="47"/>
  <c r="F339" i="47"/>
  <c r="F340" i="47"/>
  <c r="F341" i="47"/>
  <c r="F342" i="47"/>
  <c r="F343" i="47"/>
  <c r="F344" i="47"/>
  <c r="F345" i="47"/>
  <c r="F346" i="47"/>
  <c r="F347" i="47"/>
  <c r="F348" i="47"/>
  <c r="F349" i="47"/>
  <c r="F350" i="47"/>
  <c r="F351" i="47"/>
  <c r="F353" i="47"/>
  <c r="F354" i="47"/>
  <c r="F355" i="47"/>
  <c r="F356" i="47"/>
  <c r="F357" i="47"/>
  <c r="F358" i="47"/>
  <c r="F359" i="47"/>
  <c r="F360" i="47"/>
  <c r="F361" i="47"/>
  <c r="F362" i="47"/>
  <c r="F363" i="47"/>
  <c r="F364" i="47"/>
  <c r="F365" i="47"/>
  <c r="F366" i="47"/>
  <c r="F367" i="47"/>
  <c r="F368" i="47"/>
  <c r="F369" i="47"/>
  <c r="F370" i="47"/>
  <c r="F371" i="47"/>
  <c r="F372" i="47"/>
  <c r="F373" i="47"/>
  <c r="F374" i="47"/>
  <c r="F375" i="47"/>
  <c r="F376" i="47"/>
  <c r="F377" i="47"/>
  <c r="F378" i="47"/>
  <c r="F379" i="47"/>
  <c r="F380" i="47"/>
  <c r="F381" i="47"/>
  <c r="F383" i="47"/>
  <c r="F384" i="47"/>
  <c r="F385" i="47"/>
  <c r="F386" i="47"/>
  <c r="F387" i="47"/>
  <c r="F388" i="47"/>
  <c r="F389" i="47"/>
  <c r="F390" i="47"/>
  <c r="F391" i="47"/>
  <c r="F392" i="47"/>
  <c r="F393" i="47"/>
  <c r="F394" i="47"/>
  <c r="F395" i="47"/>
  <c r="F396" i="47"/>
  <c r="F397" i="47"/>
  <c r="F398" i="47"/>
  <c r="F399" i="47"/>
  <c r="F3" i="47"/>
  <c r="G382" i="47" l="1"/>
  <c r="F382" i="47"/>
  <c r="G262" i="47"/>
  <c r="F262" i="47"/>
  <c r="G78" i="47"/>
  <c r="F78" i="47"/>
  <c r="G321" i="47"/>
  <c r="F321" i="47"/>
  <c r="G293" i="47"/>
  <c r="F293" i="47"/>
  <c r="F201" i="47"/>
  <c r="G201" i="47"/>
  <c r="G109" i="47"/>
  <c r="F109" i="47"/>
  <c r="G17" i="47"/>
  <c r="F17" i="47"/>
  <c r="F231" i="47"/>
  <c r="G231" i="47"/>
  <c r="F170" i="47"/>
  <c r="G170" i="47"/>
  <c r="F352" i="47"/>
  <c r="G352" i="47"/>
  <c r="G140" i="47"/>
  <c r="F140" i="47"/>
  <c r="F48" i="47"/>
  <c r="G48" i="47"/>
  <c r="I52" i="43"/>
  <c r="I51" i="43"/>
  <c r="I50" i="43"/>
  <c r="I49" i="43"/>
  <c r="I48" i="43"/>
  <c r="I47" i="43"/>
  <c r="I46" i="43"/>
  <c r="I45" i="43"/>
  <c r="I44" i="43"/>
  <c r="I43" i="43"/>
  <c r="I42" i="43"/>
  <c r="I41" i="43"/>
  <c r="I40" i="43"/>
  <c r="I39" i="43"/>
  <c r="I38" i="43"/>
  <c r="I37" i="43"/>
  <c r="I36" i="43"/>
  <c r="I35" i="43"/>
  <c r="I34" i="43"/>
  <c r="I33" i="43"/>
  <c r="I32" i="43"/>
  <c r="I31" i="43"/>
  <c r="I30" i="43"/>
  <c r="I29" i="43"/>
  <c r="I28" i="43"/>
  <c r="I27" i="43"/>
  <c r="I26" i="43"/>
  <c r="I25" i="43"/>
  <c r="I24" i="43"/>
  <c r="I23" i="43"/>
  <c r="I22" i="43"/>
  <c r="I21" i="43"/>
  <c r="I20" i="43"/>
  <c r="I19" i="43"/>
  <c r="I18" i="43"/>
  <c r="I17" i="43"/>
  <c r="I16" i="43"/>
  <c r="I15" i="43"/>
  <c r="I14" i="43"/>
  <c r="I13" i="43"/>
  <c r="I12" i="43"/>
  <c r="I11" i="43"/>
  <c r="I10" i="43"/>
  <c r="I9" i="43"/>
  <c r="I8" i="43"/>
  <c r="I7" i="43"/>
  <c r="I6" i="43"/>
  <c r="I5" i="43"/>
  <c r="E398" i="47"/>
  <c r="B34" i="44" l="1"/>
  <c r="B33" i="44"/>
  <c r="J21" i="44"/>
  <c r="E40" i="47" l="1"/>
  <c r="E41" i="47"/>
  <c r="E42" i="47"/>
  <c r="E43" i="47"/>
  <c r="E44" i="47"/>
  <c r="E45" i="47"/>
  <c r="E46" i="47"/>
  <c r="E47" i="47"/>
  <c r="E48" i="47"/>
  <c r="E49" i="47"/>
  <c r="E50" i="47"/>
  <c r="E51" i="47"/>
  <c r="E52" i="47"/>
  <c r="E53" i="47"/>
  <c r="E54" i="47"/>
  <c r="E55" i="47"/>
  <c r="E56" i="47"/>
  <c r="E57" i="47"/>
  <c r="E58" i="47"/>
  <c r="E59" i="47"/>
  <c r="E60" i="47"/>
  <c r="E61" i="47"/>
  <c r="E62" i="47"/>
  <c r="E63" i="47"/>
  <c r="E64" i="47"/>
  <c r="E65" i="47"/>
  <c r="E66" i="47"/>
  <c r="E67" i="47"/>
  <c r="E68" i="47"/>
  <c r="E69" i="47"/>
  <c r="E70" i="47"/>
  <c r="E71" i="47"/>
  <c r="E72" i="47"/>
  <c r="E73" i="47"/>
  <c r="E74" i="47"/>
  <c r="E75" i="47"/>
  <c r="E76" i="47"/>
  <c r="E77" i="47"/>
  <c r="E78" i="47"/>
  <c r="E79" i="47"/>
  <c r="E80" i="47"/>
  <c r="E81" i="47"/>
  <c r="E82" i="47"/>
  <c r="E83" i="47"/>
  <c r="E84" i="47"/>
  <c r="E85" i="47"/>
  <c r="E86" i="47"/>
  <c r="E87" i="47"/>
  <c r="E88" i="47"/>
  <c r="E89" i="47"/>
  <c r="E90" i="47"/>
  <c r="E91" i="47"/>
  <c r="E92" i="47"/>
  <c r="E93" i="47"/>
  <c r="E94" i="47"/>
  <c r="E95" i="47"/>
  <c r="E96" i="47"/>
  <c r="E97" i="47"/>
  <c r="E98" i="47"/>
  <c r="E99" i="47"/>
  <c r="E100" i="47"/>
  <c r="E101" i="47"/>
  <c r="E102" i="47"/>
  <c r="E103" i="47"/>
  <c r="E104" i="47"/>
  <c r="E105" i="47"/>
  <c r="E106" i="47"/>
  <c r="E107" i="47"/>
  <c r="E108" i="47"/>
  <c r="E109" i="47"/>
  <c r="E110" i="47"/>
  <c r="E111" i="47"/>
  <c r="E112" i="47"/>
  <c r="E113" i="47"/>
  <c r="E114" i="47"/>
  <c r="E115" i="47"/>
  <c r="E116" i="47"/>
  <c r="E117" i="47"/>
  <c r="E118" i="47"/>
  <c r="E119" i="47"/>
  <c r="E120" i="47"/>
  <c r="E121" i="47"/>
  <c r="E122" i="47"/>
  <c r="E123" i="47"/>
  <c r="E124" i="47"/>
  <c r="E125" i="47"/>
  <c r="E126" i="47"/>
  <c r="E127" i="47"/>
  <c r="E128" i="47"/>
  <c r="E129" i="47"/>
  <c r="E130" i="47"/>
  <c r="E131" i="47"/>
  <c r="E132" i="47"/>
  <c r="E133" i="47"/>
  <c r="E134" i="47"/>
  <c r="E135" i="47"/>
  <c r="E136" i="47"/>
  <c r="E137" i="47"/>
  <c r="E138" i="47"/>
  <c r="E139" i="47"/>
  <c r="E140" i="47"/>
  <c r="E141" i="47"/>
  <c r="E142" i="47"/>
  <c r="E143" i="47"/>
  <c r="E144" i="47"/>
  <c r="E145" i="47"/>
  <c r="E146" i="47"/>
  <c r="E147" i="47"/>
  <c r="E148" i="47"/>
  <c r="E149" i="47"/>
  <c r="E150" i="47"/>
  <c r="E151" i="47"/>
  <c r="E152" i="47"/>
  <c r="E153" i="47"/>
  <c r="E154" i="47"/>
  <c r="E155" i="47"/>
  <c r="E156" i="47"/>
  <c r="E157" i="47"/>
  <c r="E158" i="47"/>
  <c r="E159" i="47"/>
  <c r="E160" i="47"/>
  <c r="E161" i="47"/>
  <c r="E162" i="47"/>
  <c r="E163" i="47"/>
  <c r="E164" i="47"/>
  <c r="E165" i="47"/>
  <c r="E166" i="47"/>
  <c r="E167" i="47"/>
  <c r="E168" i="47"/>
  <c r="E169" i="47"/>
  <c r="E170" i="47"/>
  <c r="E171" i="47"/>
  <c r="E172" i="47"/>
  <c r="E173" i="47"/>
  <c r="E174" i="47"/>
  <c r="E175" i="47"/>
  <c r="E176" i="47"/>
  <c r="E177" i="47"/>
  <c r="E178" i="47"/>
  <c r="E179" i="47"/>
  <c r="E180" i="47"/>
  <c r="E181" i="47"/>
  <c r="E182" i="47"/>
  <c r="E183" i="47"/>
  <c r="E184" i="47"/>
  <c r="E185" i="47"/>
  <c r="E186" i="47"/>
  <c r="E187" i="47"/>
  <c r="E188" i="47"/>
  <c r="E189" i="47"/>
  <c r="E190" i="47"/>
  <c r="E191" i="47"/>
  <c r="E192" i="47"/>
  <c r="E193" i="47"/>
  <c r="E194" i="47"/>
  <c r="E195" i="47"/>
  <c r="E196" i="47"/>
  <c r="E197" i="47"/>
  <c r="E198" i="47"/>
  <c r="E199" i="47"/>
  <c r="E200" i="47"/>
  <c r="E201" i="47"/>
  <c r="E202" i="47"/>
  <c r="E203" i="47"/>
  <c r="E204" i="47"/>
  <c r="E205" i="47"/>
  <c r="E206" i="47"/>
  <c r="E207" i="47"/>
  <c r="E208" i="47"/>
  <c r="E209" i="47"/>
  <c r="E210" i="47"/>
  <c r="E211" i="47"/>
  <c r="E212" i="47"/>
  <c r="E213" i="47"/>
  <c r="E214" i="47"/>
  <c r="E215" i="47"/>
  <c r="E216" i="47"/>
  <c r="E217" i="47"/>
  <c r="E218" i="47"/>
  <c r="E219" i="47"/>
  <c r="E220" i="47"/>
  <c r="E221" i="47"/>
  <c r="E222" i="47"/>
  <c r="E223" i="47"/>
  <c r="E224" i="47"/>
  <c r="E225" i="47"/>
  <c r="E226" i="47"/>
  <c r="E227" i="47"/>
  <c r="E228" i="47"/>
  <c r="E229" i="47"/>
  <c r="E230" i="47"/>
  <c r="E231" i="47"/>
  <c r="E232" i="47"/>
  <c r="E233" i="47"/>
  <c r="E234" i="47"/>
  <c r="E235" i="47"/>
  <c r="E236" i="47"/>
  <c r="E237" i="47"/>
  <c r="E238" i="47"/>
  <c r="E239" i="47"/>
  <c r="E240" i="47"/>
  <c r="E241" i="47"/>
  <c r="E242" i="47"/>
  <c r="E243" i="47"/>
  <c r="E244" i="47"/>
  <c r="E245" i="47"/>
  <c r="E246" i="47"/>
  <c r="E247" i="47"/>
  <c r="E248" i="47"/>
  <c r="E249" i="47"/>
  <c r="E250" i="47"/>
  <c r="E251" i="47"/>
  <c r="E252" i="47"/>
  <c r="E253" i="47"/>
  <c r="E254" i="47"/>
  <c r="E255" i="47"/>
  <c r="E256" i="47"/>
  <c r="E257" i="47"/>
  <c r="E258" i="47"/>
  <c r="E259" i="47"/>
  <c r="E260" i="47"/>
  <c r="E261" i="47"/>
  <c r="E262" i="47"/>
  <c r="E263" i="47"/>
  <c r="E264" i="47"/>
  <c r="E265" i="47"/>
  <c r="E266" i="47"/>
  <c r="E267" i="47"/>
  <c r="E268" i="47"/>
  <c r="E269" i="47"/>
  <c r="E270" i="47"/>
  <c r="E271" i="47"/>
  <c r="E272" i="47"/>
  <c r="E273" i="47"/>
  <c r="E274" i="47"/>
  <c r="E275" i="47"/>
  <c r="E276" i="47"/>
  <c r="E277" i="47"/>
  <c r="E278" i="47"/>
  <c r="E279" i="47"/>
  <c r="E280" i="47"/>
  <c r="E281" i="47"/>
  <c r="E282" i="47"/>
  <c r="E283" i="47"/>
  <c r="E284" i="47"/>
  <c r="E285" i="47"/>
  <c r="E286" i="47"/>
  <c r="E287" i="47"/>
  <c r="E288" i="47"/>
  <c r="E289" i="47"/>
  <c r="E290" i="47"/>
  <c r="E291" i="47"/>
  <c r="E292" i="47"/>
  <c r="E293" i="47"/>
  <c r="E294" i="47"/>
  <c r="E295" i="47"/>
  <c r="E296" i="47"/>
  <c r="E297" i="47"/>
  <c r="E298" i="47"/>
  <c r="E299" i="47"/>
  <c r="E300" i="47"/>
  <c r="E301" i="47"/>
  <c r="E302" i="47"/>
  <c r="E303" i="47"/>
  <c r="E304" i="47"/>
  <c r="E305" i="47"/>
  <c r="E306" i="47"/>
  <c r="E307" i="47"/>
  <c r="E308" i="47"/>
  <c r="E309" i="47"/>
  <c r="E310" i="47"/>
  <c r="E311" i="47"/>
  <c r="E312" i="47"/>
  <c r="E313" i="47"/>
  <c r="E314" i="47"/>
  <c r="E315" i="47"/>
  <c r="E316" i="47"/>
  <c r="E317" i="47"/>
  <c r="E318" i="47"/>
  <c r="E319" i="47"/>
  <c r="E320" i="47"/>
  <c r="E321" i="47"/>
  <c r="E322" i="47"/>
  <c r="E323" i="47"/>
  <c r="E324" i="47"/>
  <c r="E325" i="47"/>
  <c r="E326" i="47"/>
  <c r="E327" i="47"/>
  <c r="E328" i="47"/>
  <c r="E329" i="47"/>
  <c r="E330" i="47"/>
  <c r="E331" i="47"/>
  <c r="E332" i="47"/>
  <c r="E333" i="47"/>
  <c r="E334" i="47"/>
  <c r="E335" i="47"/>
  <c r="E336" i="47"/>
  <c r="E337" i="47"/>
  <c r="E338" i="47"/>
  <c r="E339" i="47"/>
  <c r="E340" i="47"/>
  <c r="E341" i="47"/>
  <c r="E342" i="47"/>
  <c r="E343" i="47"/>
  <c r="E344" i="47"/>
  <c r="E345" i="47"/>
  <c r="E346" i="47"/>
  <c r="E347" i="47"/>
  <c r="E348" i="47"/>
  <c r="E349" i="47"/>
  <c r="E350" i="47"/>
  <c r="E351" i="47"/>
  <c r="E352" i="47"/>
  <c r="E353" i="47"/>
  <c r="E354" i="47"/>
  <c r="E355" i="47"/>
  <c r="E356" i="47"/>
  <c r="E357" i="47"/>
  <c r="E358" i="47"/>
  <c r="E359" i="47"/>
  <c r="E360" i="47"/>
  <c r="E361" i="47"/>
  <c r="E362" i="47"/>
  <c r="E363" i="47"/>
  <c r="E364" i="47"/>
  <c r="E365" i="47"/>
  <c r="E366" i="47"/>
  <c r="E367" i="47"/>
  <c r="E368" i="47"/>
  <c r="E369" i="47"/>
  <c r="E370" i="47"/>
  <c r="E371" i="47"/>
  <c r="E372" i="47"/>
  <c r="E373" i="47"/>
  <c r="E374" i="47"/>
  <c r="E375" i="47"/>
  <c r="E376" i="47"/>
  <c r="E377" i="47"/>
  <c r="E378" i="47"/>
  <c r="E379" i="47"/>
  <c r="E380" i="47"/>
  <c r="E381" i="47"/>
  <c r="E382" i="47"/>
  <c r="E383" i="47"/>
  <c r="E384" i="47"/>
  <c r="E385" i="47"/>
  <c r="E386" i="47"/>
  <c r="E387" i="47"/>
  <c r="E388" i="47"/>
  <c r="E389" i="47"/>
  <c r="E390" i="47"/>
  <c r="E391" i="47"/>
  <c r="E392" i="47"/>
  <c r="E393" i="47"/>
  <c r="E394" i="47"/>
  <c r="E395" i="47"/>
  <c r="E396" i="47"/>
  <c r="E397" i="47"/>
  <c r="E4" i="47"/>
  <c r="E5" i="47"/>
  <c r="E6" i="47"/>
  <c r="E7" i="47"/>
  <c r="E8" i="47"/>
  <c r="E9" i="47"/>
  <c r="E10" i="47"/>
  <c r="E11" i="47"/>
  <c r="E12" i="47"/>
  <c r="E13" i="47"/>
  <c r="E14" i="47"/>
  <c r="E15" i="47"/>
  <c r="E16" i="47"/>
  <c r="E17" i="47"/>
  <c r="E18" i="47"/>
  <c r="E19" i="47"/>
  <c r="E20" i="47"/>
  <c r="E21" i="47"/>
  <c r="E22" i="47"/>
  <c r="E23" i="47"/>
  <c r="E24" i="47"/>
  <c r="E25" i="47"/>
  <c r="E26" i="47"/>
  <c r="E27" i="47"/>
  <c r="E28" i="47"/>
  <c r="E29" i="47"/>
  <c r="E30" i="47"/>
  <c r="E31" i="47"/>
  <c r="E32" i="47"/>
  <c r="E33" i="47"/>
  <c r="E34" i="47"/>
  <c r="E35" i="47"/>
  <c r="E36" i="47"/>
  <c r="E37" i="47"/>
  <c r="E38" i="47"/>
  <c r="E39" i="47"/>
  <c r="E3" i="47"/>
  <c r="V220" i="44" l="1"/>
  <c r="W180" i="44"/>
  <c r="V180" i="44"/>
  <c r="G24" i="6"/>
  <c r="F70" i="43" l="1"/>
  <c r="V181" i="44" l="1"/>
  <c r="W181" i="44"/>
  <c r="V182" i="44"/>
  <c r="W182" i="44"/>
  <c r="V183" i="44"/>
  <c r="W183" i="44"/>
  <c r="V184" i="44"/>
  <c r="W184" i="44"/>
  <c r="V185" i="44"/>
  <c r="W185" i="44"/>
  <c r="V186" i="44"/>
  <c r="W186" i="44"/>
  <c r="V187" i="44"/>
  <c r="W187" i="44"/>
  <c r="V188" i="44"/>
  <c r="W188" i="44"/>
  <c r="V189" i="44"/>
  <c r="W189" i="44"/>
  <c r="V190" i="44"/>
  <c r="W190" i="44"/>
  <c r="V191" i="44"/>
  <c r="W191" i="44"/>
  <c r="V192" i="44"/>
  <c r="W192" i="44"/>
  <c r="V193" i="44"/>
  <c r="W193" i="44"/>
  <c r="V194" i="44"/>
  <c r="W194" i="44"/>
  <c r="V195" i="44"/>
  <c r="W195" i="44"/>
  <c r="V196" i="44"/>
  <c r="W196" i="44"/>
  <c r="V197" i="44"/>
  <c r="W197" i="44"/>
  <c r="V198" i="44"/>
  <c r="W198" i="44"/>
  <c r="V199" i="44"/>
  <c r="W199" i="44"/>
  <c r="V200" i="44"/>
  <c r="W200" i="44"/>
  <c r="V201" i="44"/>
  <c r="W201" i="44"/>
  <c r="V202" i="44"/>
  <c r="W202" i="44"/>
  <c r="V203" i="44"/>
  <c r="W203" i="44"/>
  <c r="V204" i="44"/>
  <c r="W204" i="44"/>
  <c r="V205" i="44"/>
  <c r="W205" i="44"/>
  <c r="V206" i="44"/>
  <c r="W206" i="44"/>
  <c r="V207" i="44"/>
  <c r="W207" i="44"/>
  <c r="V221" i="44"/>
  <c r="V222" i="44"/>
  <c r="V223" i="44"/>
  <c r="V224" i="44"/>
  <c r="V225" i="44"/>
  <c r="V226" i="44"/>
  <c r="V227" i="44"/>
  <c r="V228" i="44"/>
  <c r="V229" i="44"/>
  <c r="V230" i="44"/>
  <c r="V231" i="44"/>
  <c r="V232" i="44"/>
  <c r="V233" i="44"/>
  <c r="V234" i="44"/>
  <c r="V235" i="44"/>
  <c r="V236" i="44"/>
  <c r="V237" i="44"/>
  <c r="V238" i="44"/>
  <c r="V239" i="44"/>
  <c r="V240" i="44"/>
  <c r="V241" i="44"/>
  <c r="V242" i="44"/>
  <c r="V243" i="44"/>
  <c r="V244" i="44" l="1"/>
  <c r="V245" i="44"/>
  <c r="V246" i="44"/>
  <c r="V247" i="44"/>
  <c r="V248" i="44"/>
  <c r="V249" i="44"/>
  <c r="V250" i="44"/>
  <c r="V251" i="44"/>
  <c r="W208" i="44"/>
  <c r="W209" i="44"/>
  <c r="W210" i="44"/>
  <c r="V208" i="44"/>
  <c r="V209" i="44"/>
  <c r="V210" i="44"/>
  <c r="I76" i="43" l="1"/>
  <c r="K75" i="43" l="1"/>
  <c r="K74" i="43"/>
  <c r="K73" i="43"/>
  <c r="K72" i="43"/>
  <c r="K71" i="43"/>
  <c r="K70" i="43"/>
  <c r="F7" i="15" l="1"/>
  <c r="I53" i="43" l="1"/>
  <c r="B186" i="48" l="1"/>
  <c r="B157" i="48"/>
  <c r="B158" i="48"/>
  <c r="B159" i="48"/>
  <c r="B160" i="48"/>
  <c r="B161" i="48"/>
  <c r="B162" i="48"/>
  <c r="B163" i="48"/>
  <c r="B164" i="48"/>
  <c r="B165" i="48"/>
  <c r="B166" i="48"/>
  <c r="B167" i="48"/>
  <c r="B168" i="48"/>
  <c r="B169" i="48"/>
  <c r="B170" i="48"/>
  <c r="B171" i="48"/>
  <c r="B172" i="48"/>
  <c r="B173" i="48"/>
  <c r="B174" i="48"/>
  <c r="B175" i="48"/>
  <c r="B176" i="48"/>
  <c r="B177" i="48"/>
  <c r="B178" i="48"/>
  <c r="B179" i="48"/>
  <c r="B180" i="48"/>
  <c r="B181" i="48"/>
  <c r="B182" i="48"/>
  <c r="B183" i="48"/>
  <c r="B184" i="48"/>
  <c r="B185" i="48"/>
  <c r="B156" i="48"/>
  <c r="C157" i="48"/>
  <c r="C158" i="48"/>
  <c r="C159" i="48"/>
  <c r="C160" i="48"/>
  <c r="C161" i="48"/>
  <c r="C162" i="48"/>
  <c r="C163" i="48"/>
  <c r="C164" i="48"/>
  <c r="C165" i="48"/>
  <c r="C166" i="48"/>
  <c r="C167" i="48"/>
  <c r="C168" i="48"/>
  <c r="C169" i="48"/>
  <c r="C170" i="48"/>
  <c r="C171" i="48"/>
  <c r="C172" i="48"/>
  <c r="C173" i="48"/>
  <c r="C174" i="48"/>
  <c r="C175" i="48"/>
  <c r="C176" i="48"/>
  <c r="C177" i="48"/>
  <c r="C178" i="48"/>
  <c r="C179" i="48"/>
  <c r="C180" i="48"/>
  <c r="C181" i="48"/>
  <c r="C182" i="48"/>
  <c r="C183" i="48"/>
  <c r="C184" i="48"/>
  <c r="C185" i="48"/>
  <c r="C186" i="48"/>
  <c r="C156" i="48"/>
  <c r="J5" i="49" l="1"/>
  <c r="J6" i="49"/>
  <c r="J7" i="49"/>
  <c r="J8" i="49"/>
  <c r="J9" i="49"/>
  <c r="J10" i="49"/>
  <c r="J11" i="49"/>
  <c r="J12" i="49"/>
  <c r="J13" i="49"/>
  <c r="J14" i="49"/>
  <c r="J15" i="49"/>
  <c r="J16" i="49"/>
  <c r="J17" i="49"/>
  <c r="J19" i="49"/>
  <c r="J20" i="49"/>
  <c r="J21" i="49"/>
  <c r="J22" i="49"/>
  <c r="J23" i="49"/>
  <c r="J24" i="49"/>
  <c r="J25" i="49"/>
  <c r="J26" i="49"/>
  <c r="J27" i="49"/>
  <c r="J28" i="49"/>
  <c r="J29" i="49"/>
  <c r="J30" i="49"/>
  <c r="J31" i="49"/>
  <c r="J32" i="49"/>
  <c r="J33" i="49"/>
  <c r="J34" i="49"/>
  <c r="J35" i="49"/>
  <c r="J36" i="49"/>
  <c r="J37" i="49"/>
  <c r="J38" i="49"/>
  <c r="J39" i="49"/>
  <c r="J40" i="49"/>
  <c r="J41" i="49"/>
  <c r="J42" i="49"/>
  <c r="J43" i="49"/>
  <c r="J44" i="49"/>
  <c r="J45" i="49"/>
  <c r="J47" i="49"/>
  <c r="J50" i="49"/>
  <c r="J51" i="49"/>
  <c r="J52" i="49"/>
  <c r="J53" i="49"/>
  <c r="J54" i="49"/>
  <c r="J55" i="49"/>
  <c r="J56" i="49"/>
  <c r="J57" i="49"/>
  <c r="J58" i="49"/>
  <c r="J59" i="49"/>
  <c r="J60" i="49"/>
  <c r="J61" i="49"/>
  <c r="J62" i="49"/>
  <c r="J63" i="49"/>
  <c r="J64" i="49"/>
  <c r="J65" i="49"/>
  <c r="J66" i="49"/>
  <c r="J67" i="49"/>
  <c r="J68" i="49"/>
  <c r="J69" i="49"/>
  <c r="J70" i="49"/>
  <c r="J71" i="49"/>
  <c r="J72" i="49"/>
  <c r="J73" i="49"/>
  <c r="J74" i="49"/>
  <c r="J75" i="49"/>
  <c r="J76" i="49"/>
  <c r="J78" i="49"/>
  <c r="J81" i="49"/>
  <c r="J82" i="49"/>
  <c r="J83" i="49"/>
  <c r="J84" i="49"/>
  <c r="J85" i="49"/>
  <c r="J86" i="49"/>
  <c r="J87" i="49"/>
  <c r="J88" i="49"/>
  <c r="J89" i="49"/>
  <c r="J90" i="49"/>
  <c r="J91" i="49"/>
  <c r="J92" i="49"/>
  <c r="J93" i="49"/>
  <c r="J94" i="49"/>
  <c r="J95" i="49"/>
  <c r="J96" i="49"/>
  <c r="J97" i="49"/>
  <c r="J98" i="49"/>
  <c r="J99" i="49"/>
  <c r="J100" i="49"/>
  <c r="J101" i="49"/>
  <c r="J102" i="49"/>
  <c r="J103" i="49"/>
  <c r="J104" i="49"/>
  <c r="J105" i="49"/>
  <c r="J106" i="49"/>
  <c r="J111" i="49"/>
  <c r="J112" i="49"/>
  <c r="J113" i="49"/>
  <c r="J114" i="49"/>
  <c r="J115" i="49"/>
  <c r="J116" i="49"/>
  <c r="J117" i="49"/>
  <c r="J118" i="49"/>
  <c r="J119" i="49"/>
  <c r="J120" i="49"/>
  <c r="J121" i="49"/>
  <c r="J122" i="49"/>
  <c r="J123" i="49"/>
  <c r="J124" i="49"/>
  <c r="J125" i="49"/>
  <c r="J126" i="49"/>
  <c r="J127" i="49"/>
  <c r="J128" i="49"/>
  <c r="J129" i="49"/>
  <c r="J130" i="49"/>
  <c r="J131" i="49"/>
  <c r="J132" i="49"/>
  <c r="J133" i="49"/>
  <c r="J134" i="49"/>
  <c r="J135" i="49"/>
  <c r="J136" i="49"/>
  <c r="J137" i="49"/>
  <c r="J142" i="49"/>
  <c r="J143" i="49"/>
  <c r="J144" i="49"/>
  <c r="J145" i="49"/>
  <c r="J146" i="49"/>
  <c r="J147" i="49"/>
  <c r="J148" i="49"/>
  <c r="J149" i="49"/>
  <c r="J150" i="49"/>
  <c r="J151" i="49"/>
  <c r="J152" i="49"/>
  <c r="J153" i="49"/>
  <c r="J154" i="49"/>
  <c r="J155" i="49"/>
  <c r="J156" i="49"/>
  <c r="J157" i="49"/>
  <c r="J158" i="49"/>
  <c r="J159" i="49"/>
  <c r="J160" i="49"/>
  <c r="J161" i="49"/>
  <c r="J162" i="49"/>
  <c r="J163" i="49"/>
  <c r="J164" i="49"/>
  <c r="J165" i="49"/>
  <c r="J166" i="49"/>
  <c r="J167" i="49"/>
  <c r="J170" i="49"/>
  <c r="J172" i="49"/>
  <c r="J173" i="49"/>
  <c r="J174" i="49"/>
  <c r="J175" i="49"/>
  <c r="J176" i="49"/>
  <c r="J177" i="49"/>
  <c r="J178" i="49"/>
  <c r="J179" i="49"/>
  <c r="J180" i="49"/>
  <c r="J181" i="49"/>
  <c r="J182" i="49"/>
  <c r="J183" i="49"/>
  <c r="J184" i="49"/>
  <c r="J185" i="49"/>
  <c r="J186" i="49"/>
  <c r="J187" i="49"/>
  <c r="J188" i="49"/>
  <c r="J189" i="49"/>
  <c r="J190" i="49"/>
  <c r="J191" i="49"/>
  <c r="J192" i="49"/>
  <c r="J193" i="49"/>
  <c r="J194" i="49"/>
  <c r="J195" i="49"/>
  <c r="J196" i="49"/>
  <c r="J197" i="49"/>
  <c r="J198" i="49"/>
  <c r="J201" i="49"/>
  <c r="J203" i="49"/>
  <c r="J204" i="49"/>
  <c r="J205" i="49"/>
  <c r="J206" i="49"/>
  <c r="J207" i="49"/>
  <c r="J208" i="49"/>
  <c r="J209" i="49"/>
  <c r="J210" i="49"/>
  <c r="J211" i="49"/>
  <c r="J212" i="49"/>
  <c r="J213" i="49"/>
  <c r="J214" i="49"/>
  <c r="J215" i="49"/>
  <c r="J216" i="49"/>
  <c r="J217" i="49"/>
  <c r="J218" i="49"/>
  <c r="J219" i="49"/>
  <c r="J220" i="49"/>
  <c r="J221" i="49"/>
  <c r="J222" i="49"/>
  <c r="J223" i="49"/>
  <c r="J224" i="49"/>
  <c r="J225" i="49"/>
  <c r="J226" i="49"/>
  <c r="J227" i="49"/>
  <c r="J228" i="49"/>
  <c r="J229" i="49"/>
  <c r="J231" i="49"/>
  <c r="J233" i="49"/>
  <c r="J234" i="49"/>
  <c r="J235" i="49"/>
  <c r="J236" i="49"/>
  <c r="J237" i="49"/>
  <c r="J238" i="49"/>
  <c r="J239" i="49"/>
  <c r="J240" i="49"/>
  <c r="J241" i="49"/>
  <c r="J242" i="49"/>
  <c r="J243" i="49"/>
  <c r="J244" i="49"/>
  <c r="J245" i="49"/>
  <c r="J246" i="49"/>
  <c r="J247" i="49"/>
  <c r="J248" i="49"/>
  <c r="J249" i="49"/>
  <c r="J250" i="49"/>
  <c r="J251" i="49"/>
  <c r="J252" i="49"/>
  <c r="J253" i="49"/>
  <c r="J254" i="49"/>
  <c r="J255" i="49"/>
  <c r="J256" i="49"/>
  <c r="J257" i="49"/>
  <c r="J258" i="49"/>
  <c r="J259" i="49"/>
  <c r="J262" i="49"/>
  <c r="J264" i="49"/>
  <c r="J265" i="49"/>
  <c r="J266" i="49"/>
  <c r="J267" i="49"/>
  <c r="J268" i="49"/>
  <c r="J269" i="49"/>
  <c r="J270" i="49"/>
  <c r="J271" i="49"/>
  <c r="J272" i="49"/>
  <c r="J273" i="49"/>
  <c r="J274" i="49"/>
  <c r="J275" i="49"/>
  <c r="J276" i="49"/>
  <c r="J277" i="49"/>
  <c r="J278" i="49"/>
  <c r="J279" i="49"/>
  <c r="J280" i="49"/>
  <c r="J281" i="49"/>
  <c r="J282" i="49"/>
  <c r="J283" i="49"/>
  <c r="J284" i="49"/>
  <c r="J285" i="49"/>
  <c r="J286" i="49"/>
  <c r="J287" i="49"/>
  <c r="J288" i="49"/>
  <c r="J289" i="49"/>
  <c r="J290" i="49"/>
  <c r="J294" i="49"/>
  <c r="J295" i="49"/>
  <c r="J296" i="49"/>
  <c r="J297" i="49"/>
  <c r="J298" i="49"/>
  <c r="J299" i="49"/>
  <c r="J300" i="49"/>
  <c r="J301" i="49"/>
  <c r="J302" i="49"/>
  <c r="J303" i="49"/>
  <c r="J304" i="49"/>
  <c r="J305" i="49"/>
  <c r="J306" i="49"/>
  <c r="J307" i="49"/>
  <c r="J308" i="49"/>
  <c r="J309" i="49"/>
  <c r="J310" i="49"/>
  <c r="J311" i="49"/>
  <c r="J312" i="49"/>
  <c r="J313" i="49"/>
  <c r="J314" i="49"/>
  <c r="J315" i="49"/>
  <c r="J316" i="49"/>
  <c r="J317" i="49"/>
  <c r="J318" i="49"/>
  <c r="J319" i="49"/>
  <c r="J320" i="49"/>
  <c r="J323" i="49"/>
  <c r="J325" i="49"/>
  <c r="J326" i="49"/>
  <c r="J327" i="49"/>
  <c r="J328" i="49"/>
  <c r="J329" i="49"/>
  <c r="J330" i="49"/>
  <c r="J331" i="49"/>
  <c r="J332" i="49"/>
  <c r="J333" i="49"/>
  <c r="J334" i="49"/>
  <c r="J335" i="49"/>
  <c r="J336" i="49"/>
  <c r="J337" i="49"/>
  <c r="J338" i="49"/>
  <c r="J339" i="49"/>
  <c r="J340" i="49"/>
  <c r="J341" i="49"/>
  <c r="J342" i="49"/>
  <c r="J343" i="49"/>
  <c r="J344" i="49"/>
  <c r="J345" i="49"/>
  <c r="J346" i="49"/>
  <c r="J347" i="49"/>
  <c r="J348" i="49"/>
  <c r="J349" i="49"/>
  <c r="J350" i="49"/>
  <c r="J351" i="49"/>
  <c r="J354" i="49"/>
  <c r="J356" i="49"/>
  <c r="J357" i="49"/>
  <c r="J358" i="49"/>
  <c r="J359" i="49"/>
  <c r="J360" i="49"/>
  <c r="J361" i="49"/>
  <c r="J362" i="49"/>
  <c r="J363" i="49"/>
  <c r="J364" i="49"/>
  <c r="J365" i="49"/>
  <c r="J366" i="49"/>
  <c r="J367" i="49"/>
  <c r="J368" i="49"/>
  <c r="J369" i="49"/>
  <c r="J370" i="49"/>
  <c r="J371" i="49"/>
  <c r="J372" i="49"/>
  <c r="J373" i="49"/>
  <c r="J374" i="49"/>
  <c r="J375" i="49"/>
  <c r="J376" i="49"/>
  <c r="J377" i="49"/>
  <c r="J378" i="49"/>
  <c r="J379" i="49"/>
  <c r="J380" i="49"/>
  <c r="J381" i="49"/>
  <c r="J382" i="49"/>
  <c r="J384" i="49"/>
  <c r="J385" i="49"/>
  <c r="J386" i="49"/>
  <c r="J387" i="49"/>
  <c r="J388" i="49"/>
  <c r="J389" i="49"/>
  <c r="J390" i="49"/>
  <c r="J391" i="49"/>
  <c r="J392" i="49"/>
  <c r="J393" i="49"/>
  <c r="J394" i="49"/>
  <c r="J395" i="49"/>
  <c r="J396" i="49"/>
  <c r="J397" i="49"/>
  <c r="J398" i="49"/>
  <c r="J399" i="49"/>
  <c r="J4" i="49"/>
  <c r="K4" i="49" s="1"/>
  <c r="D130" i="48" l="1"/>
  <c r="E130" i="48"/>
  <c r="F130" i="48"/>
  <c r="G130" i="48"/>
  <c r="H130" i="48"/>
  <c r="I130" i="48"/>
  <c r="J130" i="48"/>
  <c r="K130" i="48"/>
  <c r="L130" i="48"/>
  <c r="M130" i="48"/>
  <c r="N130" i="48"/>
  <c r="O130" i="48"/>
  <c r="C130" i="48"/>
  <c r="D103" i="48"/>
  <c r="E103" i="48"/>
  <c r="F103" i="48"/>
  <c r="G103" i="48"/>
  <c r="H103" i="48"/>
  <c r="I103" i="48"/>
  <c r="J103" i="48"/>
  <c r="K103" i="48"/>
  <c r="L103" i="48"/>
  <c r="M103" i="48"/>
  <c r="N103" i="48"/>
  <c r="O103" i="48"/>
  <c r="C103" i="48"/>
  <c r="B100" i="44"/>
  <c r="C43" i="48" s="1"/>
  <c r="Z197" i="48"/>
  <c r="Y197" i="48"/>
  <c r="X197" i="48"/>
  <c r="W197" i="48"/>
  <c r="V197" i="48"/>
  <c r="U197" i="48"/>
  <c r="T197" i="48"/>
  <c r="S197" i="48"/>
  <c r="R197" i="48"/>
  <c r="Q197" i="48"/>
  <c r="P197" i="48"/>
  <c r="O197" i="48"/>
  <c r="N197" i="48"/>
  <c r="M197" i="48"/>
  <c r="L197" i="48"/>
  <c r="K197" i="48"/>
  <c r="J197" i="48"/>
  <c r="I197" i="48"/>
  <c r="H197" i="48"/>
  <c r="G197" i="48"/>
  <c r="F197" i="48"/>
  <c r="E197" i="48"/>
  <c r="D197" i="48"/>
  <c r="C197" i="48"/>
  <c r="AA194" i="48"/>
  <c r="AA193" i="48"/>
  <c r="AA197" i="48" s="1"/>
  <c r="F51" i="48"/>
  <c r="F35" i="48"/>
  <c r="H105" i="44" l="1"/>
  <c r="C64" i="48" s="1"/>
  <c r="H104" i="44"/>
  <c r="C63" i="48" s="1"/>
  <c r="H103" i="44"/>
  <c r="C62" i="48" s="1"/>
  <c r="H102" i="44"/>
  <c r="C61" i="48" s="1"/>
  <c r="H101" i="44"/>
  <c r="C60" i="48" s="1"/>
  <c r="H100" i="44"/>
  <c r="C59" i="48" s="1"/>
  <c r="H99" i="44"/>
  <c r="C58" i="48" s="1"/>
  <c r="H97" i="44"/>
  <c r="C56" i="48" s="1"/>
  <c r="H96" i="44"/>
  <c r="C55" i="48" s="1"/>
  <c r="H95" i="44"/>
  <c r="C54" i="48" s="1"/>
  <c r="H94" i="44"/>
  <c r="C53" i="48" s="1"/>
  <c r="B105" i="44"/>
  <c r="C48" i="48" s="1"/>
  <c r="B104" i="44"/>
  <c r="C47" i="48" s="1"/>
  <c r="B103" i="44"/>
  <c r="C46" i="48" s="1"/>
  <c r="B102" i="44"/>
  <c r="C45" i="48" s="1"/>
  <c r="B101" i="44"/>
  <c r="C44" i="48" s="1"/>
  <c r="B99" i="44"/>
  <c r="C42" i="48" s="1"/>
  <c r="B97" i="44"/>
  <c r="C40" i="48" s="1"/>
  <c r="B96" i="44"/>
  <c r="C39" i="48" s="1"/>
  <c r="B95" i="44"/>
  <c r="C38" i="48" s="1"/>
  <c r="B94" i="44"/>
  <c r="C37" i="48" s="1"/>
  <c r="F54" i="48" l="1"/>
  <c r="F38" i="48"/>
  <c r="B98" i="44"/>
  <c r="C41" i="48" s="1"/>
  <c r="F37" i="48" s="1"/>
  <c r="H98" i="44"/>
  <c r="C57" i="48" s="1"/>
  <c r="C65" i="48" s="1"/>
  <c r="C49" i="48" l="1"/>
  <c r="F53" i="48"/>
  <c r="C5" i="48"/>
  <c r="F399" i="49" l="1"/>
  <c r="E399" i="49"/>
  <c r="F398" i="49"/>
  <c r="E398" i="49"/>
  <c r="F397" i="49"/>
  <c r="E397" i="49"/>
  <c r="F396" i="49"/>
  <c r="E396" i="49"/>
  <c r="F395" i="49"/>
  <c r="E395" i="49"/>
  <c r="F394" i="49"/>
  <c r="E394" i="49"/>
  <c r="F393" i="49"/>
  <c r="E393" i="49"/>
  <c r="F392" i="49"/>
  <c r="E392" i="49"/>
  <c r="F391" i="49"/>
  <c r="E391" i="49"/>
  <c r="F390" i="49"/>
  <c r="E390" i="49"/>
  <c r="F389" i="49"/>
  <c r="E389" i="49"/>
  <c r="F388" i="49"/>
  <c r="E388" i="49"/>
  <c r="F387" i="49"/>
  <c r="E387" i="49"/>
  <c r="F386" i="49"/>
  <c r="E386" i="49"/>
  <c r="F385" i="49"/>
  <c r="E385" i="49"/>
  <c r="F384" i="49"/>
  <c r="E384" i="49"/>
  <c r="F383" i="49"/>
  <c r="E383" i="49"/>
  <c r="F382" i="49"/>
  <c r="E382" i="49"/>
  <c r="F381" i="49"/>
  <c r="E381" i="49"/>
  <c r="F380" i="49"/>
  <c r="E380" i="49"/>
  <c r="F379" i="49"/>
  <c r="E379" i="49"/>
  <c r="F378" i="49"/>
  <c r="E378" i="49"/>
  <c r="F377" i="49"/>
  <c r="E377" i="49"/>
  <c r="F376" i="49"/>
  <c r="E376" i="49"/>
  <c r="F375" i="49"/>
  <c r="E375" i="49"/>
  <c r="F374" i="49"/>
  <c r="E374" i="49"/>
  <c r="F373" i="49"/>
  <c r="E373" i="49"/>
  <c r="F372" i="49"/>
  <c r="E372" i="49"/>
  <c r="F371" i="49"/>
  <c r="E371" i="49"/>
  <c r="F370" i="49"/>
  <c r="E370" i="49"/>
  <c r="F369" i="49"/>
  <c r="E369" i="49"/>
  <c r="F368" i="49"/>
  <c r="E368" i="49"/>
  <c r="F367" i="49"/>
  <c r="E367" i="49"/>
  <c r="F366" i="49"/>
  <c r="E366" i="49"/>
  <c r="F365" i="49"/>
  <c r="E365" i="49"/>
  <c r="F364" i="49"/>
  <c r="E364" i="49"/>
  <c r="F363" i="49"/>
  <c r="E363" i="49"/>
  <c r="F362" i="49"/>
  <c r="E362" i="49"/>
  <c r="F361" i="49"/>
  <c r="E361" i="49"/>
  <c r="F360" i="49"/>
  <c r="E360" i="49"/>
  <c r="F359" i="49"/>
  <c r="E359" i="49"/>
  <c r="F358" i="49"/>
  <c r="E358" i="49"/>
  <c r="F357" i="49"/>
  <c r="E357" i="49"/>
  <c r="F356" i="49"/>
  <c r="E356" i="49"/>
  <c r="E355" i="49"/>
  <c r="F354" i="49"/>
  <c r="E354" i="49"/>
  <c r="E353" i="49"/>
  <c r="F352" i="49"/>
  <c r="E352" i="49"/>
  <c r="F351" i="49"/>
  <c r="E351" i="49"/>
  <c r="F350" i="49"/>
  <c r="E350" i="49"/>
  <c r="F349" i="49"/>
  <c r="E349" i="49"/>
  <c r="F348" i="49"/>
  <c r="E348" i="49"/>
  <c r="F347" i="49"/>
  <c r="E347" i="49"/>
  <c r="F346" i="49"/>
  <c r="E346" i="49"/>
  <c r="F345" i="49"/>
  <c r="E345" i="49"/>
  <c r="F344" i="49"/>
  <c r="E344" i="49"/>
  <c r="F343" i="49"/>
  <c r="E343" i="49"/>
  <c r="F342" i="49"/>
  <c r="E342" i="49"/>
  <c r="F341" i="49"/>
  <c r="E341" i="49"/>
  <c r="F340" i="49"/>
  <c r="E340" i="49"/>
  <c r="F339" i="49"/>
  <c r="E339" i="49"/>
  <c r="F338" i="49"/>
  <c r="E338" i="49"/>
  <c r="F337" i="49"/>
  <c r="E337" i="49"/>
  <c r="F336" i="49"/>
  <c r="E336" i="49"/>
  <c r="F335" i="49"/>
  <c r="E335" i="49"/>
  <c r="F334" i="49"/>
  <c r="E334" i="49"/>
  <c r="F333" i="49"/>
  <c r="E333" i="49"/>
  <c r="F332" i="49"/>
  <c r="E332" i="49"/>
  <c r="F331" i="49"/>
  <c r="E331" i="49"/>
  <c r="F330" i="49"/>
  <c r="E330" i="49"/>
  <c r="F329" i="49"/>
  <c r="E329" i="49"/>
  <c r="F328" i="49"/>
  <c r="E328" i="49"/>
  <c r="F327" i="49"/>
  <c r="E327" i="49"/>
  <c r="F326" i="49"/>
  <c r="E326" i="49"/>
  <c r="F325" i="49"/>
  <c r="E325" i="49"/>
  <c r="E324" i="49"/>
  <c r="F323" i="49"/>
  <c r="E323" i="49"/>
  <c r="F322" i="49"/>
  <c r="E322" i="49"/>
  <c r="E321" i="49"/>
  <c r="F320" i="49"/>
  <c r="E320" i="49"/>
  <c r="F319" i="49"/>
  <c r="E319" i="49"/>
  <c r="F318" i="49"/>
  <c r="E318" i="49"/>
  <c r="F317" i="49"/>
  <c r="E317" i="49"/>
  <c r="F316" i="49"/>
  <c r="E316" i="49"/>
  <c r="F315" i="49"/>
  <c r="E315" i="49"/>
  <c r="F314" i="49"/>
  <c r="E314" i="49"/>
  <c r="F313" i="49"/>
  <c r="E313" i="49"/>
  <c r="F312" i="49"/>
  <c r="E312" i="49"/>
  <c r="F311" i="49"/>
  <c r="E311" i="49"/>
  <c r="F310" i="49"/>
  <c r="E310" i="49"/>
  <c r="F309" i="49"/>
  <c r="E309" i="49"/>
  <c r="F308" i="49"/>
  <c r="E308" i="49"/>
  <c r="F307" i="49"/>
  <c r="E307" i="49"/>
  <c r="F306" i="49"/>
  <c r="E306" i="49"/>
  <c r="F305" i="49"/>
  <c r="E305" i="49"/>
  <c r="F304" i="49"/>
  <c r="E304" i="49"/>
  <c r="F303" i="49"/>
  <c r="E303" i="49"/>
  <c r="F302" i="49"/>
  <c r="E302" i="49"/>
  <c r="F301" i="49"/>
  <c r="E301" i="49"/>
  <c r="F300" i="49"/>
  <c r="E300" i="49"/>
  <c r="F299" i="49"/>
  <c r="E299" i="49"/>
  <c r="F298" i="49"/>
  <c r="E298" i="49"/>
  <c r="F297" i="49"/>
  <c r="E297" i="49"/>
  <c r="F296" i="49"/>
  <c r="E296" i="49"/>
  <c r="F295" i="49"/>
  <c r="E295" i="49"/>
  <c r="F294" i="49"/>
  <c r="E294" i="49"/>
  <c r="E293" i="49"/>
  <c r="E292" i="49"/>
  <c r="F291" i="49"/>
  <c r="E291" i="49"/>
  <c r="F290" i="49"/>
  <c r="E290" i="49"/>
  <c r="F289" i="49"/>
  <c r="E289" i="49"/>
  <c r="F288" i="49"/>
  <c r="E288" i="49"/>
  <c r="F287" i="49"/>
  <c r="E287" i="49"/>
  <c r="F286" i="49"/>
  <c r="E286" i="49"/>
  <c r="F285" i="49"/>
  <c r="E285" i="49"/>
  <c r="F284" i="49"/>
  <c r="E284" i="49"/>
  <c r="F283" i="49"/>
  <c r="E283" i="49"/>
  <c r="F282" i="49"/>
  <c r="E282" i="49"/>
  <c r="F281" i="49"/>
  <c r="E281" i="49"/>
  <c r="F280" i="49"/>
  <c r="E280" i="49"/>
  <c r="F279" i="49"/>
  <c r="E279" i="49"/>
  <c r="F278" i="49"/>
  <c r="E278" i="49"/>
  <c r="F277" i="49"/>
  <c r="E277" i="49"/>
  <c r="F276" i="49"/>
  <c r="E276" i="49"/>
  <c r="F275" i="49"/>
  <c r="E275" i="49"/>
  <c r="F274" i="49"/>
  <c r="E274" i="49"/>
  <c r="F273" i="49"/>
  <c r="E273" i="49"/>
  <c r="F272" i="49"/>
  <c r="E272" i="49"/>
  <c r="F271" i="49"/>
  <c r="E271" i="49"/>
  <c r="F270" i="49"/>
  <c r="E270" i="49"/>
  <c r="F269" i="49"/>
  <c r="E269" i="49"/>
  <c r="F268" i="49"/>
  <c r="E268" i="49"/>
  <c r="F267" i="49"/>
  <c r="E267" i="49"/>
  <c r="F266" i="49"/>
  <c r="E266" i="49"/>
  <c r="F265" i="49"/>
  <c r="E265" i="49"/>
  <c r="F264" i="49"/>
  <c r="E264" i="49"/>
  <c r="E263" i="49"/>
  <c r="F262" i="49"/>
  <c r="E262" i="49"/>
  <c r="F261" i="49"/>
  <c r="E261" i="49"/>
  <c r="E260" i="49"/>
  <c r="F259" i="49"/>
  <c r="E259" i="49"/>
  <c r="F258" i="49"/>
  <c r="E258" i="49"/>
  <c r="F257" i="49"/>
  <c r="E257" i="49"/>
  <c r="F256" i="49"/>
  <c r="E256" i="49"/>
  <c r="F255" i="49"/>
  <c r="E255" i="49"/>
  <c r="F254" i="49"/>
  <c r="E254" i="49"/>
  <c r="F253" i="49"/>
  <c r="E253" i="49"/>
  <c r="F252" i="49"/>
  <c r="E252" i="49"/>
  <c r="F251" i="49"/>
  <c r="E251" i="49"/>
  <c r="F250" i="49"/>
  <c r="E250" i="49"/>
  <c r="F249" i="49"/>
  <c r="E249" i="49"/>
  <c r="F248" i="49"/>
  <c r="E248" i="49"/>
  <c r="F247" i="49"/>
  <c r="E247" i="49"/>
  <c r="F246" i="49"/>
  <c r="E246" i="49"/>
  <c r="F245" i="49"/>
  <c r="E245" i="49"/>
  <c r="F244" i="49"/>
  <c r="E244" i="49"/>
  <c r="F243" i="49"/>
  <c r="E243" i="49"/>
  <c r="F242" i="49"/>
  <c r="E242" i="49"/>
  <c r="F241" i="49"/>
  <c r="E241" i="49"/>
  <c r="F240" i="49"/>
  <c r="E240" i="49"/>
  <c r="F239" i="49"/>
  <c r="E239" i="49"/>
  <c r="F238" i="49"/>
  <c r="E238" i="49"/>
  <c r="F237" i="49"/>
  <c r="E237" i="49"/>
  <c r="F236" i="49"/>
  <c r="E236" i="49"/>
  <c r="F235" i="49"/>
  <c r="E235" i="49"/>
  <c r="F234" i="49"/>
  <c r="E234" i="49"/>
  <c r="F233" i="49"/>
  <c r="E233" i="49"/>
  <c r="E232" i="49"/>
  <c r="F231" i="49"/>
  <c r="E231" i="49"/>
  <c r="F230" i="49"/>
  <c r="E230" i="49"/>
  <c r="F229" i="49"/>
  <c r="E229" i="49"/>
  <c r="F228" i="49"/>
  <c r="E228" i="49"/>
  <c r="F227" i="49"/>
  <c r="E227" i="49"/>
  <c r="F226" i="49"/>
  <c r="E226" i="49"/>
  <c r="F225" i="49"/>
  <c r="E225" i="49"/>
  <c r="F224" i="49"/>
  <c r="E224" i="49"/>
  <c r="F223" i="49"/>
  <c r="E223" i="49"/>
  <c r="F222" i="49"/>
  <c r="E222" i="49"/>
  <c r="F221" i="49"/>
  <c r="E221" i="49"/>
  <c r="F220" i="49"/>
  <c r="E220" i="49"/>
  <c r="F219" i="49"/>
  <c r="E219" i="49"/>
  <c r="F218" i="49"/>
  <c r="E218" i="49"/>
  <c r="F217" i="49"/>
  <c r="E217" i="49"/>
  <c r="F216" i="49"/>
  <c r="E216" i="49"/>
  <c r="F215" i="49"/>
  <c r="E215" i="49"/>
  <c r="F214" i="49"/>
  <c r="E214" i="49"/>
  <c r="F213" i="49"/>
  <c r="E213" i="49"/>
  <c r="F212" i="49"/>
  <c r="E212" i="49"/>
  <c r="F211" i="49"/>
  <c r="E211" i="49"/>
  <c r="F210" i="49"/>
  <c r="E210" i="49"/>
  <c r="F209" i="49"/>
  <c r="E209" i="49"/>
  <c r="F208" i="49"/>
  <c r="E208" i="49"/>
  <c r="F207" i="49"/>
  <c r="E207" i="49"/>
  <c r="F206" i="49"/>
  <c r="E206" i="49"/>
  <c r="F205" i="49"/>
  <c r="E205" i="49"/>
  <c r="F204" i="49"/>
  <c r="E204" i="49"/>
  <c r="F203" i="49"/>
  <c r="E203" i="49"/>
  <c r="F202" i="49"/>
  <c r="E202" i="49"/>
  <c r="F201" i="49"/>
  <c r="E201" i="49"/>
  <c r="E200" i="49"/>
  <c r="E199" i="49"/>
  <c r="F198" i="49"/>
  <c r="E198" i="49"/>
  <c r="F197" i="49"/>
  <c r="E197" i="49"/>
  <c r="F196" i="49"/>
  <c r="E196" i="49"/>
  <c r="F195" i="49"/>
  <c r="E195" i="49"/>
  <c r="F194" i="49"/>
  <c r="E194" i="49"/>
  <c r="F193" i="49"/>
  <c r="E193" i="49"/>
  <c r="F192" i="49"/>
  <c r="E192" i="49"/>
  <c r="F191" i="49"/>
  <c r="E191" i="49"/>
  <c r="F190" i="49"/>
  <c r="E190" i="49"/>
  <c r="F189" i="49"/>
  <c r="E189" i="49"/>
  <c r="F188" i="49"/>
  <c r="E188" i="49"/>
  <c r="F187" i="49"/>
  <c r="E187" i="49"/>
  <c r="F186" i="49"/>
  <c r="E186" i="49"/>
  <c r="F185" i="49"/>
  <c r="E185" i="49"/>
  <c r="F184" i="49"/>
  <c r="E184" i="49"/>
  <c r="F183" i="49"/>
  <c r="E183" i="49"/>
  <c r="F182" i="49"/>
  <c r="E182" i="49"/>
  <c r="F181" i="49"/>
  <c r="E181" i="49"/>
  <c r="F180" i="49"/>
  <c r="E180" i="49"/>
  <c r="F179" i="49"/>
  <c r="E179" i="49"/>
  <c r="F178" i="49"/>
  <c r="E178" i="49"/>
  <c r="F177" i="49"/>
  <c r="E177" i="49"/>
  <c r="F176" i="49"/>
  <c r="E176" i="49"/>
  <c r="F175" i="49"/>
  <c r="E175" i="49"/>
  <c r="F174" i="49"/>
  <c r="E174" i="49"/>
  <c r="F173" i="49"/>
  <c r="E173" i="49"/>
  <c r="F172" i="49"/>
  <c r="E172" i="49"/>
  <c r="F171" i="49"/>
  <c r="E171" i="49"/>
  <c r="F170" i="49"/>
  <c r="E170" i="49"/>
  <c r="E169" i="49"/>
  <c r="E168" i="49"/>
  <c r="F167" i="49"/>
  <c r="E167" i="49"/>
  <c r="F166" i="49"/>
  <c r="E166" i="49"/>
  <c r="F165" i="49"/>
  <c r="E165" i="49"/>
  <c r="F164" i="49"/>
  <c r="E164" i="49"/>
  <c r="F163" i="49"/>
  <c r="E163" i="49"/>
  <c r="F162" i="49"/>
  <c r="E162" i="49"/>
  <c r="F161" i="49"/>
  <c r="E161" i="49"/>
  <c r="F160" i="49"/>
  <c r="E160" i="49"/>
  <c r="F159" i="49"/>
  <c r="E159" i="49"/>
  <c r="F158" i="49"/>
  <c r="E158" i="49"/>
  <c r="F157" i="49"/>
  <c r="E157" i="49"/>
  <c r="F156" i="49"/>
  <c r="E156" i="49"/>
  <c r="F155" i="49"/>
  <c r="E155" i="49"/>
  <c r="F154" i="49"/>
  <c r="E154" i="49"/>
  <c r="F153" i="49"/>
  <c r="E153" i="49"/>
  <c r="F152" i="49"/>
  <c r="E152" i="49"/>
  <c r="F151" i="49"/>
  <c r="E151" i="49"/>
  <c r="F150" i="49"/>
  <c r="E150" i="49"/>
  <c r="F149" i="49"/>
  <c r="E149" i="49"/>
  <c r="F148" i="49"/>
  <c r="E148" i="49"/>
  <c r="F147" i="49"/>
  <c r="E147" i="49"/>
  <c r="F146" i="49"/>
  <c r="E146" i="49"/>
  <c r="F145" i="49"/>
  <c r="E145" i="49"/>
  <c r="F144" i="49"/>
  <c r="E144" i="49"/>
  <c r="F143" i="49"/>
  <c r="E143" i="49"/>
  <c r="F142" i="49"/>
  <c r="E142" i="49"/>
  <c r="E141" i="49"/>
  <c r="F140" i="49"/>
  <c r="E140" i="49"/>
  <c r="E139" i="49"/>
  <c r="E138" i="49"/>
  <c r="F137" i="49"/>
  <c r="E137" i="49"/>
  <c r="F136" i="49"/>
  <c r="E136" i="49"/>
  <c r="F135" i="49"/>
  <c r="E135" i="49"/>
  <c r="F134" i="49"/>
  <c r="E134" i="49"/>
  <c r="F133" i="49"/>
  <c r="E133" i="49"/>
  <c r="F132" i="49"/>
  <c r="E132" i="49"/>
  <c r="F131" i="49"/>
  <c r="E131" i="49"/>
  <c r="F130" i="49"/>
  <c r="E130" i="49"/>
  <c r="F129" i="49"/>
  <c r="E129" i="49"/>
  <c r="F128" i="49"/>
  <c r="E128" i="49"/>
  <c r="F127" i="49"/>
  <c r="E127" i="49"/>
  <c r="F126" i="49"/>
  <c r="E126" i="49"/>
  <c r="F125" i="49"/>
  <c r="E125" i="49"/>
  <c r="F124" i="49"/>
  <c r="E124" i="49"/>
  <c r="F123" i="49"/>
  <c r="E123" i="49"/>
  <c r="F122" i="49"/>
  <c r="E122" i="49"/>
  <c r="F121" i="49"/>
  <c r="E121" i="49"/>
  <c r="F120" i="49"/>
  <c r="E120" i="49"/>
  <c r="F119" i="49"/>
  <c r="E119" i="49"/>
  <c r="F118" i="49"/>
  <c r="E118" i="49"/>
  <c r="F117" i="49"/>
  <c r="E117" i="49"/>
  <c r="F116" i="49"/>
  <c r="E116" i="49"/>
  <c r="F115" i="49"/>
  <c r="E115" i="49"/>
  <c r="F114" i="49"/>
  <c r="E114" i="49"/>
  <c r="F113" i="49"/>
  <c r="E113" i="49"/>
  <c r="F112" i="49"/>
  <c r="E112" i="49"/>
  <c r="F111" i="49"/>
  <c r="E111" i="49"/>
  <c r="F110" i="49"/>
  <c r="E110" i="49"/>
  <c r="E109" i="49"/>
  <c r="E108" i="49"/>
  <c r="E107" i="49"/>
  <c r="F106" i="49"/>
  <c r="E106" i="49"/>
  <c r="F105" i="49"/>
  <c r="E105" i="49"/>
  <c r="F104" i="49"/>
  <c r="E104" i="49"/>
  <c r="F103" i="49"/>
  <c r="E103" i="49"/>
  <c r="F102" i="49"/>
  <c r="E102" i="49"/>
  <c r="F101" i="49"/>
  <c r="E101" i="49"/>
  <c r="F100" i="49"/>
  <c r="E100" i="49"/>
  <c r="F99" i="49"/>
  <c r="E99" i="49"/>
  <c r="F98" i="49"/>
  <c r="E98" i="49"/>
  <c r="F97" i="49"/>
  <c r="E97" i="49"/>
  <c r="F96" i="49"/>
  <c r="E96" i="49"/>
  <c r="F95" i="49"/>
  <c r="E95" i="49"/>
  <c r="F94" i="49"/>
  <c r="E94" i="49"/>
  <c r="F93" i="49"/>
  <c r="E93" i="49"/>
  <c r="F92" i="49"/>
  <c r="E92" i="49"/>
  <c r="F91" i="49"/>
  <c r="E91" i="49"/>
  <c r="F90" i="49"/>
  <c r="E90" i="49"/>
  <c r="F89" i="49"/>
  <c r="E89" i="49"/>
  <c r="F88" i="49"/>
  <c r="E88" i="49"/>
  <c r="F87" i="49"/>
  <c r="E87" i="49"/>
  <c r="F86" i="49"/>
  <c r="E86" i="49"/>
  <c r="F85" i="49"/>
  <c r="E85" i="49"/>
  <c r="F84" i="49"/>
  <c r="E84" i="49"/>
  <c r="F83" i="49"/>
  <c r="E83" i="49"/>
  <c r="F82" i="49"/>
  <c r="E82" i="49"/>
  <c r="F81" i="49"/>
  <c r="E81" i="49"/>
  <c r="E80" i="49"/>
  <c r="F79" i="49"/>
  <c r="E79" i="49"/>
  <c r="F78" i="49"/>
  <c r="E78" i="49"/>
  <c r="E77" i="49"/>
  <c r="F76" i="49"/>
  <c r="E76" i="49"/>
  <c r="F75" i="49"/>
  <c r="E75" i="49"/>
  <c r="F74" i="49"/>
  <c r="E74" i="49"/>
  <c r="F73" i="49"/>
  <c r="E73" i="49"/>
  <c r="F72" i="49"/>
  <c r="E72" i="49"/>
  <c r="F71" i="49"/>
  <c r="E71" i="49"/>
  <c r="F70" i="49"/>
  <c r="E70" i="49"/>
  <c r="F69" i="49"/>
  <c r="E69" i="49"/>
  <c r="F68" i="49"/>
  <c r="E68" i="49"/>
  <c r="F67" i="49"/>
  <c r="E67" i="49"/>
  <c r="F66" i="49"/>
  <c r="E66" i="49"/>
  <c r="F65" i="49"/>
  <c r="E65" i="49"/>
  <c r="F64" i="49"/>
  <c r="E64" i="49"/>
  <c r="F63" i="49"/>
  <c r="E63" i="49"/>
  <c r="F62" i="49"/>
  <c r="E62" i="49"/>
  <c r="F61" i="49"/>
  <c r="E61" i="49"/>
  <c r="F60" i="49"/>
  <c r="E60" i="49"/>
  <c r="F59" i="49"/>
  <c r="E59" i="49"/>
  <c r="F58" i="49"/>
  <c r="E58" i="49"/>
  <c r="F57" i="49"/>
  <c r="E57" i="49"/>
  <c r="F56" i="49"/>
  <c r="E56" i="49"/>
  <c r="F55" i="49"/>
  <c r="E55" i="49"/>
  <c r="F54" i="49"/>
  <c r="E54" i="49"/>
  <c r="F53" i="49"/>
  <c r="E53" i="49"/>
  <c r="F52" i="49"/>
  <c r="E52" i="49"/>
  <c r="F51" i="49"/>
  <c r="E51" i="49"/>
  <c r="F50" i="49"/>
  <c r="E50" i="49"/>
  <c r="F49" i="49"/>
  <c r="E49" i="49"/>
  <c r="E48" i="49"/>
  <c r="F47" i="49"/>
  <c r="E47" i="49"/>
  <c r="E46" i="49"/>
  <c r="F45" i="49"/>
  <c r="E45" i="49"/>
  <c r="F44" i="49"/>
  <c r="E44" i="49"/>
  <c r="F43" i="49"/>
  <c r="E43" i="49"/>
  <c r="F42" i="49"/>
  <c r="E42" i="49"/>
  <c r="F41" i="49"/>
  <c r="E41" i="49"/>
  <c r="F40" i="49"/>
  <c r="E40" i="49"/>
  <c r="F39" i="49"/>
  <c r="E39" i="49"/>
  <c r="F38" i="49"/>
  <c r="E38" i="49"/>
  <c r="F37" i="49"/>
  <c r="E37" i="49"/>
  <c r="F36" i="49"/>
  <c r="E36" i="49"/>
  <c r="F35" i="49"/>
  <c r="E35" i="49"/>
  <c r="F34" i="49"/>
  <c r="E34" i="49"/>
  <c r="F33" i="49"/>
  <c r="E33" i="49"/>
  <c r="F32" i="49"/>
  <c r="E32" i="49"/>
  <c r="F31" i="49"/>
  <c r="E31" i="49"/>
  <c r="F30" i="49"/>
  <c r="E30" i="49"/>
  <c r="F29" i="49"/>
  <c r="E29" i="49"/>
  <c r="F28" i="49"/>
  <c r="E28" i="49"/>
  <c r="F27" i="49"/>
  <c r="E27" i="49"/>
  <c r="F26" i="49"/>
  <c r="E26" i="49"/>
  <c r="F25" i="49"/>
  <c r="E25" i="49"/>
  <c r="F24" i="49"/>
  <c r="E24" i="49"/>
  <c r="F23" i="49"/>
  <c r="E23" i="49"/>
  <c r="F22" i="49"/>
  <c r="E22" i="49"/>
  <c r="F21" i="49"/>
  <c r="E21" i="49"/>
  <c r="F20" i="49"/>
  <c r="E20" i="49"/>
  <c r="F19" i="49"/>
  <c r="E19" i="49"/>
  <c r="E18" i="49"/>
  <c r="F17" i="49"/>
  <c r="E17" i="49"/>
  <c r="F16" i="49"/>
  <c r="E16" i="49"/>
  <c r="F15" i="49"/>
  <c r="E15" i="49"/>
  <c r="F14" i="49"/>
  <c r="E14" i="49"/>
  <c r="F13" i="49"/>
  <c r="E13" i="49"/>
  <c r="F12" i="49"/>
  <c r="E12" i="49"/>
  <c r="F11" i="49"/>
  <c r="E11" i="49"/>
  <c r="F10" i="49"/>
  <c r="E10" i="49"/>
  <c r="F9" i="49"/>
  <c r="E9" i="49"/>
  <c r="F8" i="49"/>
  <c r="E8" i="49"/>
  <c r="F7" i="49"/>
  <c r="E7" i="49"/>
  <c r="F6" i="49"/>
  <c r="E6" i="49"/>
  <c r="F5" i="49"/>
  <c r="E5" i="49"/>
  <c r="F4" i="49"/>
  <c r="E4" i="49"/>
  <c r="F263" i="49" l="1"/>
  <c r="J263" i="49"/>
  <c r="F293" i="49"/>
  <c r="J293" i="49"/>
  <c r="F355" i="49"/>
  <c r="J355" i="49"/>
  <c r="F232" i="49"/>
  <c r="J232" i="49"/>
  <c r="F324" i="49"/>
  <c r="J324" i="49"/>
  <c r="F107" i="49"/>
  <c r="J107" i="49"/>
  <c r="F46" i="49"/>
  <c r="J46" i="49"/>
  <c r="F168" i="49"/>
  <c r="J168" i="49"/>
  <c r="F77" i="49"/>
  <c r="J77" i="49"/>
  <c r="F139" i="49"/>
  <c r="J139" i="49"/>
  <c r="F80" i="49"/>
  <c r="J80" i="49"/>
  <c r="F108" i="49"/>
  <c r="J108" i="49"/>
  <c r="F292" i="49"/>
  <c r="J292" i="49"/>
  <c r="F138" i="49"/>
  <c r="J138" i="49"/>
  <c r="F169" i="49"/>
  <c r="J169" i="49"/>
  <c r="F353" i="49"/>
  <c r="J353" i="49"/>
  <c r="F141" i="49"/>
  <c r="J141" i="49"/>
  <c r="F200" i="49"/>
  <c r="J200" i="49"/>
  <c r="F109" i="49"/>
  <c r="J109" i="49"/>
  <c r="F199" i="49"/>
  <c r="J199" i="49"/>
  <c r="F321" i="49"/>
  <c r="J321" i="49"/>
  <c r="F18" i="49"/>
  <c r="J18" i="49"/>
  <c r="F48" i="49"/>
  <c r="J48" i="49"/>
  <c r="F260" i="49"/>
  <c r="J260" i="49"/>
  <c r="J383" i="49"/>
  <c r="J352" i="49"/>
  <c r="J322" i="49"/>
  <c r="J291" i="49"/>
  <c r="J261" i="49"/>
  <c r="J230" i="49"/>
  <c r="J202" i="49"/>
  <c r="J171" i="49"/>
  <c r="J140" i="49"/>
  <c r="J110" i="49"/>
  <c r="J79" i="49"/>
  <c r="J49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  <c r="G63" i="49"/>
  <c r="G64" i="49"/>
  <c r="G65" i="49"/>
  <c r="G66" i="49"/>
  <c r="G67" i="49"/>
  <c r="G68" i="49"/>
  <c r="G69" i="49"/>
  <c r="G70" i="49"/>
  <c r="G71" i="49"/>
  <c r="G72" i="49"/>
  <c r="G73" i="49"/>
  <c r="G74" i="49"/>
  <c r="G75" i="49"/>
  <c r="G76" i="49"/>
  <c r="G77" i="49"/>
  <c r="G78" i="49"/>
  <c r="G79" i="49"/>
  <c r="G80" i="49"/>
  <c r="G81" i="49"/>
  <c r="G82" i="49"/>
  <c r="G83" i="49"/>
  <c r="G84" i="49"/>
  <c r="G85" i="49"/>
  <c r="G86" i="49"/>
  <c r="G87" i="49"/>
  <c r="G88" i="49"/>
  <c r="G89" i="49"/>
  <c r="G90" i="49"/>
  <c r="G91" i="49"/>
  <c r="G92" i="49"/>
  <c r="G93" i="49"/>
  <c r="G94" i="49"/>
  <c r="G95" i="49"/>
  <c r="G96" i="49"/>
  <c r="G97" i="49"/>
  <c r="G98" i="49"/>
  <c r="G99" i="49"/>
  <c r="G100" i="49"/>
  <c r="G101" i="49"/>
  <c r="G102" i="49"/>
  <c r="G103" i="49"/>
  <c r="G104" i="49"/>
  <c r="G105" i="49"/>
  <c r="G106" i="49"/>
  <c r="G107" i="49"/>
  <c r="G108" i="49"/>
  <c r="G109" i="49"/>
  <c r="G110" i="49"/>
  <c r="G111" i="49"/>
  <c r="G112" i="49"/>
  <c r="G113" i="49"/>
  <c r="G114" i="49"/>
  <c r="G115" i="49"/>
  <c r="G116" i="49"/>
  <c r="G117" i="49"/>
  <c r="G118" i="49"/>
  <c r="G119" i="49"/>
  <c r="G120" i="49"/>
  <c r="G121" i="49"/>
  <c r="G122" i="49"/>
  <c r="G123" i="49"/>
  <c r="G124" i="49"/>
  <c r="G125" i="49"/>
  <c r="G126" i="49"/>
  <c r="G127" i="49"/>
  <c r="G128" i="49"/>
  <c r="G129" i="49"/>
  <c r="G130" i="49"/>
  <c r="G131" i="49"/>
  <c r="G132" i="49"/>
  <c r="G133" i="49"/>
  <c r="G134" i="49"/>
  <c r="G135" i="49"/>
  <c r="G136" i="49"/>
  <c r="G137" i="49"/>
  <c r="G138" i="49"/>
  <c r="G139" i="49"/>
  <c r="G140" i="49"/>
  <c r="G141" i="49"/>
  <c r="G142" i="49"/>
  <c r="G143" i="49"/>
  <c r="G144" i="49"/>
  <c r="G145" i="49"/>
  <c r="G146" i="49"/>
  <c r="G147" i="49"/>
  <c r="G148" i="49"/>
  <c r="G149" i="49"/>
  <c r="G150" i="49"/>
  <c r="G151" i="49"/>
  <c r="G152" i="49"/>
  <c r="G153" i="49"/>
  <c r="G154" i="49"/>
  <c r="G155" i="49"/>
  <c r="G156" i="49"/>
  <c r="G157" i="49"/>
  <c r="G158" i="49"/>
  <c r="G159" i="49"/>
  <c r="G160" i="49"/>
  <c r="G161" i="49"/>
  <c r="G162" i="49"/>
  <c r="G163" i="49"/>
  <c r="G164" i="49"/>
  <c r="G165" i="49"/>
  <c r="G166" i="49"/>
  <c r="G167" i="49"/>
  <c r="G168" i="49"/>
  <c r="G169" i="49"/>
  <c r="G170" i="49"/>
  <c r="G171" i="49"/>
  <c r="G172" i="49"/>
  <c r="G173" i="49"/>
  <c r="G174" i="49"/>
  <c r="G175" i="49"/>
  <c r="G176" i="49"/>
  <c r="G177" i="49"/>
  <c r="G178" i="49"/>
  <c r="G179" i="49"/>
  <c r="G180" i="49"/>
  <c r="G181" i="49"/>
  <c r="G182" i="49"/>
  <c r="G183" i="49"/>
  <c r="G184" i="49"/>
  <c r="G185" i="49"/>
  <c r="G186" i="49"/>
  <c r="G187" i="49"/>
  <c r="G188" i="49"/>
  <c r="G189" i="49"/>
  <c r="G190" i="49"/>
  <c r="G191" i="49"/>
  <c r="G192" i="49"/>
  <c r="G193" i="49"/>
  <c r="G194" i="49"/>
  <c r="G195" i="49"/>
  <c r="G196" i="49"/>
  <c r="G197" i="49"/>
  <c r="G198" i="49"/>
  <c r="G199" i="49"/>
  <c r="G200" i="49"/>
  <c r="G201" i="49"/>
  <c r="G202" i="49"/>
  <c r="G203" i="49"/>
  <c r="G204" i="49"/>
  <c r="G205" i="49"/>
  <c r="G206" i="49"/>
  <c r="G207" i="49"/>
  <c r="G208" i="49"/>
  <c r="G209" i="49"/>
  <c r="G210" i="49"/>
  <c r="G211" i="49"/>
  <c r="G212" i="49"/>
  <c r="G213" i="49"/>
  <c r="G214" i="49"/>
  <c r="G215" i="49"/>
  <c r="G216" i="49"/>
  <c r="G217" i="49"/>
  <c r="G218" i="49"/>
  <c r="G219" i="49"/>
  <c r="G220" i="49"/>
  <c r="G221" i="49"/>
  <c r="G222" i="49"/>
  <c r="G223" i="49"/>
  <c r="G224" i="49"/>
  <c r="G225" i="49"/>
  <c r="G226" i="49"/>
  <c r="G227" i="49"/>
  <c r="G228" i="49"/>
  <c r="G229" i="49"/>
  <c r="G230" i="49"/>
  <c r="G231" i="49"/>
  <c r="G232" i="49"/>
  <c r="G233" i="49"/>
  <c r="G234" i="49"/>
  <c r="G235" i="49"/>
  <c r="G236" i="49"/>
  <c r="G237" i="49"/>
  <c r="G238" i="49"/>
  <c r="G239" i="49"/>
  <c r="G240" i="49"/>
  <c r="G241" i="49"/>
  <c r="G242" i="49"/>
  <c r="G243" i="49"/>
  <c r="G244" i="49"/>
  <c r="G245" i="49"/>
  <c r="G246" i="49"/>
  <c r="G247" i="49"/>
  <c r="G248" i="49"/>
  <c r="G249" i="49"/>
  <c r="G250" i="49"/>
  <c r="G251" i="49"/>
  <c r="G252" i="49"/>
  <c r="G253" i="49"/>
  <c r="G254" i="49"/>
  <c r="G255" i="49"/>
  <c r="G256" i="49"/>
  <c r="G257" i="49"/>
  <c r="G258" i="49"/>
  <c r="G259" i="49"/>
  <c r="G260" i="49"/>
  <c r="G261" i="49"/>
  <c r="G262" i="49"/>
  <c r="G263" i="49"/>
  <c r="G264" i="49"/>
  <c r="G265" i="49"/>
  <c r="G266" i="49"/>
  <c r="G267" i="49"/>
  <c r="G268" i="49"/>
  <c r="G269" i="49"/>
  <c r="G270" i="49"/>
  <c r="G271" i="49"/>
  <c r="G272" i="49"/>
  <c r="G273" i="49"/>
  <c r="G274" i="49"/>
  <c r="G275" i="49"/>
  <c r="G276" i="49"/>
  <c r="G277" i="49"/>
  <c r="G278" i="49"/>
  <c r="G279" i="49"/>
  <c r="G280" i="49"/>
  <c r="G281" i="49"/>
  <c r="G282" i="49"/>
  <c r="G283" i="49"/>
  <c r="G284" i="49"/>
  <c r="G285" i="49"/>
  <c r="G286" i="49"/>
  <c r="G287" i="49"/>
  <c r="G288" i="49"/>
  <c r="G289" i="49"/>
  <c r="G290" i="49"/>
  <c r="G291" i="49"/>
  <c r="G292" i="49"/>
  <c r="G293" i="49"/>
  <c r="G294" i="49"/>
  <c r="G295" i="49"/>
  <c r="G296" i="49"/>
  <c r="G297" i="49"/>
  <c r="G298" i="49"/>
  <c r="G299" i="49"/>
  <c r="G300" i="49"/>
  <c r="G301" i="49"/>
  <c r="G302" i="49"/>
  <c r="G303" i="49"/>
  <c r="G304" i="49"/>
  <c r="G305" i="49"/>
  <c r="G306" i="49"/>
  <c r="G307" i="49"/>
  <c r="G308" i="49"/>
  <c r="G309" i="49"/>
  <c r="G310" i="49"/>
  <c r="G311" i="49"/>
  <c r="G312" i="49"/>
  <c r="G313" i="49"/>
  <c r="G314" i="49"/>
  <c r="G315" i="49"/>
  <c r="G316" i="49"/>
  <c r="G317" i="49"/>
  <c r="G318" i="49"/>
  <c r="G319" i="49"/>
  <c r="G320" i="49"/>
  <c r="G321" i="49"/>
  <c r="G322" i="49"/>
  <c r="G323" i="49"/>
  <c r="G324" i="49"/>
  <c r="G325" i="49"/>
  <c r="G326" i="49"/>
  <c r="G327" i="49"/>
  <c r="G328" i="49"/>
  <c r="G329" i="49"/>
  <c r="G330" i="49"/>
  <c r="G331" i="49"/>
  <c r="G332" i="49"/>
  <c r="G333" i="49"/>
  <c r="G334" i="49"/>
  <c r="G335" i="49"/>
  <c r="G336" i="49"/>
  <c r="G337" i="49"/>
  <c r="G338" i="49"/>
  <c r="G339" i="49"/>
  <c r="G340" i="49"/>
  <c r="G341" i="49"/>
  <c r="G342" i="49"/>
  <c r="G343" i="49"/>
  <c r="G344" i="49"/>
  <c r="G345" i="49"/>
  <c r="G346" i="49"/>
  <c r="G347" i="49"/>
  <c r="G348" i="49"/>
  <c r="G349" i="49"/>
  <c r="G350" i="49"/>
  <c r="G351" i="49"/>
  <c r="G352" i="49"/>
  <c r="G353" i="49"/>
  <c r="G354" i="49"/>
  <c r="G355" i="49"/>
  <c r="G356" i="49"/>
  <c r="G357" i="49"/>
  <c r="G358" i="49"/>
  <c r="G359" i="49"/>
  <c r="G360" i="49"/>
  <c r="G361" i="49"/>
  <c r="G362" i="49"/>
  <c r="G363" i="49"/>
  <c r="G364" i="49"/>
  <c r="G365" i="49"/>
  <c r="G366" i="49"/>
  <c r="G367" i="49"/>
  <c r="G368" i="49"/>
  <c r="G369" i="49"/>
  <c r="G370" i="49"/>
  <c r="G371" i="49"/>
  <c r="G372" i="49"/>
  <c r="G373" i="49"/>
  <c r="G374" i="49"/>
  <c r="G375" i="49"/>
  <c r="G376" i="49"/>
  <c r="G377" i="49"/>
  <c r="G378" i="49"/>
  <c r="G379" i="49"/>
  <c r="G380" i="49"/>
  <c r="G381" i="49"/>
  <c r="G382" i="49"/>
  <c r="G383" i="49"/>
  <c r="G384" i="49"/>
  <c r="G385" i="49"/>
  <c r="G386" i="49"/>
  <c r="G387" i="49"/>
  <c r="G388" i="49"/>
  <c r="G389" i="49"/>
  <c r="G390" i="49"/>
  <c r="G391" i="49"/>
  <c r="G392" i="49"/>
  <c r="G393" i="49"/>
  <c r="G394" i="49"/>
  <c r="G395" i="49"/>
  <c r="G396" i="49"/>
  <c r="G397" i="49"/>
  <c r="G398" i="49"/>
  <c r="G399" i="49"/>
  <c r="E399" i="47"/>
  <c r="E400" i="47"/>
  <c r="E401" i="47"/>
  <c r="E402" i="47"/>
  <c r="E403" i="47"/>
  <c r="E404" i="47"/>
  <c r="E405" i="47"/>
  <c r="E406" i="47"/>
  <c r="E407" i="47"/>
  <c r="E408" i="47"/>
  <c r="E409" i="47"/>
  <c r="E410" i="47"/>
  <c r="E411" i="47"/>
  <c r="E412" i="47"/>
  <c r="E413" i="47"/>
  <c r="E414" i="47"/>
  <c r="E415" i="47"/>
  <c r="E416" i="47"/>
  <c r="E417" i="47"/>
  <c r="E418" i="47"/>
  <c r="E419" i="47"/>
  <c r="E420" i="47"/>
  <c r="E421" i="47"/>
  <c r="E422" i="47"/>
  <c r="E423" i="47"/>
  <c r="E424" i="47"/>
  <c r="E425" i="47"/>
  <c r="E426" i="47"/>
  <c r="E427" i="47"/>
  <c r="E428" i="47"/>
  <c r="E429" i="47"/>
  <c r="E430" i="47"/>
  <c r="E431" i="47"/>
  <c r="E432" i="47"/>
  <c r="E433" i="47"/>
  <c r="E434" i="47"/>
  <c r="E435" i="47"/>
  <c r="E436" i="47"/>
  <c r="E437" i="47"/>
  <c r="E438" i="47"/>
  <c r="E439" i="47"/>
  <c r="E440" i="47"/>
  <c r="E441" i="47"/>
  <c r="E442" i="47"/>
  <c r="E443" i="47"/>
  <c r="E444" i="47"/>
  <c r="E445" i="47"/>
  <c r="E446" i="47"/>
  <c r="E447" i="47"/>
  <c r="E448" i="47"/>
  <c r="E449" i="47"/>
  <c r="E450" i="47"/>
  <c r="E451" i="47"/>
  <c r="E452" i="47"/>
  <c r="E453" i="47"/>
  <c r="E454" i="47"/>
  <c r="E455" i="47"/>
  <c r="E456" i="47"/>
  <c r="E457" i="47"/>
  <c r="E458" i="47"/>
  <c r="E459" i="47"/>
  <c r="E460" i="47"/>
  <c r="E461" i="47"/>
  <c r="E462" i="47"/>
  <c r="E463" i="47"/>
  <c r="E464" i="47"/>
  <c r="E465" i="47"/>
  <c r="E466" i="47"/>
  <c r="E467" i="47"/>
  <c r="E468" i="47"/>
  <c r="E469" i="47"/>
  <c r="E470" i="47"/>
  <c r="E471" i="47"/>
  <c r="E472" i="47"/>
  <c r="E473" i="47"/>
  <c r="E474" i="47"/>
  <c r="E475" i="47"/>
  <c r="E476" i="47"/>
  <c r="E477" i="47"/>
  <c r="E478" i="47"/>
  <c r="E479" i="47"/>
  <c r="E480" i="47"/>
  <c r="E481" i="47"/>
  <c r="E482" i="47"/>
  <c r="E483" i="47"/>
  <c r="E484" i="47"/>
  <c r="E485" i="47"/>
  <c r="E486" i="47"/>
  <c r="E487" i="47"/>
  <c r="E488" i="47"/>
  <c r="E489" i="47"/>
  <c r="E490" i="47"/>
  <c r="E491" i="47"/>
  <c r="E492" i="47"/>
  <c r="E493" i="47"/>
  <c r="E494" i="47"/>
  <c r="E495" i="47"/>
  <c r="E496" i="47"/>
  <c r="E497" i="47"/>
  <c r="E498" i="47"/>
  <c r="E499" i="47"/>
  <c r="E500" i="47"/>
  <c r="E501" i="47"/>
  <c r="E502" i="47"/>
  <c r="E503" i="47"/>
  <c r="E504" i="47"/>
  <c r="E505" i="47"/>
  <c r="E506" i="47"/>
  <c r="E507" i="47"/>
  <c r="E508" i="47"/>
  <c r="E509" i="47"/>
  <c r="E510" i="47"/>
  <c r="E511" i="47"/>
  <c r="E512" i="47"/>
  <c r="E513" i="47"/>
  <c r="E514" i="47"/>
  <c r="E515" i="47"/>
  <c r="E516" i="47"/>
  <c r="E517" i="47"/>
  <c r="E518" i="47"/>
  <c r="E519" i="47"/>
  <c r="E520" i="47"/>
  <c r="E521" i="47"/>
  <c r="E522" i="47"/>
  <c r="E523" i="47"/>
  <c r="E524" i="47"/>
  <c r="E525" i="47"/>
  <c r="E526" i="47"/>
  <c r="E527" i="47"/>
  <c r="E528" i="47"/>
  <c r="E529" i="47"/>
  <c r="E530" i="47"/>
  <c r="E531" i="47"/>
  <c r="E532" i="47"/>
  <c r="E533" i="47"/>
  <c r="E534" i="47"/>
  <c r="E535" i="47"/>
  <c r="E536" i="47"/>
  <c r="E537" i="47"/>
  <c r="E538" i="47"/>
  <c r="E539" i="47"/>
  <c r="E540" i="47"/>
  <c r="E541" i="47"/>
  <c r="E542" i="47"/>
  <c r="E543" i="47"/>
  <c r="E544" i="47"/>
  <c r="E545" i="47"/>
  <c r="E546" i="47"/>
  <c r="E547" i="47"/>
  <c r="E548" i="47"/>
  <c r="E549" i="47"/>
  <c r="E550" i="47"/>
  <c r="E551" i="47"/>
  <c r="E552" i="47"/>
  <c r="E553" i="47"/>
  <c r="E554" i="47"/>
  <c r="E555" i="47"/>
  <c r="E556" i="47"/>
  <c r="E557" i="47"/>
  <c r="E558" i="47"/>
  <c r="E559" i="47"/>
  <c r="E560" i="47"/>
  <c r="E561" i="47"/>
  <c r="E562" i="47"/>
  <c r="E563" i="47"/>
  <c r="E564" i="47"/>
  <c r="E565" i="47"/>
  <c r="E566" i="47"/>
  <c r="E567" i="47"/>
  <c r="E568" i="47"/>
  <c r="E569" i="47"/>
  <c r="E570" i="47"/>
  <c r="E571" i="47"/>
  <c r="E572" i="47"/>
  <c r="E573" i="47"/>
  <c r="E574" i="47"/>
  <c r="E575" i="47"/>
  <c r="E576" i="47"/>
  <c r="E577" i="47"/>
  <c r="E578" i="47"/>
  <c r="E579" i="47"/>
  <c r="E580" i="47"/>
  <c r="E581" i="47"/>
  <c r="E582" i="47"/>
  <c r="E583" i="47"/>
  <c r="E584" i="47"/>
  <c r="E585" i="47"/>
  <c r="E586" i="47"/>
  <c r="E587" i="47"/>
  <c r="E588" i="47"/>
  <c r="E589" i="47"/>
  <c r="E590" i="47"/>
  <c r="E591" i="47"/>
  <c r="E592" i="47"/>
  <c r="E593" i="47"/>
  <c r="E594" i="47"/>
  <c r="E595" i="47"/>
  <c r="E596" i="47"/>
  <c r="E597" i="47"/>
  <c r="E598" i="47"/>
  <c r="E599" i="47"/>
  <c r="E600" i="47"/>
  <c r="E601" i="47"/>
  <c r="E602" i="47"/>
  <c r="E603" i="47"/>
  <c r="E604" i="47"/>
  <c r="E605" i="47"/>
  <c r="E606" i="47"/>
  <c r="E607" i="47"/>
  <c r="E608" i="47"/>
  <c r="E609" i="47"/>
  <c r="E610" i="47"/>
  <c r="E611" i="47"/>
  <c r="E612" i="47"/>
  <c r="E613" i="47"/>
  <c r="E614" i="47"/>
  <c r="E615" i="47"/>
  <c r="E616" i="47"/>
  <c r="E617" i="47"/>
  <c r="E618" i="47"/>
  <c r="E619" i="47"/>
  <c r="E620" i="47"/>
  <c r="E621" i="47"/>
  <c r="E622" i="47"/>
  <c r="E623" i="47"/>
  <c r="E624" i="47"/>
  <c r="E625" i="47"/>
  <c r="E626" i="47"/>
  <c r="E627" i="47"/>
  <c r="E628" i="47"/>
  <c r="E629" i="47"/>
  <c r="E630" i="47"/>
  <c r="E631" i="47"/>
  <c r="E632" i="47"/>
  <c r="E633" i="47"/>
  <c r="E634" i="47"/>
  <c r="E635" i="47"/>
  <c r="E636" i="47"/>
  <c r="E637" i="47"/>
  <c r="E638" i="47"/>
  <c r="E639" i="47"/>
  <c r="E640" i="47"/>
  <c r="E641" i="47"/>
  <c r="E642" i="47"/>
  <c r="E643" i="47"/>
  <c r="E644" i="47"/>
  <c r="E645" i="47"/>
  <c r="E646" i="47"/>
  <c r="E647" i="47"/>
  <c r="E648" i="47"/>
  <c r="E649" i="47"/>
  <c r="E650" i="47"/>
  <c r="E651" i="47"/>
  <c r="E652" i="47"/>
  <c r="E653" i="47"/>
  <c r="E654" i="47"/>
  <c r="E655" i="47"/>
  <c r="E656" i="47"/>
  <c r="E657" i="47"/>
  <c r="E658" i="47"/>
  <c r="E659" i="47"/>
  <c r="E660" i="47"/>
  <c r="E661" i="47"/>
  <c r="E662" i="47"/>
  <c r="E663" i="47"/>
  <c r="E664" i="47"/>
  <c r="E665" i="47"/>
  <c r="E666" i="47"/>
  <c r="E667" i="47"/>
  <c r="E668" i="47"/>
  <c r="E669" i="47"/>
  <c r="E670" i="47"/>
  <c r="E671" i="47"/>
  <c r="E672" i="47"/>
  <c r="E673" i="47"/>
  <c r="E674" i="47"/>
  <c r="E675" i="47"/>
  <c r="E676" i="47"/>
  <c r="E677" i="47"/>
  <c r="E678" i="47"/>
  <c r="E679" i="47"/>
  <c r="E680" i="47"/>
  <c r="E681" i="47"/>
  <c r="E682" i="47"/>
  <c r="E683" i="47"/>
  <c r="E684" i="47"/>
  <c r="E685" i="47"/>
  <c r="E686" i="47"/>
  <c r="E687" i="47"/>
  <c r="E688" i="47"/>
  <c r="E689" i="47"/>
  <c r="E690" i="47"/>
  <c r="E691" i="47"/>
  <c r="E692" i="47"/>
  <c r="E693" i="47"/>
  <c r="E694" i="47"/>
  <c r="E695" i="47"/>
  <c r="E696" i="47"/>
  <c r="E697" i="47"/>
  <c r="E698" i="47"/>
  <c r="E699" i="47"/>
  <c r="E700" i="47"/>
  <c r="E701" i="47"/>
  <c r="E702" i="47"/>
  <c r="E703" i="47"/>
  <c r="E704" i="47"/>
  <c r="E705" i="47"/>
  <c r="E706" i="47"/>
  <c r="E707" i="47"/>
  <c r="E708" i="47"/>
  <c r="E709" i="47"/>
  <c r="E710" i="47"/>
  <c r="E711" i="47"/>
  <c r="E712" i="47"/>
  <c r="E713" i="47"/>
  <c r="E714" i="47"/>
  <c r="E715" i="47"/>
  <c r="E716" i="47"/>
  <c r="E717" i="47"/>
  <c r="E718" i="47"/>
  <c r="E719" i="47"/>
  <c r="E720" i="47"/>
  <c r="E721" i="47"/>
  <c r="E722" i="47"/>
  <c r="E723" i="47"/>
  <c r="E724" i="47"/>
  <c r="E725" i="47"/>
  <c r="E726" i="47"/>
  <c r="E727" i="47"/>
  <c r="E728" i="47"/>
  <c r="E729" i="47"/>
  <c r="E730" i="47"/>
  <c r="E731" i="47"/>
  <c r="E732" i="47"/>
  <c r="E733" i="47"/>
  <c r="E734" i="47"/>
  <c r="E735" i="47"/>
  <c r="E736" i="47"/>
  <c r="E737" i="47"/>
  <c r="E738" i="47"/>
  <c r="E739" i="47"/>
  <c r="E740" i="47"/>
  <c r="E741" i="47"/>
  <c r="E742" i="47"/>
  <c r="E743" i="47"/>
  <c r="E744" i="47"/>
  <c r="E745" i="47"/>
  <c r="E746" i="47"/>
  <c r="E747" i="47"/>
  <c r="E748" i="47"/>
  <c r="E749" i="47"/>
  <c r="E750" i="47"/>
  <c r="E751" i="47"/>
  <c r="E752" i="47"/>
  <c r="E753" i="47"/>
  <c r="E754" i="47"/>
  <c r="E755" i="47"/>
  <c r="E756" i="47"/>
  <c r="E757" i="47"/>
  <c r="E758" i="47"/>
  <c r="E759" i="47"/>
  <c r="E760" i="47"/>
  <c r="E761" i="47"/>
  <c r="E762" i="47"/>
  <c r="E763" i="47"/>
  <c r="E764" i="47"/>
  <c r="E765" i="47"/>
  <c r="E766" i="47"/>
  <c r="E767" i="47"/>
  <c r="E768" i="47"/>
  <c r="E769" i="47"/>
  <c r="E770" i="47"/>
  <c r="E771" i="47"/>
  <c r="E772" i="47"/>
  <c r="E773" i="47"/>
  <c r="E774" i="47"/>
  <c r="E775" i="47"/>
  <c r="E776" i="47"/>
  <c r="E777" i="47"/>
  <c r="E778" i="47"/>
  <c r="E779" i="47"/>
  <c r="E780" i="47"/>
  <c r="E781" i="47"/>
  <c r="E782" i="47"/>
  <c r="E783" i="47"/>
  <c r="E784" i="47"/>
  <c r="E785" i="47"/>
  <c r="E786" i="47"/>
  <c r="E787" i="47"/>
  <c r="E788" i="47"/>
  <c r="E789" i="47"/>
  <c r="E790" i="47"/>
  <c r="E791" i="47"/>
  <c r="E792" i="47"/>
  <c r="E793" i="47"/>
  <c r="E794" i="47"/>
  <c r="E795" i="47"/>
  <c r="E796" i="47"/>
  <c r="E797" i="47"/>
  <c r="E798" i="47"/>
  <c r="E799" i="47"/>
  <c r="E800" i="47"/>
  <c r="E801" i="47"/>
  <c r="E802" i="47"/>
  <c r="E803" i="47"/>
  <c r="E804" i="47"/>
  <c r="E805" i="47"/>
  <c r="E806" i="47"/>
  <c r="E807" i="47"/>
  <c r="E808" i="47"/>
  <c r="E809" i="47"/>
  <c r="E810" i="47"/>
  <c r="E811" i="47"/>
  <c r="E812" i="47"/>
  <c r="E813" i="47"/>
  <c r="E814" i="47"/>
  <c r="E815" i="47"/>
  <c r="E816" i="47"/>
  <c r="E817" i="47"/>
  <c r="E818" i="47"/>
  <c r="E819" i="47"/>
  <c r="E820" i="47"/>
  <c r="E821" i="47"/>
  <c r="E822" i="47"/>
  <c r="E823" i="47"/>
  <c r="E824" i="47"/>
  <c r="E825" i="47"/>
  <c r="E826" i="47"/>
  <c r="E827" i="47"/>
  <c r="E828" i="47"/>
  <c r="E829" i="47"/>
  <c r="E830" i="47"/>
  <c r="E831" i="47"/>
  <c r="E832" i="47"/>
  <c r="E833" i="47"/>
  <c r="E834" i="47"/>
  <c r="E835" i="47"/>
  <c r="E836" i="47"/>
  <c r="E837" i="47"/>
  <c r="E838" i="47"/>
  <c r="E839" i="47"/>
  <c r="E840" i="47"/>
  <c r="E841" i="47"/>
  <c r="E842" i="47"/>
  <c r="E843" i="47"/>
  <c r="E844" i="47"/>
  <c r="E845" i="47"/>
  <c r="E846" i="47"/>
  <c r="E847" i="47"/>
  <c r="E848" i="47"/>
  <c r="E849" i="47"/>
  <c r="E850" i="47"/>
  <c r="E851" i="47"/>
  <c r="E852" i="47"/>
  <c r="E853" i="47"/>
  <c r="E854" i="47"/>
  <c r="E855" i="47"/>
  <c r="E856" i="47"/>
  <c r="E857" i="47"/>
  <c r="E858" i="47"/>
  <c r="E859" i="47"/>
  <c r="E860" i="47"/>
  <c r="E861" i="47"/>
  <c r="E862" i="47"/>
  <c r="E863" i="47"/>
  <c r="E864" i="47"/>
  <c r="E865" i="47"/>
  <c r="E866" i="47"/>
  <c r="E867" i="47"/>
  <c r="E868" i="47"/>
  <c r="E869" i="47"/>
  <c r="E870" i="47"/>
  <c r="E871" i="47"/>
  <c r="E872" i="47"/>
  <c r="E873" i="47"/>
  <c r="E874" i="47"/>
  <c r="E875" i="47"/>
  <c r="E876" i="47"/>
  <c r="E877" i="47"/>
  <c r="E878" i="47"/>
  <c r="E879" i="47"/>
  <c r="E880" i="47"/>
  <c r="E881" i="47"/>
  <c r="E882" i="47"/>
  <c r="E883" i="47"/>
  <c r="E884" i="47"/>
  <c r="E885" i="47"/>
  <c r="E886" i="47"/>
  <c r="E887" i="47"/>
  <c r="E888" i="47"/>
  <c r="E889" i="47"/>
  <c r="E890" i="47"/>
  <c r="E891" i="47"/>
  <c r="E892" i="47"/>
  <c r="E893" i="47"/>
  <c r="E894" i="47"/>
  <c r="E895" i="47"/>
  <c r="E896" i="47"/>
  <c r="E897" i="47"/>
  <c r="E898" i="47"/>
  <c r="E899" i="47"/>
  <c r="E900" i="47"/>
  <c r="E901" i="47"/>
  <c r="E902" i="47"/>
  <c r="E903" i="47"/>
  <c r="E904" i="47"/>
  <c r="E905" i="47"/>
  <c r="E906" i="47"/>
  <c r="E907" i="47"/>
  <c r="E908" i="47"/>
  <c r="E909" i="47"/>
  <c r="E910" i="47"/>
  <c r="E911" i="47"/>
  <c r="E912" i="47"/>
  <c r="E913" i="47"/>
  <c r="E914" i="47"/>
  <c r="E915" i="47"/>
  <c r="E916" i="47"/>
  <c r="E917" i="47"/>
  <c r="E918" i="47"/>
  <c r="E919" i="47"/>
  <c r="E920" i="47"/>
  <c r="E921" i="47"/>
  <c r="E922" i="47"/>
  <c r="E923" i="47"/>
  <c r="E924" i="47"/>
  <c r="E925" i="47"/>
  <c r="E926" i="47"/>
  <c r="E927" i="47"/>
  <c r="E928" i="47"/>
  <c r="E929" i="47"/>
  <c r="E930" i="47"/>
  <c r="E931" i="47"/>
  <c r="E932" i="47"/>
  <c r="E933" i="47"/>
  <c r="E934" i="47"/>
  <c r="E935" i="47"/>
  <c r="E936" i="47"/>
  <c r="E937" i="47"/>
  <c r="E938" i="47"/>
  <c r="E939" i="47"/>
  <c r="E940" i="47"/>
  <c r="E941" i="47"/>
  <c r="E942" i="47"/>
  <c r="E943" i="47"/>
  <c r="E944" i="47"/>
  <c r="E945" i="47"/>
  <c r="E946" i="47"/>
  <c r="E947" i="47"/>
  <c r="E948" i="47"/>
  <c r="E949" i="47"/>
  <c r="E950" i="47"/>
  <c r="E951" i="47"/>
  <c r="E952" i="47"/>
  <c r="E953" i="47"/>
  <c r="E954" i="47"/>
  <c r="E955" i="47"/>
  <c r="E956" i="47"/>
  <c r="E957" i="47"/>
  <c r="E958" i="47"/>
  <c r="E959" i="47"/>
  <c r="E960" i="47"/>
  <c r="E961" i="47"/>
  <c r="E962" i="47"/>
  <c r="E963" i="47"/>
  <c r="E964" i="47"/>
  <c r="E965" i="47"/>
  <c r="E966" i="47"/>
  <c r="E967" i="47"/>
  <c r="E968" i="47"/>
  <c r="E969" i="47"/>
  <c r="E970" i="47"/>
  <c r="E971" i="47"/>
  <c r="E972" i="47"/>
  <c r="E973" i="47"/>
  <c r="E974" i="47"/>
  <c r="E975" i="47"/>
  <c r="E976" i="47"/>
  <c r="E977" i="47"/>
  <c r="E978" i="47"/>
  <c r="E979" i="47"/>
  <c r="E980" i="47"/>
  <c r="E981" i="47"/>
  <c r="E982" i="47"/>
  <c r="E983" i="47"/>
  <c r="E984" i="47"/>
  <c r="E985" i="47"/>
  <c r="E986" i="47"/>
  <c r="E987" i="47"/>
  <c r="E988" i="47"/>
  <c r="E989" i="47"/>
  <c r="E990" i="47"/>
  <c r="E991" i="47"/>
  <c r="E992" i="47"/>
  <c r="E993" i="47"/>
  <c r="E994" i="47"/>
  <c r="E995" i="47"/>
  <c r="E996" i="47"/>
  <c r="E997" i="47"/>
  <c r="E998" i="47"/>
  <c r="E999" i="47"/>
  <c r="E1000" i="47"/>
  <c r="E1001" i="47"/>
  <c r="E1002" i="47"/>
  <c r="E1003" i="47"/>
  <c r="E1004" i="47"/>
  <c r="E1005" i="47"/>
  <c r="E1006" i="47"/>
  <c r="E1007" i="47"/>
  <c r="E1008" i="47"/>
  <c r="E1009" i="47"/>
  <c r="E1010" i="47"/>
  <c r="E1011" i="47"/>
  <c r="E1012" i="47"/>
  <c r="E1013" i="47"/>
  <c r="E1014" i="47"/>
  <c r="E1015" i="47"/>
  <c r="E1016" i="47"/>
  <c r="E1017" i="47"/>
  <c r="E1018" i="47"/>
  <c r="E1019" i="47"/>
  <c r="E1020" i="47"/>
  <c r="E1021" i="47"/>
  <c r="E1022" i="47"/>
  <c r="E1023" i="47"/>
  <c r="E1024" i="47"/>
  <c r="E1025" i="47"/>
  <c r="E1026" i="47"/>
  <c r="E1027" i="47"/>
  <c r="E1028" i="47"/>
  <c r="E1029" i="47"/>
  <c r="E1030" i="47"/>
  <c r="E1031" i="47"/>
  <c r="E1032" i="47"/>
  <c r="E1033" i="47"/>
  <c r="E1034" i="47"/>
  <c r="E1035" i="47"/>
  <c r="E1036" i="47"/>
  <c r="E1037" i="47"/>
  <c r="E1038" i="47"/>
  <c r="E1039" i="47"/>
  <c r="E1040" i="47"/>
  <c r="E1041" i="47"/>
  <c r="E1042" i="47"/>
  <c r="E1043" i="47"/>
  <c r="E1044" i="47"/>
  <c r="E1045" i="47"/>
  <c r="E1046" i="47"/>
  <c r="E1047" i="47"/>
  <c r="E1048" i="47"/>
  <c r="E1049" i="47"/>
  <c r="E1050" i="47"/>
  <c r="E1051" i="47"/>
  <c r="E1052" i="47"/>
  <c r="E1053" i="47"/>
  <c r="E1054" i="47"/>
  <c r="E1055" i="47"/>
  <c r="E1056" i="47"/>
  <c r="E1057" i="47"/>
  <c r="E1058" i="47"/>
  <c r="E1059" i="47"/>
  <c r="E1060" i="47"/>
  <c r="E1061" i="47"/>
  <c r="E1062" i="47"/>
  <c r="E1063" i="47"/>
  <c r="E1064" i="47"/>
  <c r="E1065" i="47"/>
  <c r="E1066" i="47"/>
  <c r="E1067" i="47"/>
  <c r="E1068" i="47"/>
  <c r="E1069" i="47"/>
  <c r="E1070" i="47"/>
  <c r="E1071" i="47"/>
  <c r="E1072" i="47"/>
  <c r="E1073" i="47"/>
  <c r="E1074" i="47"/>
  <c r="E1075" i="47"/>
  <c r="E1076" i="47"/>
  <c r="E1077" i="47"/>
  <c r="E1078" i="47"/>
  <c r="E1079" i="47"/>
  <c r="E1080" i="47"/>
  <c r="E1081" i="47"/>
  <c r="E1082" i="47"/>
  <c r="E1083" i="47"/>
  <c r="E1084" i="47"/>
  <c r="E1085" i="47"/>
  <c r="E1086" i="47"/>
  <c r="E1087" i="47"/>
  <c r="E1088" i="47"/>
  <c r="E1089" i="47"/>
  <c r="E1090" i="47"/>
  <c r="E1091" i="47"/>
  <c r="E1092" i="47"/>
  <c r="E1093" i="47"/>
  <c r="E1094" i="47"/>
  <c r="E1095" i="47"/>
  <c r="E1096" i="47"/>
  <c r="E1097" i="47"/>
  <c r="E1098" i="47"/>
  <c r="E1099" i="47"/>
  <c r="E1100" i="47"/>
  <c r="E1101" i="47"/>
  <c r="E1102" i="47"/>
  <c r="E1103" i="47"/>
  <c r="E1104" i="47"/>
  <c r="E1105" i="47"/>
  <c r="E1106" i="47"/>
  <c r="E1107" i="47"/>
  <c r="E1108" i="47"/>
  <c r="E1109" i="47"/>
  <c r="E1110" i="47"/>
  <c r="E1111" i="47"/>
  <c r="E1112" i="47"/>
  <c r="E1113" i="47"/>
  <c r="E1114" i="47"/>
  <c r="E1115" i="47"/>
  <c r="E1116" i="47"/>
  <c r="E1117" i="47"/>
  <c r="E1118" i="47"/>
  <c r="E1119" i="47"/>
  <c r="E1120" i="47"/>
  <c r="E1121" i="47"/>
  <c r="E1122" i="47"/>
  <c r="E1123" i="47"/>
  <c r="E1124" i="47"/>
  <c r="E1125" i="47"/>
  <c r="E1126" i="47"/>
  <c r="E1127" i="47"/>
  <c r="E1128" i="47"/>
  <c r="E1129" i="47"/>
  <c r="E1130" i="47"/>
  <c r="E1131" i="47"/>
  <c r="E1132" i="47"/>
  <c r="E1133" i="47"/>
  <c r="E1134" i="47"/>
  <c r="E1135" i="47"/>
  <c r="E1136" i="47"/>
  <c r="E1137" i="47"/>
  <c r="E1138" i="47"/>
  <c r="E1139" i="47"/>
  <c r="E1140" i="47"/>
  <c r="E1141" i="47"/>
  <c r="E1142" i="47"/>
  <c r="E1143" i="47"/>
  <c r="E1144" i="47"/>
  <c r="E1145" i="47"/>
  <c r="E1146" i="47"/>
  <c r="E1147" i="47"/>
  <c r="E1148" i="47"/>
  <c r="E1149" i="47"/>
  <c r="E1150" i="47"/>
  <c r="E1151" i="47"/>
  <c r="E1152" i="47"/>
  <c r="E1153" i="47"/>
  <c r="E1154" i="47"/>
  <c r="E1155" i="47"/>
  <c r="E1156" i="47"/>
  <c r="E1157" i="47"/>
  <c r="E1158" i="47"/>
  <c r="E1159" i="47"/>
  <c r="E1160" i="47"/>
  <c r="E1161" i="47"/>
  <c r="E1162" i="47"/>
  <c r="E1163" i="47"/>
  <c r="E1164" i="47"/>
  <c r="E1165" i="47"/>
  <c r="E1166" i="47"/>
  <c r="E1167" i="47"/>
  <c r="E1168" i="47"/>
  <c r="E1169" i="47"/>
  <c r="E1170" i="47"/>
  <c r="E1171" i="47"/>
  <c r="E1172" i="47"/>
  <c r="E1173" i="47"/>
  <c r="E1174" i="47"/>
  <c r="E1175" i="47"/>
  <c r="E1176" i="47"/>
  <c r="E1177" i="47"/>
  <c r="E1178" i="47"/>
  <c r="E1179" i="47"/>
  <c r="E1180" i="47"/>
  <c r="E1181" i="47"/>
  <c r="E1182" i="47"/>
  <c r="E1183" i="47"/>
  <c r="E1184" i="47"/>
  <c r="E1185" i="47"/>
  <c r="E1186" i="47"/>
  <c r="E1187" i="47"/>
  <c r="E1188" i="47"/>
  <c r="E1189" i="47"/>
  <c r="E1190" i="47"/>
  <c r="E1191" i="47"/>
  <c r="E1192" i="47"/>
  <c r="E1193" i="47"/>
  <c r="E1194" i="47"/>
  <c r="E1195" i="47"/>
  <c r="E1196" i="47"/>
  <c r="E1197" i="47"/>
  <c r="E1198" i="47"/>
  <c r="E1199" i="47"/>
  <c r="E1200" i="47"/>
  <c r="E1201" i="47"/>
  <c r="E1202" i="47"/>
  <c r="E1203" i="47"/>
  <c r="E1204" i="47"/>
  <c r="E1205" i="47"/>
  <c r="E1206" i="47"/>
  <c r="E1207" i="47"/>
  <c r="E1208" i="47"/>
  <c r="E1209" i="47"/>
  <c r="G4" i="49"/>
  <c r="D156" i="48" l="1"/>
  <c r="E156" i="48"/>
  <c r="D157" i="48" l="1"/>
  <c r="D158" i="48"/>
  <c r="D159" i="48"/>
  <c r="D160" i="48"/>
  <c r="D161" i="48"/>
  <c r="D162" i="48"/>
  <c r="D163" i="48"/>
  <c r="D164" i="48"/>
  <c r="D165" i="48"/>
  <c r="D166" i="48"/>
  <c r="D167" i="48"/>
  <c r="D168" i="48"/>
  <c r="D169" i="48"/>
  <c r="D170" i="48"/>
  <c r="D171" i="48"/>
  <c r="D172" i="48"/>
  <c r="D173" i="48"/>
  <c r="D174" i="48"/>
  <c r="D175" i="48"/>
  <c r="D176" i="48"/>
  <c r="D177" i="48"/>
  <c r="D178" i="48"/>
  <c r="D179" i="48"/>
  <c r="D180" i="48"/>
  <c r="D181" i="48"/>
  <c r="D182" i="48"/>
  <c r="D183" i="48"/>
  <c r="D184" i="48"/>
  <c r="D185" i="48"/>
  <c r="D186" i="48"/>
  <c r="E157" i="48"/>
  <c r="E158" i="48"/>
  <c r="E159" i="48"/>
  <c r="E160" i="48"/>
  <c r="E161" i="48"/>
  <c r="E162" i="48"/>
  <c r="E163" i="48"/>
  <c r="E164" i="48"/>
  <c r="E165" i="48"/>
  <c r="E166" i="48"/>
  <c r="E167" i="48"/>
  <c r="E168" i="48"/>
  <c r="E169" i="48"/>
  <c r="E170" i="48"/>
  <c r="E171" i="48"/>
  <c r="E172" i="48"/>
  <c r="E173" i="48"/>
  <c r="E174" i="48"/>
  <c r="E175" i="48"/>
  <c r="E176" i="48"/>
  <c r="E177" i="48"/>
  <c r="E178" i="48"/>
  <c r="E179" i="48"/>
  <c r="E180" i="48"/>
  <c r="E181" i="48"/>
  <c r="E182" i="48"/>
  <c r="E183" i="48"/>
  <c r="E184" i="48"/>
  <c r="E185" i="48"/>
  <c r="E186" i="48"/>
  <c r="D189" i="48" l="1"/>
  <c r="E189" i="48" s="1"/>
  <c r="G76" i="43" l="1"/>
  <c r="D76" i="43"/>
  <c r="C76" i="43"/>
  <c r="J75" i="43"/>
  <c r="H75" i="43"/>
  <c r="F75" i="43"/>
  <c r="J74" i="43"/>
  <c r="H74" i="43"/>
  <c r="F74" i="43"/>
  <c r="J73" i="43"/>
  <c r="H73" i="43"/>
  <c r="J72" i="43"/>
  <c r="H72" i="43"/>
  <c r="F72" i="43"/>
  <c r="J71" i="43"/>
  <c r="H71" i="43"/>
  <c r="F71" i="43"/>
  <c r="H70" i="43"/>
  <c r="F76" i="43" l="1"/>
  <c r="H76" i="43"/>
  <c r="J70" i="43"/>
  <c r="K76" i="43"/>
  <c r="J76" i="43" s="1"/>
  <c r="K25" i="6" l="1"/>
  <c r="J25" i="6"/>
  <c r="I25" i="6"/>
  <c r="H25" i="6"/>
  <c r="G25" i="6"/>
  <c r="F25" i="6"/>
  <c r="K24" i="6"/>
  <c r="J24" i="6"/>
  <c r="I24" i="6"/>
  <c r="H24" i="6"/>
  <c r="F24" i="6"/>
  <c r="K21" i="6"/>
  <c r="I21" i="6"/>
  <c r="G21" i="6"/>
  <c r="K22" i="6"/>
  <c r="J22" i="6"/>
  <c r="I22" i="6"/>
  <c r="H22" i="6"/>
  <c r="G22" i="6"/>
  <c r="F22" i="6"/>
  <c r="I5" i="49" l="1"/>
  <c r="I6" i="49"/>
  <c r="I7" i="49"/>
  <c r="I8" i="49"/>
  <c r="I9" i="49"/>
  <c r="I10" i="49"/>
  <c r="I11" i="49"/>
  <c r="I12" i="49"/>
  <c r="I13" i="49"/>
  <c r="I14" i="49"/>
  <c r="I15" i="49"/>
  <c r="I16" i="49"/>
  <c r="I17" i="49"/>
  <c r="I18" i="49"/>
  <c r="I19" i="49"/>
  <c r="I20" i="49"/>
  <c r="I21" i="49"/>
  <c r="I22" i="49"/>
  <c r="I23" i="49"/>
  <c r="I24" i="49"/>
  <c r="I25" i="49"/>
  <c r="I26" i="49"/>
  <c r="I27" i="49"/>
  <c r="I28" i="49"/>
  <c r="I29" i="49"/>
  <c r="I30" i="49"/>
  <c r="I31" i="49"/>
  <c r="I32" i="49"/>
  <c r="I33" i="49"/>
  <c r="I34" i="49"/>
  <c r="I35" i="49"/>
  <c r="I36" i="49"/>
  <c r="I37" i="49"/>
  <c r="I38" i="49"/>
  <c r="I39" i="49"/>
  <c r="I40" i="49"/>
  <c r="I41" i="49"/>
  <c r="I42" i="49"/>
  <c r="I43" i="49"/>
  <c r="I44" i="49"/>
  <c r="I45" i="49"/>
  <c r="I46" i="49"/>
  <c r="I47" i="49"/>
  <c r="I48" i="49"/>
  <c r="I49" i="49"/>
  <c r="I50" i="49"/>
  <c r="I51" i="49"/>
  <c r="I52" i="49"/>
  <c r="I53" i="49"/>
  <c r="I54" i="49"/>
  <c r="I55" i="49"/>
  <c r="I56" i="49"/>
  <c r="I57" i="49"/>
  <c r="I58" i="49"/>
  <c r="I59" i="49"/>
  <c r="I60" i="49"/>
  <c r="I61" i="49"/>
  <c r="I62" i="49"/>
  <c r="I63" i="49"/>
  <c r="I64" i="49"/>
  <c r="I65" i="49"/>
  <c r="I66" i="49"/>
  <c r="I67" i="49"/>
  <c r="I68" i="49"/>
  <c r="I69" i="49"/>
  <c r="I70" i="49"/>
  <c r="I71" i="49"/>
  <c r="I72" i="49"/>
  <c r="I73" i="49"/>
  <c r="I74" i="49"/>
  <c r="I75" i="49"/>
  <c r="I76" i="49"/>
  <c r="I77" i="49"/>
  <c r="I78" i="49"/>
  <c r="I79" i="49"/>
  <c r="I80" i="49"/>
  <c r="I81" i="49"/>
  <c r="I82" i="49"/>
  <c r="I83" i="49"/>
  <c r="I84" i="49"/>
  <c r="I85" i="49"/>
  <c r="I86" i="49"/>
  <c r="I87" i="49"/>
  <c r="I88" i="49"/>
  <c r="I89" i="49"/>
  <c r="I90" i="49"/>
  <c r="I91" i="49"/>
  <c r="I92" i="49"/>
  <c r="I93" i="49"/>
  <c r="I94" i="49"/>
  <c r="I95" i="49"/>
  <c r="I96" i="49"/>
  <c r="I97" i="49"/>
  <c r="I98" i="49"/>
  <c r="I99" i="49"/>
  <c r="I100" i="49"/>
  <c r="I101" i="49"/>
  <c r="I102" i="49"/>
  <c r="I103" i="49"/>
  <c r="I104" i="49"/>
  <c r="I105" i="49"/>
  <c r="I106" i="49"/>
  <c r="I107" i="49"/>
  <c r="I108" i="49"/>
  <c r="I109" i="49"/>
  <c r="I110" i="49"/>
  <c r="I111" i="49"/>
  <c r="I112" i="49"/>
  <c r="I113" i="49"/>
  <c r="I114" i="49"/>
  <c r="I115" i="49"/>
  <c r="I116" i="49"/>
  <c r="I117" i="49"/>
  <c r="I118" i="49"/>
  <c r="I119" i="49"/>
  <c r="I120" i="49"/>
  <c r="I121" i="49"/>
  <c r="I122" i="49"/>
  <c r="I123" i="49"/>
  <c r="I124" i="49"/>
  <c r="I125" i="49"/>
  <c r="I126" i="49"/>
  <c r="I127" i="49"/>
  <c r="I128" i="49"/>
  <c r="I129" i="49"/>
  <c r="I130" i="49"/>
  <c r="I131" i="49"/>
  <c r="I132" i="49"/>
  <c r="I133" i="49"/>
  <c r="I134" i="49"/>
  <c r="I135" i="49"/>
  <c r="I136" i="49"/>
  <c r="I137" i="49"/>
  <c r="I138" i="49"/>
  <c r="I139" i="49"/>
  <c r="I140" i="49"/>
  <c r="I141" i="49"/>
  <c r="I142" i="49"/>
  <c r="I143" i="49"/>
  <c r="I144" i="49"/>
  <c r="I145" i="49"/>
  <c r="I146" i="49"/>
  <c r="I147" i="49"/>
  <c r="I148" i="49"/>
  <c r="I149" i="49"/>
  <c r="I150" i="49"/>
  <c r="I151" i="49"/>
  <c r="I152" i="49"/>
  <c r="I153" i="49"/>
  <c r="I154" i="49"/>
  <c r="I155" i="49"/>
  <c r="I156" i="49"/>
  <c r="I157" i="49"/>
  <c r="I158" i="49"/>
  <c r="I159" i="49"/>
  <c r="I160" i="49"/>
  <c r="I161" i="49"/>
  <c r="I162" i="49"/>
  <c r="I163" i="49"/>
  <c r="I164" i="49"/>
  <c r="I165" i="49"/>
  <c r="I166" i="49"/>
  <c r="I167" i="49"/>
  <c r="I168" i="49"/>
  <c r="I169" i="49"/>
  <c r="I170" i="49"/>
  <c r="I171" i="49"/>
  <c r="I172" i="49"/>
  <c r="I173" i="49"/>
  <c r="I174" i="49"/>
  <c r="I175" i="49"/>
  <c r="I176" i="49"/>
  <c r="I177" i="49"/>
  <c r="I178" i="49"/>
  <c r="I179" i="49"/>
  <c r="I180" i="49"/>
  <c r="I181" i="49"/>
  <c r="I182" i="49"/>
  <c r="I183" i="49"/>
  <c r="I184" i="49"/>
  <c r="I185" i="49"/>
  <c r="I186" i="49"/>
  <c r="I187" i="49"/>
  <c r="I188" i="49"/>
  <c r="I189" i="49"/>
  <c r="I190" i="49"/>
  <c r="I191" i="49"/>
  <c r="I192" i="49"/>
  <c r="I193" i="49"/>
  <c r="I194" i="49"/>
  <c r="I195" i="49"/>
  <c r="I196" i="49"/>
  <c r="I197" i="49"/>
  <c r="I198" i="49"/>
  <c r="I199" i="49"/>
  <c r="I200" i="49"/>
  <c r="I201" i="49"/>
  <c r="I202" i="49"/>
  <c r="I203" i="49"/>
  <c r="I204" i="49"/>
  <c r="I205" i="49"/>
  <c r="I206" i="49"/>
  <c r="I207" i="49"/>
  <c r="I208" i="49"/>
  <c r="I209" i="49"/>
  <c r="I210" i="49"/>
  <c r="I211" i="49"/>
  <c r="I212" i="49"/>
  <c r="I213" i="49"/>
  <c r="I214" i="49"/>
  <c r="I215" i="49"/>
  <c r="I216" i="49"/>
  <c r="I217" i="49"/>
  <c r="I218" i="49"/>
  <c r="I219" i="49"/>
  <c r="I220" i="49"/>
  <c r="I221" i="49"/>
  <c r="I222" i="49"/>
  <c r="I223" i="49"/>
  <c r="I224" i="49"/>
  <c r="I225" i="49"/>
  <c r="I226" i="49"/>
  <c r="I227" i="49"/>
  <c r="I228" i="49"/>
  <c r="I229" i="49"/>
  <c r="I230" i="49"/>
  <c r="I231" i="49"/>
  <c r="I232" i="49"/>
  <c r="I233" i="49"/>
  <c r="I234" i="49"/>
  <c r="I235" i="49"/>
  <c r="I236" i="49"/>
  <c r="I237" i="49"/>
  <c r="I238" i="49"/>
  <c r="I239" i="49"/>
  <c r="I240" i="49"/>
  <c r="I241" i="49"/>
  <c r="I242" i="49"/>
  <c r="I243" i="49"/>
  <c r="I244" i="49"/>
  <c r="I245" i="49"/>
  <c r="I246" i="49"/>
  <c r="I247" i="49"/>
  <c r="I248" i="49"/>
  <c r="I249" i="49"/>
  <c r="I250" i="49"/>
  <c r="I251" i="49"/>
  <c r="I252" i="49"/>
  <c r="I253" i="49"/>
  <c r="I254" i="49"/>
  <c r="I255" i="49"/>
  <c r="I256" i="49"/>
  <c r="I257" i="49"/>
  <c r="I258" i="49"/>
  <c r="I259" i="49"/>
  <c r="I260" i="49"/>
  <c r="I261" i="49"/>
  <c r="I262" i="49"/>
  <c r="I263" i="49"/>
  <c r="I264" i="49"/>
  <c r="I265" i="49"/>
  <c r="I266" i="49"/>
  <c r="I267" i="49"/>
  <c r="I268" i="49"/>
  <c r="I269" i="49"/>
  <c r="I270" i="49"/>
  <c r="I271" i="49"/>
  <c r="I272" i="49"/>
  <c r="I273" i="49"/>
  <c r="I274" i="49"/>
  <c r="I275" i="49"/>
  <c r="I276" i="49"/>
  <c r="I277" i="49"/>
  <c r="I278" i="49"/>
  <c r="I279" i="49"/>
  <c r="I280" i="49"/>
  <c r="I281" i="49"/>
  <c r="I282" i="49"/>
  <c r="I283" i="49"/>
  <c r="I284" i="49"/>
  <c r="I285" i="49"/>
  <c r="I286" i="49"/>
  <c r="I287" i="49"/>
  <c r="I288" i="49"/>
  <c r="I289" i="49"/>
  <c r="I290" i="49"/>
  <c r="I291" i="49"/>
  <c r="I292" i="49"/>
  <c r="I293" i="49"/>
  <c r="I294" i="49"/>
  <c r="I295" i="49"/>
  <c r="I296" i="49"/>
  <c r="I297" i="49"/>
  <c r="I298" i="49"/>
  <c r="I299" i="49"/>
  <c r="I300" i="49"/>
  <c r="I301" i="49"/>
  <c r="I302" i="49"/>
  <c r="I303" i="49"/>
  <c r="I304" i="49"/>
  <c r="I305" i="49"/>
  <c r="I306" i="49"/>
  <c r="I307" i="49"/>
  <c r="I308" i="49"/>
  <c r="I309" i="49"/>
  <c r="I310" i="49"/>
  <c r="I311" i="49"/>
  <c r="I312" i="49"/>
  <c r="I313" i="49"/>
  <c r="I314" i="49"/>
  <c r="I315" i="49"/>
  <c r="I316" i="49"/>
  <c r="I317" i="49"/>
  <c r="I318" i="49"/>
  <c r="I319" i="49"/>
  <c r="I320" i="49"/>
  <c r="I321" i="49"/>
  <c r="I322" i="49"/>
  <c r="I323" i="49"/>
  <c r="I324" i="49"/>
  <c r="I325" i="49"/>
  <c r="I326" i="49"/>
  <c r="I327" i="49"/>
  <c r="I328" i="49"/>
  <c r="I329" i="49"/>
  <c r="I330" i="49"/>
  <c r="I331" i="49"/>
  <c r="I332" i="49"/>
  <c r="I333" i="49"/>
  <c r="I334" i="49"/>
  <c r="I335" i="49"/>
  <c r="I336" i="49"/>
  <c r="I337" i="49"/>
  <c r="I338" i="49"/>
  <c r="I339" i="49"/>
  <c r="I340" i="49"/>
  <c r="I341" i="49"/>
  <c r="I342" i="49"/>
  <c r="I343" i="49"/>
  <c r="I344" i="49"/>
  <c r="I345" i="49"/>
  <c r="I346" i="49"/>
  <c r="I347" i="49"/>
  <c r="I348" i="49"/>
  <c r="I349" i="49"/>
  <c r="I350" i="49"/>
  <c r="I351" i="49"/>
  <c r="I352" i="49"/>
  <c r="I353" i="49"/>
  <c r="I354" i="49"/>
  <c r="I355" i="49"/>
  <c r="I356" i="49"/>
  <c r="I357" i="49"/>
  <c r="I358" i="49"/>
  <c r="I359" i="49"/>
  <c r="I360" i="49"/>
  <c r="I361" i="49"/>
  <c r="I362" i="49"/>
  <c r="I363" i="49"/>
  <c r="I364" i="49"/>
  <c r="I365" i="49"/>
  <c r="I366" i="49"/>
  <c r="I367" i="49"/>
  <c r="I368" i="49"/>
  <c r="I369" i="49"/>
  <c r="I370" i="49"/>
  <c r="I371" i="49"/>
  <c r="I372" i="49"/>
  <c r="I373" i="49"/>
  <c r="I374" i="49"/>
  <c r="I375" i="49"/>
  <c r="I376" i="49"/>
  <c r="I377" i="49"/>
  <c r="I378" i="49"/>
  <c r="I379" i="49"/>
  <c r="I380" i="49"/>
  <c r="I381" i="49"/>
  <c r="I382" i="49"/>
  <c r="I383" i="49"/>
  <c r="I384" i="49"/>
  <c r="I385" i="49"/>
  <c r="I386" i="49"/>
  <c r="I387" i="49"/>
  <c r="I388" i="49"/>
  <c r="I389" i="49"/>
  <c r="I390" i="49"/>
  <c r="I391" i="49"/>
  <c r="I392" i="49"/>
  <c r="I393" i="49"/>
  <c r="I394" i="49"/>
  <c r="I395" i="49"/>
  <c r="I396" i="49"/>
  <c r="I397" i="49"/>
  <c r="I398" i="49"/>
  <c r="I399" i="49"/>
  <c r="I4" i="49"/>
  <c r="C10" i="16" l="1"/>
  <c r="V176" i="44" l="1"/>
  <c r="N141" i="44"/>
  <c r="N152" i="44" l="1"/>
  <c r="O79" i="48" s="1"/>
  <c r="N153" i="44"/>
  <c r="O80" i="48" s="1"/>
  <c r="N142" i="44"/>
  <c r="N143" i="44"/>
  <c r="O70" i="48" s="1"/>
  <c r="N144" i="44"/>
  <c r="O71" i="48" s="1"/>
  <c r="N145" i="44"/>
  <c r="N146" i="44"/>
  <c r="O74" i="48" s="1"/>
  <c r="N147" i="44"/>
  <c r="O75" i="48" s="1"/>
  <c r="N148" i="44"/>
  <c r="O76" i="48" s="1"/>
  <c r="N149" i="44"/>
  <c r="O77" i="48" s="1"/>
  <c r="N150" i="44"/>
  <c r="O81" i="48" s="1"/>
  <c r="N151" i="44"/>
  <c r="O78" i="48" s="1"/>
  <c r="N140" i="44"/>
  <c r="M141" i="44"/>
  <c r="O68" i="48" l="1"/>
  <c r="O125" i="48"/>
  <c r="O98" i="48"/>
  <c r="O131" i="48"/>
  <c r="O104" i="48"/>
  <c r="O135" i="48"/>
  <c r="O108" i="48"/>
  <c r="O132" i="48"/>
  <c r="O105" i="48"/>
  <c r="O127" i="48"/>
  <c r="O100" i="48"/>
  <c r="M142" i="44"/>
  <c r="M143" i="44"/>
  <c r="N70" i="48" s="1"/>
  <c r="M144" i="44"/>
  <c r="N71" i="48" s="1"/>
  <c r="M145" i="44"/>
  <c r="M146" i="44"/>
  <c r="N74" i="48" s="1"/>
  <c r="M147" i="44"/>
  <c r="N75" i="48" s="1"/>
  <c r="M148" i="44"/>
  <c r="N76" i="48" s="1"/>
  <c r="M149" i="44"/>
  <c r="N77" i="48" s="1"/>
  <c r="M150" i="44"/>
  <c r="N81" i="48" s="1"/>
  <c r="M151" i="44"/>
  <c r="N78" i="48" s="1"/>
  <c r="M152" i="44"/>
  <c r="N79" i="48" s="1"/>
  <c r="M153" i="44"/>
  <c r="N80" i="48" s="1"/>
  <c r="O134" i="48"/>
  <c r="O107" i="48"/>
  <c r="O72" i="48"/>
  <c r="N165" i="44"/>
  <c r="O137" i="48"/>
  <c r="O110" i="48"/>
  <c r="O138" i="48"/>
  <c r="O111" i="48"/>
  <c r="O69" i="48"/>
  <c r="N156" i="44"/>
  <c r="N164" i="44"/>
  <c r="O133" i="48"/>
  <c r="O106" i="48"/>
  <c r="O128" i="48"/>
  <c r="O101" i="48"/>
  <c r="O136" i="48"/>
  <c r="O109" i="48"/>
  <c r="M140" i="44"/>
  <c r="N157" i="44"/>
  <c r="L141" i="44"/>
  <c r="N154" i="44"/>
  <c r="O82" i="48" s="1"/>
  <c r="N125" i="48" l="1"/>
  <c r="N98" i="48"/>
  <c r="N68" i="48"/>
  <c r="O139" i="48"/>
  <c r="O112" i="48"/>
  <c r="O129" i="48"/>
  <c r="O146" i="48" s="1"/>
  <c r="O102" i="48"/>
  <c r="O119" i="48" s="1"/>
  <c r="N101" i="48"/>
  <c r="N128" i="48"/>
  <c r="N108" i="48"/>
  <c r="N135" i="48"/>
  <c r="N105" i="48"/>
  <c r="N132" i="48"/>
  <c r="N127" i="48"/>
  <c r="N100" i="48"/>
  <c r="O89" i="48"/>
  <c r="L146" i="44"/>
  <c r="M74" i="48" s="1"/>
  <c r="L149" i="44"/>
  <c r="M77" i="48" s="1"/>
  <c r="L150" i="44"/>
  <c r="M81" i="48" s="1"/>
  <c r="L148" i="44"/>
  <c r="M76" i="48" s="1"/>
  <c r="L151" i="44"/>
  <c r="M78" i="48" s="1"/>
  <c r="L142" i="44"/>
  <c r="L143" i="44"/>
  <c r="M70" i="48" s="1"/>
  <c r="L144" i="44"/>
  <c r="M71" i="48" s="1"/>
  <c r="L145" i="44"/>
  <c r="L147" i="44"/>
  <c r="M75" i="48" s="1"/>
  <c r="L152" i="44"/>
  <c r="M79" i="48" s="1"/>
  <c r="L153" i="44"/>
  <c r="M80" i="48" s="1"/>
  <c r="N111" i="48"/>
  <c r="N138" i="48"/>
  <c r="N131" i="48"/>
  <c r="N104" i="48"/>
  <c r="N69" i="48"/>
  <c r="M164" i="44"/>
  <c r="N109" i="48"/>
  <c r="N136" i="48"/>
  <c r="N106" i="48"/>
  <c r="N133" i="48"/>
  <c r="N158" i="44"/>
  <c r="N159" i="44" s="1"/>
  <c r="O88" i="48"/>
  <c r="O91" i="48" s="1"/>
  <c r="O126" i="48"/>
  <c r="O99" i="48"/>
  <c r="N166" i="44"/>
  <c r="N167" i="44" s="1"/>
  <c r="N110" i="48"/>
  <c r="N137" i="48"/>
  <c r="N107" i="48"/>
  <c r="N134" i="48"/>
  <c r="N72" i="48"/>
  <c r="M165" i="44"/>
  <c r="L140" i="44"/>
  <c r="M157" i="44"/>
  <c r="M156" i="44"/>
  <c r="M154" i="44"/>
  <c r="N82" i="48" s="1"/>
  <c r="K141" i="44"/>
  <c r="M125" i="48" l="1"/>
  <c r="M98" i="48"/>
  <c r="M68" i="48"/>
  <c r="M158" i="44"/>
  <c r="M159" i="44" s="1"/>
  <c r="M69" i="48"/>
  <c r="L164" i="44"/>
  <c r="N126" i="48"/>
  <c r="N99" i="48"/>
  <c r="N118" i="48" s="1"/>
  <c r="N88" i="48"/>
  <c r="M72" i="48"/>
  <c r="M89" i="48" s="1"/>
  <c r="L165" i="44"/>
  <c r="M135" i="48"/>
  <c r="M108" i="48"/>
  <c r="M104" i="48"/>
  <c r="M131" i="48"/>
  <c r="M105" i="48"/>
  <c r="M132" i="48"/>
  <c r="M134" i="48"/>
  <c r="M107" i="48"/>
  <c r="O118" i="48"/>
  <c r="O121" i="48" s="1"/>
  <c r="O122" i="48" s="1"/>
  <c r="M137" i="48"/>
  <c r="M110" i="48"/>
  <c r="M101" i="48"/>
  <c r="M128" i="48"/>
  <c r="M133" i="48"/>
  <c r="M106" i="48"/>
  <c r="O92" i="48"/>
  <c r="K142" i="44"/>
  <c r="K143" i="44"/>
  <c r="L70" i="48" s="1"/>
  <c r="K144" i="44"/>
  <c r="L71" i="48" s="1"/>
  <c r="K145" i="44"/>
  <c r="K146" i="44"/>
  <c r="L74" i="48" s="1"/>
  <c r="K147" i="44"/>
  <c r="L75" i="48" s="1"/>
  <c r="K148" i="44"/>
  <c r="L76" i="48" s="1"/>
  <c r="K149" i="44"/>
  <c r="L77" i="48" s="1"/>
  <c r="K150" i="44"/>
  <c r="L81" i="48" s="1"/>
  <c r="K151" i="44"/>
  <c r="L78" i="48" s="1"/>
  <c r="K152" i="44"/>
  <c r="L79" i="48" s="1"/>
  <c r="K153" i="44"/>
  <c r="L80" i="48" s="1"/>
  <c r="N102" i="48"/>
  <c r="N119" i="48" s="1"/>
  <c r="N129" i="48"/>
  <c r="N146" i="48" s="1"/>
  <c r="O145" i="48"/>
  <c r="O148" i="48" s="1"/>
  <c r="O149" i="48" s="1"/>
  <c r="N112" i="48"/>
  <c r="N139" i="48"/>
  <c r="M166" i="44"/>
  <c r="M167" i="44" s="1"/>
  <c r="M136" i="48"/>
  <c r="M109" i="48"/>
  <c r="M100" i="48"/>
  <c r="M127" i="48"/>
  <c r="M138" i="48"/>
  <c r="M111" i="48"/>
  <c r="N89" i="48"/>
  <c r="K140" i="44"/>
  <c r="L156" i="44"/>
  <c r="J141" i="44"/>
  <c r="L154" i="44"/>
  <c r="M82" i="48" s="1"/>
  <c r="L157" i="44"/>
  <c r="L98" i="48" l="1"/>
  <c r="L68" i="48"/>
  <c r="L125" i="48"/>
  <c r="N91" i="48"/>
  <c r="N92" i="48" s="1"/>
  <c r="L137" i="48"/>
  <c r="L110" i="48"/>
  <c r="L134" i="48"/>
  <c r="L107" i="48"/>
  <c r="L72" i="48"/>
  <c r="K165" i="44"/>
  <c r="L158" i="44"/>
  <c r="L159" i="44" s="1"/>
  <c r="L133" i="48"/>
  <c r="L106" i="48"/>
  <c r="L101" i="48"/>
  <c r="L128" i="48"/>
  <c r="L166" i="44"/>
  <c r="L167" i="44" s="1"/>
  <c r="L132" i="48"/>
  <c r="L105" i="48"/>
  <c r="L100" i="48"/>
  <c r="L127" i="48"/>
  <c r="L89" i="48"/>
  <c r="N121" i="48"/>
  <c r="N122" i="48" s="1"/>
  <c r="M139" i="48"/>
  <c r="M112" i="48"/>
  <c r="L136" i="48"/>
  <c r="L109" i="48"/>
  <c r="J149" i="44"/>
  <c r="K77" i="48" s="1"/>
  <c r="J150" i="44"/>
  <c r="K81" i="48" s="1"/>
  <c r="J151" i="44"/>
  <c r="K78" i="48" s="1"/>
  <c r="J152" i="44"/>
  <c r="K79" i="48" s="1"/>
  <c r="J153" i="44"/>
  <c r="K80" i="48" s="1"/>
  <c r="J142" i="44"/>
  <c r="J143" i="44"/>
  <c r="K70" i="48" s="1"/>
  <c r="J144" i="44"/>
  <c r="K71" i="48" s="1"/>
  <c r="J145" i="44"/>
  <c r="J146" i="44"/>
  <c r="K74" i="48" s="1"/>
  <c r="J147" i="44"/>
  <c r="K75" i="48" s="1"/>
  <c r="J148" i="44"/>
  <c r="K76" i="48" s="1"/>
  <c r="L135" i="48"/>
  <c r="L108" i="48"/>
  <c r="L138" i="48"/>
  <c r="L111" i="48"/>
  <c r="L104" i="48"/>
  <c r="L131" i="48"/>
  <c r="L69" i="48"/>
  <c r="K164" i="44"/>
  <c r="M102" i="48"/>
  <c r="M119" i="48" s="1"/>
  <c r="M129" i="48"/>
  <c r="M146" i="48" s="1"/>
  <c r="N145" i="48"/>
  <c r="N148" i="48" s="1"/>
  <c r="N149" i="48" s="1"/>
  <c r="M88" i="48"/>
  <c r="M91" i="48" s="1"/>
  <c r="M92" i="48" s="1"/>
  <c r="M99" i="48"/>
  <c r="M118" i="48" s="1"/>
  <c r="M126" i="48"/>
  <c r="J140" i="44"/>
  <c r="K157" i="44"/>
  <c r="I141" i="44"/>
  <c r="K154" i="44"/>
  <c r="L82" i="48" s="1"/>
  <c r="K156" i="44"/>
  <c r="M121" i="48" l="1"/>
  <c r="M122" i="48" s="1"/>
  <c r="K68" i="48"/>
  <c r="K125" i="48"/>
  <c r="K98" i="48"/>
  <c r="K166" i="44"/>
  <c r="K167" i="44" s="1"/>
  <c r="I142" i="44"/>
  <c r="I143" i="44"/>
  <c r="J70" i="48" s="1"/>
  <c r="I144" i="44"/>
  <c r="J71" i="48" s="1"/>
  <c r="I145" i="44"/>
  <c r="I146" i="44"/>
  <c r="J74" i="48" s="1"/>
  <c r="I147" i="44"/>
  <c r="J75" i="48" s="1"/>
  <c r="I148" i="44"/>
  <c r="J76" i="48" s="1"/>
  <c r="I149" i="44"/>
  <c r="J77" i="48" s="1"/>
  <c r="I150" i="44"/>
  <c r="J81" i="48" s="1"/>
  <c r="I151" i="44"/>
  <c r="J78" i="48" s="1"/>
  <c r="I152" i="44"/>
  <c r="J79" i="48" s="1"/>
  <c r="I153" i="44"/>
  <c r="J80" i="48" s="1"/>
  <c r="M145" i="48"/>
  <c r="M148" i="48" s="1"/>
  <c r="M149" i="48" s="1"/>
  <c r="K72" i="48"/>
  <c r="J165" i="44"/>
  <c r="K137" i="48"/>
  <c r="K110" i="48"/>
  <c r="K134" i="48"/>
  <c r="K107" i="48"/>
  <c r="K128" i="48"/>
  <c r="K101" i="48"/>
  <c r="K132" i="48"/>
  <c r="K105" i="48"/>
  <c r="K127" i="48"/>
  <c r="K100" i="48"/>
  <c r="K135" i="48"/>
  <c r="K108" i="48"/>
  <c r="L102" i="48"/>
  <c r="L119" i="48" s="1"/>
  <c r="L129" i="48"/>
  <c r="L146" i="48" s="1"/>
  <c r="K133" i="48"/>
  <c r="K106" i="48"/>
  <c r="K136" i="48"/>
  <c r="K109" i="48"/>
  <c r="L99" i="48"/>
  <c r="L118" i="48" s="1"/>
  <c r="L126" i="48"/>
  <c r="L88" i="48"/>
  <c r="L91" i="48" s="1"/>
  <c r="L92" i="48" s="1"/>
  <c r="L139" i="48"/>
  <c r="L112" i="48"/>
  <c r="K158" i="44"/>
  <c r="K159" i="44" s="1"/>
  <c r="K131" i="48"/>
  <c r="K104" i="48"/>
  <c r="K69" i="48"/>
  <c r="J164" i="44"/>
  <c r="K138" i="48"/>
  <c r="K111" i="48"/>
  <c r="I140" i="44"/>
  <c r="J154" i="44"/>
  <c r="K82" i="48" s="1"/>
  <c r="J156" i="44"/>
  <c r="H141" i="44"/>
  <c r="J157" i="44"/>
  <c r="J125" i="48" l="1"/>
  <c r="J98" i="48"/>
  <c r="J68" i="48"/>
  <c r="J158" i="44"/>
  <c r="J159" i="44" s="1"/>
  <c r="L121" i="48"/>
  <c r="L122" i="48" s="1"/>
  <c r="J109" i="48"/>
  <c r="J136" i="48"/>
  <c r="K139" i="48"/>
  <c r="K112" i="48"/>
  <c r="K88" i="48"/>
  <c r="K126" i="48"/>
  <c r="K99" i="48"/>
  <c r="J110" i="48"/>
  <c r="J137" i="48"/>
  <c r="J107" i="48"/>
  <c r="J134" i="48"/>
  <c r="J72" i="48"/>
  <c r="I165" i="44"/>
  <c r="J106" i="48"/>
  <c r="J133" i="48"/>
  <c r="J101" i="48"/>
  <c r="J128" i="48"/>
  <c r="J108" i="48"/>
  <c r="J135" i="48"/>
  <c r="J132" i="48"/>
  <c r="J105" i="48"/>
  <c r="J100" i="48"/>
  <c r="J127" i="48"/>
  <c r="J89" i="48"/>
  <c r="K129" i="48"/>
  <c r="K146" i="48" s="1"/>
  <c r="K102" i="48"/>
  <c r="K119" i="48" s="1"/>
  <c r="H151" i="44"/>
  <c r="I78" i="48" s="1"/>
  <c r="H152" i="44"/>
  <c r="I79" i="48" s="1"/>
  <c r="H145" i="44"/>
  <c r="H147" i="44"/>
  <c r="I75" i="48" s="1"/>
  <c r="H153" i="44"/>
  <c r="I80" i="48" s="1"/>
  <c r="H142" i="44"/>
  <c r="H143" i="44"/>
  <c r="I70" i="48" s="1"/>
  <c r="H144" i="44"/>
  <c r="I71" i="48" s="1"/>
  <c r="H146" i="44"/>
  <c r="I74" i="48" s="1"/>
  <c r="H148" i="44"/>
  <c r="I76" i="48" s="1"/>
  <c r="H149" i="44"/>
  <c r="I77" i="48" s="1"/>
  <c r="H150" i="44"/>
  <c r="I81" i="48" s="1"/>
  <c r="J166" i="44"/>
  <c r="J167" i="44" s="1"/>
  <c r="L145" i="48"/>
  <c r="L148" i="48" s="1"/>
  <c r="L149" i="48" s="1"/>
  <c r="K89" i="48"/>
  <c r="J111" i="48"/>
  <c r="J138" i="48"/>
  <c r="J131" i="48"/>
  <c r="J104" i="48"/>
  <c r="J69" i="48"/>
  <c r="I164" i="44"/>
  <c r="H140" i="44"/>
  <c r="I156" i="44"/>
  <c r="G141" i="44"/>
  <c r="I154" i="44"/>
  <c r="J82" i="48" s="1"/>
  <c r="I157" i="44"/>
  <c r="I125" i="48" l="1"/>
  <c r="I98" i="48"/>
  <c r="I68" i="48"/>
  <c r="K91" i="48"/>
  <c r="K92" i="48" s="1"/>
  <c r="I69" i="48"/>
  <c r="H164" i="44"/>
  <c r="J112" i="48"/>
  <c r="J139" i="48"/>
  <c r="I158" i="44"/>
  <c r="I159" i="44" s="1"/>
  <c r="I104" i="48"/>
  <c r="I131" i="48"/>
  <c r="I137" i="48"/>
  <c r="I110" i="48"/>
  <c r="I135" i="48"/>
  <c r="I108" i="48"/>
  <c r="K118" i="48"/>
  <c r="K121" i="48" s="1"/>
  <c r="K122" i="48" s="1"/>
  <c r="G142" i="44"/>
  <c r="G143" i="44"/>
  <c r="H70" i="48" s="1"/>
  <c r="G144" i="44"/>
  <c r="H71" i="48" s="1"/>
  <c r="G145" i="44"/>
  <c r="G146" i="44"/>
  <c r="H74" i="48" s="1"/>
  <c r="G147" i="44"/>
  <c r="H75" i="48" s="1"/>
  <c r="G148" i="44"/>
  <c r="H76" i="48" s="1"/>
  <c r="G149" i="44"/>
  <c r="H77" i="48" s="1"/>
  <c r="G150" i="44"/>
  <c r="H81" i="48" s="1"/>
  <c r="G151" i="44"/>
  <c r="H78" i="48" s="1"/>
  <c r="G152" i="44"/>
  <c r="H79" i="48" s="1"/>
  <c r="G153" i="44"/>
  <c r="H80" i="48" s="1"/>
  <c r="I166" i="44"/>
  <c r="I167" i="44" s="1"/>
  <c r="I138" i="48"/>
  <c r="I111" i="48"/>
  <c r="I101" i="48"/>
  <c r="I128" i="48"/>
  <c r="I105" i="48"/>
  <c r="I132" i="48"/>
  <c r="K145" i="48"/>
  <c r="K148" i="48" s="1"/>
  <c r="K149" i="48" s="1"/>
  <c r="J126" i="48"/>
  <c r="J88" i="48"/>
  <c r="J91" i="48" s="1"/>
  <c r="J92" i="48" s="1"/>
  <c r="J99" i="48"/>
  <c r="J118" i="48" s="1"/>
  <c r="I133" i="48"/>
  <c r="I106" i="48"/>
  <c r="I136" i="48"/>
  <c r="I109" i="48"/>
  <c r="J129" i="48"/>
  <c r="J146" i="48" s="1"/>
  <c r="J102" i="48"/>
  <c r="J119" i="48" s="1"/>
  <c r="I134" i="48"/>
  <c r="I107" i="48"/>
  <c r="I100" i="48"/>
  <c r="I127" i="48"/>
  <c r="I72" i="48"/>
  <c r="I89" i="48" s="1"/>
  <c r="H165" i="44"/>
  <c r="G140" i="44"/>
  <c r="H154" i="44"/>
  <c r="I82" i="48" s="1"/>
  <c r="H157" i="44"/>
  <c r="H156" i="44"/>
  <c r="F141" i="44"/>
  <c r="H98" i="48" l="1"/>
  <c r="H68" i="48"/>
  <c r="H125" i="48"/>
  <c r="J121" i="48"/>
  <c r="J122" i="48" s="1"/>
  <c r="H137" i="48"/>
  <c r="H110" i="48"/>
  <c r="H72" i="48"/>
  <c r="G165" i="44"/>
  <c r="H158" i="44"/>
  <c r="H159" i="44" s="1"/>
  <c r="H136" i="48"/>
  <c r="H109" i="48"/>
  <c r="H133" i="48"/>
  <c r="H106" i="48"/>
  <c r="H101" i="48"/>
  <c r="H128" i="48"/>
  <c r="H166" i="44"/>
  <c r="H167" i="44" s="1"/>
  <c r="F142" i="44"/>
  <c r="F143" i="44"/>
  <c r="G70" i="48" s="1"/>
  <c r="F144" i="44"/>
  <c r="G71" i="48" s="1"/>
  <c r="F145" i="44"/>
  <c r="F146" i="44"/>
  <c r="G74" i="48" s="1"/>
  <c r="F147" i="44"/>
  <c r="G75" i="48" s="1"/>
  <c r="F148" i="44"/>
  <c r="G76" i="48" s="1"/>
  <c r="F149" i="44"/>
  <c r="G77" i="48" s="1"/>
  <c r="F150" i="44"/>
  <c r="G81" i="48" s="1"/>
  <c r="F151" i="44"/>
  <c r="G78" i="48" s="1"/>
  <c r="F152" i="44"/>
  <c r="G79" i="48" s="1"/>
  <c r="F153" i="44"/>
  <c r="G80" i="48" s="1"/>
  <c r="H135" i="48"/>
  <c r="H108" i="48"/>
  <c r="H132" i="48"/>
  <c r="H105" i="48"/>
  <c r="H100" i="48"/>
  <c r="H127" i="48"/>
  <c r="H89" i="48"/>
  <c r="I139" i="48"/>
  <c r="I112" i="48"/>
  <c r="H134" i="48"/>
  <c r="H107" i="48"/>
  <c r="J145" i="48"/>
  <c r="J148" i="48" s="1"/>
  <c r="J149" i="48" s="1"/>
  <c r="I102" i="48"/>
  <c r="I119" i="48" s="1"/>
  <c r="I129" i="48"/>
  <c r="I146" i="48" s="1"/>
  <c r="H138" i="48"/>
  <c r="H111" i="48"/>
  <c r="H104" i="48"/>
  <c r="H131" i="48"/>
  <c r="H69" i="48"/>
  <c r="G164" i="44"/>
  <c r="I88" i="48"/>
  <c r="I91" i="48" s="1"/>
  <c r="I92" i="48" s="1"/>
  <c r="I99" i="48"/>
  <c r="I118" i="48" s="1"/>
  <c r="I126" i="48"/>
  <c r="F140" i="44"/>
  <c r="G154" i="44"/>
  <c r="H82" i="48" s="1"/>
  <c r="G156" i="44"/>
  <c r="G157" i="44"/>
  <c r="E141" i="44"/>
  <c r="G68" i="48" l="1"/>
  <c r="G98" i="48"/>
  <c r="G125" i="48"/>
  <c r="I121" i="48"/>
  <c r="I122" i="48" s="1"/>
  <c r="G158" i="44"/>
  <c r="G159" i="44" s="1"/>
  <c r="G137" i="48"/>
  <c r="G110" i="48"/>
  <c r="G72" i="48"/>
  <c r="F165" i="44"/>
  <c r="I145" i="48"/>
  <c r="I148" i="48" s="1"/>
  <c r="I149" i="48" s="1"/>
  <c r="G166" i="44"/>
  <c r="G167" i="44" s="1"/>
  <c r="G136" i="48"/>
  <c r="G109" i="48"/>
  <c r="G133" i="48"/>
  <c r="G106" i="48"/>
  <c r="G128" i="48"/>
  <c r="G101" i="48"/>
  <c r="H102" i="48"/>
  <c r="H119" i="48" s="1"/>
  <c r="H129" i="48"/>
  <c r="H146" i="48" s="1"/>
  <c r="G134" i="48"/>
  <c r="G107" i="48"/>
  <c r="H139" i="48"/>
  <c r="H112" i="48"/>
  <c r="G135" i="48"/>
  <c r="G108" i="48"/>
  <c r="G132" i="48"/>
  <c r="G105" i="48"/>
  <c r="G127" i="48"/>
  <c r="G100" i="48"/>
  <c r="E142" i="44"/>
  <c r="E143" i="44"/>
  <c r="F70" i="48" s="1"/>
  <c r="E144" i="44"/>
  <c r="F71" i="48" s="1"/>
  <c r="E145" i="44"/>
  <c r="E146" i="44"/>
  <c r="F74" i="48" s="1"/>
  <c r="E147" i="44"/>
  <c r="F75" i="48" s="1"/>
  <c r="E148" i="44"/>
  <c r="F76" i="48" s="1"/>
  <c r="E149" i="44"/>
  <c r="F77" i="48" s="1"/>
  <c r="E150" i="44"/>
  <c r="F81" i="48" s="1"/>
  <c r="E151" i="44"/>
  <c r="F78" i="48" s="1"/>
  <c r="E152" i="44"/>
  <c r="F79" i="48" s="1"/>
  <c r="E153" i="44"/>
  <c r="F80" i="48" s="1"/>
  <c r="H99" i="48"/>
  <c r="H118" i="48" s="1"/>
  <c r="H121" i="48" s="1"/>
  <c r="H122" i="48" s="1"/>
  <c r="H126" i="48"/>
  <c r="H88" i="48"/>
  <c r="H91" i="48" s="1"/>
  <c r="H92" i="48" s="1"/>
  <c r="G138" i="48"/>
  <c r="G111" i="48"/>
  <c r="G131" i="48"/>
  <c r="G104" i="48"/>
  <c r="G69" i="48"/>
  <c r="F164" i="44"/>
  <c r="E140" i="44"/>
  <c r="F157" i="44"/>
  <c r="F154" i="44"/>
  <c r="G82" i="48" s="1"/>
  <c r="F156" i="44"/>
  <c r="D141" i="44"/>
  <c r="F125" i="48" l="1"/>
  <c r="F98" i="48"/>
  <c r="F68" i="48"/>
  <c r="F158" i="44"/>
  <c r="F159" i="44" s="1"/>
  <c r="F111" i="48"/>
  <c r="F138" i="48"/>
  <c r="F107" i="48"/>
  <c r="F134" i="48"/>
  <c r="F72" i="48"/>
  <c r="E165" i="44"/>
  <c r="G129" i="48"/>
  <c r="G146" i="48" s="1"/>
  <c r="G102" i="48"/>
  <c r="G119" i="48" s="1"/>
  <c r="D146" i="44"/>
  <c r="E74" i="48" s="1"/>
  <c r="D148" i="44"/>
  <c r="E76" i="48" s="1"/>
  <c r="D149" i="44"/>
  <c r="E77" i="48" s="1"/>
  <c r="D153" i="44"/>
  <c r="E80" i="48" s="1"/>
  <c r="D150" i="44"/>
  <c r="E81" i="48" s="1"/>
  <c r="D142" i="44"/>
  <c r="D143" i="44"/>
  <c r="E70" i="48" s="1"/>
  <c r="D144" i="44"/>
  <c r="E71" i="48" s="1"/>
  <c r="D145" i="44"/>
  <c r="D147" i="44"/>
  <c r="E75" i="48" s="1"/>
  <c r="D151" i="44"/>
  <c r="E78" i="48" s="1"/>
  <c r="D152" i="44"/>
  <c r="E79" i="48" s="1"/>
  <c r="G88" i="48"/>
  <c r="G126" i="48"/>
  <c r="G99" i="48"/>
  <c r="F104" i="48"/>
  <c r="F131" i="48"/>
  <c r="F110" i="48"/>
  <c r="F137" i="48"/>
  <c r="F166" i="44"/>
  <c r="F167" i="44" s="1"/>
  <c r="F106" i="48"/>
  <c r="F133" i="48"/>
  <c r="F128" i="48"/>
  <c r="F101" i="48"/>
  <c r="F69" i="48"/>
  <c r="E164" i="44"/>
  <c r="G139" i="48"/>
  <c r="G112" i="48"/>
  <c r="F109" i="48"/>
  <c r="F136" i="48"/>
  <c r="H145" i="48"/>
  <c r="H148" i="48" s="1"/>
  <c r="H149" i="48" s="1"/>
  <c r="F108" i="48"/>
  <c r="F135" i="48"/>
  <c r="F105" i="48"/>
  <c r="F132" i="48"/>
  <c r="F100" i="48"/>
  <c r="F89" i="48"/>
  <c r="F127" i="48"/>
  <c r="G89" i="48"/>
  <c r="D140" i="44"/>
  <c r="C141" i="44"/>
  <c r="E154" i="44"/>
  <c r="F82" i="48" s="1"/>
  <c r="E156" i="44"/>
  <c r="E157" i="44"/>
  <c r="E125" i="48" l="1"/>
  <c r="E98" i="48"/>
  <c r="E68" i="48"/>
  <c r="G91" i="48"/>
  <c r="G92" i="48" s="1"/>
  <c r="E166" i="44"/>
  <c r="E167" i="44" s="1"/>
  <c r="E101" i="48"/>
  <c r="E128" i="48"/>
  <c r="G118" i="48"/>
  <c r="G121" i="48" s="1"/>
  <c r="G122" i="48" s="1"/>
  <c r="E135" i="48"/>
  <c r="E108" i="48"/>
  <c r="E100" i="48"/>
  <c r="E127" i="48"/>
  <c r="E134" i="48"/>
  <c r="E107" i="48"/>
  <c r="E137" i="48"/>
  <c r="E110" i="48"/>
  <c r="F112" i="48"/>
  <c r="F139" i="48"/>
  <c r="F99" i="48"/>
  <c r="F118" i="48" s="1"/>
  <c r="F126" i="48"/>
  <c r="F88" i="48"/>
  <c r="F91" i="48" s="1"/>
  <c r="F92" i="48" s="1"/>
  <c r="G145" i="48"/>
  <c r="G148" i="48" s="1"/>
  <c r="G149" i="48" s="1"/>
  <c r="E105" i="48"/>
  <c r="E132" i="48"/>
  <c r="E69" i="48"/>
  <c r="D164" i="44"/>
  <c r="E133" i="48"/>
  <c r="E106" i="48"/>
  <c r="E136" i="48"/>
  <c r="E109" i="48"/>
  <c r="C142" i="44"/>
  <c r="C143" i="44"/>
  <c r="D70" i="48" s="1"/>
  <c r="C144" i="44"/>
  <c r="D71" i="48" s="1"/>
  <c r="C145" i="44"/>
  <c r="C146" i="44"/>
  <c r="D74" i="48" s="1"/>
  <c r="C147" i="44"/>
  <c r="D75" i="48" s="1"/>
  <c r="C148" i="44"/>
  <c r="D76" i="48" s="1"/>
  <c r="C149" i="44"/>
  <c r="D77" i="48" s="1"/>
  <c r="C150" i="44"/>
  <c r="D81" i="48" s="1"/>
  <c r="C151" i="44"/>
  <c r="D78" i="48" s="1"/>
  <c r="C152" i="44"/>
  <c r="D79" i="48" s="1"/>
  <c r="C153" i="44"/>
  <c r="D80" i="48" s="1"/>
  <c r="E158" i="44"/>
  <c r="E159" i="44" s="1"/>
  <c r="E72" i="48"/>
  <c r="E89" i="48" s="1"/>
  <c r="D165" i="44"/>
  <c r="E138" i="48"/>
  <c r="E111" i="48"/>
  <c r="E104" i="48"/>
  <c r="E131" i="48"/>
  <c r="F129" i="48"/>
  <c r="F146" i="48" s="1"/>
  <c r="F102" i="48"/>
  <c r="F119" i="48" s="1"/>
  <c r="C140" i="44"/>
  <c r="D154" i="44"/>
  <c r="E82" i="48" s="1"/>
  <c r="D157" i="44"/>
  <c r="D156" i="44"/>
  <c r="B141" i="44"/>
  <c r="D98" i="48" l="1"/>
  <c r="D68" i="48"/>
  <c r="D125" i="48"/>
  <c r="D158" i="44"/>
  <c r="D159" i="44" s="1"/>
  <c r="D104" i="48"/>
  <c r="D131" i="48"/>
  <c r="F121" i="48"/>
  <c r="F122" i="48" s="1"/>
  <c r="D137" i="48"/>
  <c r="D110" i="48"/>
  <c r="D134" i="48"/>
  <c r="D107" i="48"/>
  <c r="D72" i="48"/>
  <c r="D89" i="48" s="1"/>
  <c r="C165" i="44"/>
  <c r="E139" i="48"/>
  <c r="E112" i="48"/>
  <c r="D136" i="48"/>
  <c r="D109" i="48"/>
  <c r="D133" i="48"/>
  <c r="D106" i="48"/>
  <c r="D101" i="48"/>
  <c r="D128" i="48"/>
  <c r="D166" i="44"/>
  <c r="D167" i="44" s="1"/>
  <c r="D138" i="48"/>
  <c r="D111" i="48"/>
  <c r="D69" i="48"/>
  <c r="C164" i="44"/>
  <c r="E88" i="48"/>
  <c r="E91" i="48" s="1"/>
  <c r="E92" i="48" s="1"/>
  <c r="E99" i="48"/>
  <c r="E126" i="48"/>
  <c r="B149" i="44"/>
  <c r="C77" i="48" s="1"/>
  <c r="B150" i="44"/>
  <c r="C81" i="48" s="1"/>
  <c r="B151" i="44"/>
  <c r="C78" i="48" s="1"/>
  <c r="B152" i="44"/>
  <c r="C79" i="48" s="1"/>
  <c r="B153" i="44"/>
  <c r="C80" i="48" s="1"/>
  <c r="B142" i="44"/>
  <c r="B143" i="44"/>
  <c r="C70" i="48" s="1"/>
  <c r="B144" i="44"/>
  <c r="C71" i="48" s="1"/>
  <c r="B145" i="44"/>
  <c r="B146" i="44"/>
  <c r="C74" i="48" s="1"/>
  <c r="B147" i="44"/>
  <c r="C75" i="48" s="1"/>
  <c r="B148" i="44"/>
  <c r="C76" i="48" s="1"/>
  <c r="E102" i="48"/>
  <c r="E119" i="48" s="1"/>
  <c r="E129" i="48"/>
  <c r="E146" i="48" s="1"/>
  <c r="D135" i="48"/>
  <c r="D108" i="48"/>
  <c r="D132" i="48"/>
  <c r="D105" i="48"/>
  <c r="D100" i="48"/>
  <c r="D127" i="48"/>
  <c r="F145" i="48"/>
  <c r="F148" i="48" s="1"/>
  <c r="F149" i="48" s="1"/>
  <c r="B140" i="44"/>
  <c r="C154" i="44"/>
  <c r="D82" i="48" s="1"/>
  <c r="C156" i="44"/>
  <c r="C157" i="44"/>
  <c r="C98" i="48" l="1"/>
  <c r="C68" i="48"/>
  <c r="C125" i="48"/>
  <c r="C166" i="44"/>
  <c r="C167" i="44" s="1"/>
  <c r="C127" i="48"/>
  <c r="C100" i="48"/>
  <c r="E145" i="48"/>
  <c r="E148" i="48" s="1"/>
  <c r="E149" i="48" s="1"/>
  <c r="C69" i="48"/>
  <c r="B164" i="44"/>
  <c r="C138" i="48"/>
  <c r="C111" i="48"/>
  <c r="E118" i="48"/>
  <c r="E121" i="48" s="1"/>
  <c r="E122" i="48" s="1"/>
  <c r="C131" i="48"/>
  <c r="C104" i="48"/>
  <c r="D139" i="48"/>
  <c r="D112" i="48"/>
  <c r="C72" i="48"/>
  <c r="C89" i="48" s="1"/>
  <c r="B165" i="44"/>
  <c r="C137" i="48"/>
  <c r="C110" i="48"/>
  <c r="C134" i="48"/>
  <c r="C107" i="48"/>
  <c r="D99" i="48"/>
  <c r="D118" i="48" s="1"/>
  <c r="D126" i="48"/>
  <c r="D88" i="48"/>
  <c r="D91" i="48" s="1"/>
  <c r="D92" i="48" s="1"/>
  <c r="C105" i="48"/>
  <c r="C132" i="48"/>
  <c r="C135" i="48"/>
  <c r="C108" i="48"/>
  <c r="C106" i="48"/>
  <c r="C133" i="48"/>
  <c r="C128" i="48"/>
  <c r="C101" i="48"/>
  <c r="C136" i="48"/>
  <c r="C109" i="48"/>
  <c r="C158" i="44"/>
  <c r="C159" i="44" s="1"/>
  <c r="D102" i="48"/>
  <c r="D119" i="48" s="1"/>
  <c r="D129" i="48"/>
  <c r="D146" i="48" s="1"/>
  <c r="B157" i="44"/>
  <c r="B156" i="44"/>
  <c r="B154" i="44"/>
  <c r="C82" i="48" s="1"/>
  <c r="B166" i="44" l="1"/>
  <c r="B167" i="44" s="1"/>
  <c r="D121" i="48"/>
  <c r="D122" i="48" s="1"/>
  <c r="C139" i="48"/>
  <c r="C112" i="48"/>
  <c r="C102" i="48"/>
  <c r="C119" i="48" s="1"/>
  <c r="C129" i="48"/>
  <c r="C146" i="48" s="1"/>
  <c r="C99" i="48"/>
  <c r="C118" i="48" s="1"/>
  <c r="C126" i="48"/>
  <c r="C88" i="48"/>
  <c r="C91" i="48" s="1"/>
  <c r="C92" i="48" s="1"/>
  <c r="D145" i="48"/>
  <c r="D148" i="48" s="1"/>
  <c r="D149" i="48" s="1"/>
  <c r="B158" i="44"/>
  <c r="B159" i="44" s="1"/>
  <c r="H91" i="44"/>
  <c r="B91" i="44"/>
  <c r="G92" i="44"/>
  <c r="A92" i="44"/>
  <c r="E92" i="44" s="1"/>
  <c r="B51" i="44"/>
  <c r="B52" i="44"/>
  <c r="B53" i="44"/>
  <c r="B54" i="44"/>
  <c r="C25" i="48" s="1"/>
  <c r="B55" i="44"/>
  <c r="B56" i="44"/>
  <c r="B57" i="44"/>
  <c r="B58" i="44"/>
  <c r="B59" i="44"/>
  <c r="B60" i="44"/>
  <c r="B61" i="44"/>
  <c r="C32" i="48" s="1"/>
  <c r="B50" i="44"/>
  <c r="B35" i="44"/>
  <c r="B36" i="44"/>
  <c r="B37" i="44"/>
  <c r="C9" i="48" s="1"/>
  <c r="B38" i="44"/>
  <c r="B39" i="44"/>
  <c r="B40" i="44"/>
  <c r="B41" i="44"/>
  <c r="B42" i="44"/>
  <c r="B43" i="44"/>
  <c r="B44" i="44"/>
  <c r="K23" i="6"/>
  <c r="K20" i="6"/>
  <c r="K19" i="6"/>
  <c r="K18" i="6"/>
  <c r="K17" i="6"/>
  <c r="K16" i="6"/>
  <c r="K15" i="6"/>
  <c r="K14" i="6"/>
  <c r="K13" i="6"/>
  <c r="K12" i="6"/>
  <c r="K11" i="6"/>
  <c r="K10" i="6"/>
  <c r="K9" i="6"/>
  <c r="I23" i="6"/>
  <c r="I20" i="6"/>
  <c r="I19" i="6"/>
  <c r="I18" i="6"/>
  <c r="I17" i="6"/>
  <c r="I16" i="6"/>
  <c r="I15" i="6"/>
  <c r="I14" i="6"/>
  <c r="I13" i="6"/>
  <c r="I12" i="6"/>
  <c r="I11" i="6"/>
  <c r="I10" i="6"/>
  <c r="I9" i="6"/>
  <c r="J23" i="6"/>
  <c r="J20" i="6"/>
  <c r="J19" i="6"/>
  <c r="J18" i="6"/>
  <c r="J17" i="6"/>
  <c r="J16" i="6"/>
  <c r="J15" i="6"/>
  <c r="J14" i="6"/>
  <c r="J13" i="6"/>
  <c r="J12" i="6"/>
  <c r="J11" i="6"/>
  <c r="J10" i="6"/>
  <c r="J9" i="6"/>
  <c r="H23" i="6"/>
  <c r="H20" i="6"/>
  <c r="H19" i="6"/>
  <c r="H18" i="6"/>
  <c r="H17" i="6"/>
  <c r="H16" i="6"/>
  <c r="H15" i="6"/>
  <c r="H14" i="6"/>
  <c r="H13" i="6"/>
  <c r="H12" i="6"/>
  <c r="H11" i="6"/>
  <c r="H10" i="6"/>
  <c r="H9" i="6"/>
  <c r="G20" i="6"/>
  <c r="F23" i="6"/>
  <c r="F20" i="6"/>
  <c r="F19" i="6"/>
  <c r="F18" i="6"/>
  <c r="F17" i="6"/>
  <c r="F16" i="6"/>
  <c r="F15" i="6"/>
  <c r="F14" i="6"/>
  <c r="F13" i="6"/>
  <c r="F12" i="6"/>
  <c r="F11" i="6"/>
  <c r="F10" i="6"/>
  <c r="F9" i="6"/>
  <c r="G9" i="6"/>
  <c r="G23" i="6"/>
  <c r="G19" i="6"/>
  <c r="G18" i="6"/>
  <c r="G17" i="6"/>
  <c r="G16" i="6"/>
  <c r="G15" i="6"/>
  <c r="G14" i="6"/>
  <c r="G13" i="6"/>
  <c r="G12" i="6"/>
  <c r="G11" i="6"/>
  <c r="G10" i="6"/>
  <c r="E3" i="40"/>
  <c r="B45" i="44" l="1"/>
  <c r="C33" i="44" s="1"/>
  <c r="C10" i="48"/>
  <c r="C13" i="48"/>
  <c r="C16" i="48"/>
  <c r="C12" i="48"/>
  <c r="C8" i="48"/>
  <c r="C14" i="48"/>
  <c r="C6" i="48"/>
  <c r="C15" i="48"/>
  <c r="C11" i="48"/>
  <c r="C7" i="48"/>
  <c r="C29" i="48"/>
  <c r="C28" i="48"/>
  <c r="C24" i="48"/>
  <c r="C31" i="48"/>
  <c r="C27" i="48"/>
  <c r="C23" i="48"/>
  <c r="C145" i="48"/>
  <c r="C148" i="48" s="1"/>
  <c r="C149" i="48" s="1"/>
  <c r="C21" i="48"/>
  <c r="C30" i="48"/>
  <c r="C26" i="48"/>
  <c r="C22" i="48"/>
  <c r="C121" i="48"/>
  <c r="C122" i="48" s="1"/>
  <c r="D3" i="21"/>
  <c r="E3" i="29"/>
  <c r="K3" i="6"/>
  <c r="F7" i="6" s="1"/>
  <c r="G8" i="6" s="1"/>
  <c r="B109" i="44"/>
  <c r="H109" i="44"/>
  <c r="B110" i="44"/>
  <c r="H110" i="44"/>
  <c r="B106" i="44"/>
  <c r="H106" i="44"/>
  <c r="B62" i="44"/>
  <c r="C56" i="44" s="1"/>
  <c r="E3" i="13"/>
  <c r="I3" i="15"/>
  <c r="E3" i="23"/>
  <c r="E3" i="30"/>
  <c r="E3" i="16"/>
  <c r="G3" i="11"/>
  <c r="E3" i="31"/>
  <c r="D3" i="20"/>
  <c r="H21" i="6"/>
  <c r="J21" i="6"/>
  <c r="E3" i="10"/>
  <c r="E3" i="14"/>
  <c r="F21" i="6"/>
  <c r="C17" i="48" l="1"/>
  <c r="D5" i="48" s="1"/>
  <c r="C35" i="44"/>
  <c r="C43" i="44"/>
  <c r="C42" i="44"/>
  <c r="C40" i="44"/>
  <c r="C41" i="44"/>
  <c r="C39" i="44"/>
  <c r="C34" i="44"/>
  <c r="C36" i="44"/>
  <c r="C44" i="44"/>
  <c r="C38" i="44"/>
  <c r="C57" i="44"/>
  <c r="C51" i="44"/>
  <c r="C59" i="44"/>
  <c r="C52" i="44"/>
  <c r="C60" i="44"/>
  <c r="C33" i="48"/>
  <c r="D32" i="48" s="1"/>
  <c r="C53" i="44"/>
  <c r="C58" i="44"/>
  <c r="C55" i="44"/>
  <c r="C50" i="44"/>
  <c r="C61" i="44"/>
  <c r="D8" i="48" l="1"/>
  <c r="D13" i="48"/>
  <c r="D12" i="48"/>
  <c r="D16" i="48"/>
  <c r="D7" i="48"/>
  <c r="D15" i="48"/>
  <c r="D11" i="48"/>
  <c r="D6" i="48"/>
  <c r="D10" i="48"/>
  <c r="C37" i="44"/>
  <c r="F33" i="44" s="1"/>
  <c r="D14" i="48"/>
  <c r="D24" i="48"/>
  <c r="F51" i="44"/>
  <c r="D23" i="48"/>
  <c r="D30" i="48"/>
  <c r="D28" i="48"/>
  <c r="D27" i="48"/>
  <c r="D31" i="48"/>
  <c r="C54" i="44"/>
  <c r="F50" i="44" s="1"/>
  <c r="D22" i="48"/>
  <c r="D21" i="48"/>
  <c r="D29" i="48"/>
  <c r="D26" i="48"/>
  <c r="F34" i="44"/>
  <c r="G6" i="48" l="1"/>
  <c r="D9" i="48"/>
  <c r="D17" i="48" s="1"/>
  <c r="G22" i="48"/>
  <c r="D25" i="48"/>
  <c r="G21" i="48" s="1"/>
  <c r="C45" i="44"/>
  <c r="C62" i="44"/>
  <c r="G5" i="48" l="1"/>
  <c r="D33" i="48"/>
  <c r="C20" i="6"/>
  <c r="K8" i="6" l="1"/>
  <c r="I8" i="6"/>
  <c r="E21" i="40" l="1"/>
  <c r="E20" i="40"/>
  <c r="E19" i="40"/>
  <c r="E18" i="40"/>
  <c r="E17" i="40"/>
  <c r="E16" i="40"/>
  <c r="E15" i="40"/>
  <c r="E14" i="40"/>
  <c r="E13" i="40"/>
  <c r="E12" i="40"/>
  <c r="E11" i="40"/>
  <c r="E10" i="40"/>
  <c r="E9" i="40"/>
  <c r="N64" i="21" l="1"/>
  <c r="O64" i="21"/>
</calcChain>
</file>

<file path=xl/sharedStrings.xml><?xml version="1.0" encoding="utf-8"?>
<sst xmlns="http://schemas.openxmlformats.org/spreadsheetml/2006/main" count="2687" uniqueCount="612">
  <si>
    <t>GWh</t>
  </si>
  <si>
    <t>Boletín mensual</t>
  </si>
  <si>
    <t>Hidráulica</t>
  </si>
  <si>
    <t>Nuclear</t>
  </si>
  <si>
    <t>Carbón</t>
  </si>
  <si>
    <t>Eólica</t>
  </si>
  <si>
    <t>Solar fotovoltaica</t>
  </si>
  <si>
    <t>Solar térmica</t>
  </si>
  <si>
    <t>Otras renovables</t>
  </si>
  <si>
    <t>Cogeneración</t>
  </si>
  <si>
    <t>Generación</t>
  </si>
  <si>
    <t>Ciclo combinado</t>
  </si>
  <si>
    <t>Consumos en bombeo</t>
  </si>
  <si>
    <t>Demanda (b.c.)</t>
  </si>
  <si>
    <t>%</t>
  </si>
  <si>
    <t>Total</t>
  </si>
  <si>
    <t>No renovables</t>
  </si>
  <si>
    <t>Renovables</t>
  </si>
  <si>
    <t>-</t>
  </si>
  <si>
    <t>Sin emisiones CO2 (GWh)</t>
  </si>
  <si>
    <t>Con emisiones CO2 (GWh)</t>
  </si>
  <si>
    <t>Máximo</t>
  </si>
  <si>
    <t>Generación eólica (GWh)</t>
  </si>
  <si>
    <t>Generación eólica/Generación (%)</t>
  </si>
  <si>
    <t>Generación eólica diaria peninsular</t>
  </si>
  <si>
    <t>Máximos de generación de energía eólica peninsular</t>
  </si>
  <si>
    <t>Energía producible hidráulica diaria comparada con el producible medio histórico</t>
  </si>
  <si>
    <t>Histórica</t>
  </si>
  <si>
    <t>Potencia (MW)</t>
  </si>
  <si>
    <t>Cobertura de la demanda (%)</t>
  </si>
  <si>
    <t>Mes</t>
  </si>
  <si>
    <t>Día</t>
  </si>
  <si>
    <t>Producible diario</t>
  </si>
  <si>
    <t>Producible medio</t>
  </si>
  <si>
    <t>Producible</t>
  </si>
  <si>
    <t xml:space="preserve">Capacidad </t>
  </si>
  <si>
    <t>Estadístico</t>
  </si>
  <si>
    <t>Reservas (GWh)</t>
  </si>
  <si>
    <t>máxima (GWh)</t>
  </si>
  <si>
    <t>Mínimo</t>
  </si>
  <si>
    <t>% Llenado</t>
  </si>
  <si>
    <t>Reservas hidroeléctricas</t>
  </si>
  <si>
    <t>Anual</t>
  </si>
  <si>
    <t>Hiperanual</t>
  </si>
  <si>
    <t>Conjunto</t>
  </si>
  <si>
    <t>Reservas</t>
  </si>
  <si>
    <t>Norte</t>
  </si>
  <si>
    <t>Duero</t>
  </si>
  <si>
    <t>Tajo + Júcar +Segura</t>
  </si>
  <si>
    <t>Guadiana</t>
  </si>
  <si>
    <t>Guadalquivir</t>
  </si>
  <si>
    <t>Ebro</t>
  </si>
  <si>
    <t>Total </t>
  </si>
  <si>
    <t>Capacidad</t>
  </si>
  <si>
    <r>
      <rPr>
        <vertAlign val="superscript"/>
        <sz val="8"/>
        <color rgb="FF004563"/>
        <rFont val="Arial"/>
        <family val="2"/>
      </rPr>
      <t>(1)</t>
    </r>
    <r>
      <rPr>
        <sz val="8"/>
        <color rgb="FF004563"/>
        <rFont val="Arial"/>
        <family val="2"/>
      </rPr>
      <t xml:space="preserve"> Asignación de unidades de producción según combustible principal.</t>
    </r>
  </si>
  <si>
    <t xml:space="preserve">Evolución de la generación renovable peninsular </t>
  </si>
  <si>
    <t>Estructura de potencia instalada mensual peninsular</t>
  </si>
  <si>
    <t>MW</t>
  </si>
  <si>
    <t>Estructura de potencia instalada peninsular</t>
  </si>
  <si>
    <t>Estructura de generacion mensual de energía eléctrica peninsular</t>
  </si>
  <si>
    <t>Estructura de generación mensual peninsular</t>
  </si>
  <si>
    <t xml:space="preserve">Evolución de la generación no renovable peninsular </t>
  </si>
  <si>
    <t>Evolución del peso de la generación renovable y no renovable peninsular</t>
  </si>
  <si>
    <r>
      <t>Evolución de la generación sin/con emisiones de CO</t>
    </r>
    <r>
      <rPr>
        <b/>
        <vertAlign val="subscript"/>
        <sz val="8"/>
        <color rgb="FF004563"/>
        <rFont val="Arial"/>
        <family val="2"/>
      </rPr>
      <t>2</t>
    </r>
    <r>
      <rPr>
        <b/>
        <sz val="8"/>
        <color rgb="FF004563"/>
        <rFont val="Arial"/>
        <family val="2"/>
      </rPr>
      <t xml:space="preserve"> peninsular</t>
    </r>
  </si>
  <si>
    <r>
      <t xml:space="preserve">Balance de energía eléctrica peninsular </t>
    </r>
    <r>
      <rPr>
        <b/>
        <vertAlign val="superscript"/>
        <sz val="8"/>
        <color rgb="FF004563"/>
        <rFont val="Arial"/>
        <family val="2"/>
      </rPr>
      <t>(1)</t>
    </r>
  </si>
  <si>
    <t>Acumulado anual</t>
  </si>
  <si>
    <t xml:space="preserve"> </t>
  </si>
  <si>
    <t xml:space="preserve">• </t>
  </si>
  <si>
    <r>
      <t xml:space="preserve">Generación horaria el día de máxima generación de energía eólica peninsular
</t>
    </r>
    <r>
      <rPr>
        <sz val="8"/>
        <color rgb="FF004563"/>
        <rFont val="Arial"/>
        <family val="2"/>
      </rPr>
      <t/>
    </r>
  </si>
  <si>
    <t>Producción</t>
  </si>
  <si>
    <t>Media estadística (GWh)</t>
  </si>
  <si>
    <t>Residuos renovables</t>
  </si>
  <si>
    <t>Residuos no renovables</t>
  </si>
  <si>
    <r>
      <t xml:space="preserve">Año móvil </t>
    </r>
    <r>
      <rPr>
        <b/>
        <vertAlign val="superscript"/>
        <sz val="8"/>
        <color indexed="9"/>
        <rFont val="Geneva"/>
      </rPr>
      <t>(2)</t>
    </r>
  </si>
  <si>
    <r>
      <rPr>
        <vertAlign val="superscript"/>
        <sz val="8"/>
        <color rgb="FF004563"/>
        <rFont val="Arial"/>
        <family val="2"/>
      </rPr>
      <t>(2)</t>
    </r>
    <r>
      <rPr>
        <sz val="8"/>
        <color rgb="FF004563"/>
        <rFont val="Arial"/>
        <family val="2"/>
      </rPr>
      <t xml:space="preserve"> Año móvil: valor acumulado en los últimos 365 días o 366 días en años bisiestos.</t>
    </r>
  </si>
  <si>
    <t xml:space="preserve">Estructura de generación diaria del día de máxima generación de energía renovable peninsular
</t>
  </si>
  <si>
    <r>
      <rPr>
        <vertAlign val="superscript"/>
        <sz val="8"/>
        <color rgb="FF004563"/>
        <rFont val="Arial"/>
        <family val="2"/>
      </rPr>
      <t>(6)</t>
    </r>
    <r>
      <rPr>
        <sz val="8"/>
        <color rgb="FF004563"/>
        <rFont val="Arial"/>
        <family val="2"/>
      </rPr>
      <t xml:space="preserve"> Valor positivo: entrada de energía en el sistema; valor negativo: salida de energía del sistema.</t>
    </r>
  </si>
  <si>
    <r>
      <t xml:space="preserve">Enlace Península-Baleares </t>
    </r>
    <r>
      <rPr>
        <vertAlign val="superscript"/>
        <sz val="8"/>
        <color rgb="FF004563"/>
        <rFont val="Arial"/>
        <family val="2"/>
      </rPr>
      <t>(6)</t>
    </r>
  </si>
  <si>
    <r>
      <t xml:space="preserve">Saldo intercambios internacionales </t>
    </r>
    <r>
      <rPr>
        <vertAlign val="superscript"/>
        <sz val="8"/>
        <color rgb="FF004563"/>
        <rFont val="Arial"/>
        <family val="2"/>
      </rPr>
      <t>(7)</t>
    </r>
  </si>
  <si>
    <t>Reservas hidroeléctricas a finales de mes por cuencas hidrográficas</t>
  </si>
  <si>
    <t>Balance de energía eléctrica peninsular</t>
  </si>
  <si>
    <r>
      <rPr>
        <vertAlign val="superscript"/>
        <sz val="8"/>
        <color rgb="FF004563"/>
        <rFont val="Arial"/>
        <family val="2"/>
      </rPr>
      <t>(7)</t>
    </r>
    <r>
      <rPr>
        <sz val="8"/>
        <color rgb="FF004563"/>
        <rFont val="Arial"/>
        <family val="2"/>
      </rPr>
      <t xml:space="preserve"> Valor positivo: saldo importador; valor negativo: saldo exportador. Los valores de incrementos no se calculan cuando los saldos de intercambios tienen distinto signo.</t>
    </r>
  </si>
  <si>
    <t>Potencia</t>
  </si>
  <si>
    <t>Turbinación bombeo</t>
  </si>
  <si>
    <t xml:space="preserve">Residuos renovables </t>
  </si>
  <si>
    <r>
      <t xml:space="preserve">Turbinación bombeo </t>
    </r>
    <r>
      <rPr>
        <vertAlign val="superscript"/>
        <sz val="8"/>
        <color rgb="FF004563"/>
        <rFont val="Arial"/>
        <family val="2"/>
      </rPr>
      <t>(3)</t>
    </r>
  </si>
  <si>
    <r>
      <t xml:space="preserve">Ciclo combinado </t>
    </r>
    <r>
      <rPr>
        <vertAlign val="superscript"/>
        <sz val="8"/>
        <color rgb="FF004563"/>
        <rFont val="Arial"/>
        <family val="2"/>
      </rPr>
      <t>(4)</t>
    </r>
  </si>
  <si>
    <r>
      <t xml:space="preserve">Otras renovables </t>
    </r>
    <r>
      <rPr>
        <vertAlign val="superscript"/>
        <sz val="8"/>
        <color rgb="FF004563"/>
        <rFont val="Arial"/>
        <family val="2"/>
      </rPr>
      <t>(5)</t>
    </r>
  </si>
  <si>
    <t>Nota: Todos los porcentajes de variación están refereridos al mismo período del año anterior.</t>
  </si>
  <si>
    <r>
      <rPr>
        <vertAlign val="superscript"/>
        <sz val="8"/>
        <color rgb="FF004563"/>
        <rFont val="Arial"/>
        <family val="2"/>
      </rPr>
      <t>(3)</t>
    </r>
    <r>
      <rPr>
        <sz val="8"/>
        <color rgb="FF004563"/>
        <rFont val="Arial"/>
        <family val="2"/>
      </rPr>
      <t xml:space="preserve"> Turbinación de bombeo puro + estimación de turbinación de bombeo mixto.</t>
    </r>
  </si>
  <si>
    <r>
      <rPr>
        <vertAlign val="superscript"/>
        <sz val="8"/>
        <color rgb="FF004563"/>
        <rFont val="Arial"/>
        <family val="2"/>
      </rPr>
      <t>(4)</t>
    </r>
    <r>
      <rPr>
        <sz val="8"/>
        <color rgb="FF004563"/>
        <rFont val="Arial"/>
        <family val="2"/>
      </rPr>
      <t xml:space="preserve"> Incluye funcionamiento en ciclo abierto</t>
    </r>
  </si>
  <si>
    <r>
      <rPr>
        <vertAlign val="superscript"/>
        <sz val="8"/>
        <color rgb="FF004563"/>
        <rFont val="Arial"/>
        <family val="2"/>
      </rPr>
      <t>(5)</t>
    </r>
    <r>
      <rPr>
        <sz val="8"/>
        <color rgb="FF004563"/>
        <rFont val="Arial"/>
        <family val="2"/>
      </rPr>
      <t xml:space="preserve"> Incluye biogás, biomasa, hidráulica marina y geotérmica.</t>
    </r>
  </si>
  <si>
    <t>Renovables: hidráulica, eólica, solar fotovoltaica, solar térmica, otras renovables y residuos renovables.</t>
  </si>
  <si>
    <t>No renovables: turbinación bombeo, nuclear, carbón, fuel/gas, ciclo combinado, cogeneración y residuos no renovables.</t>
  </si>
  <si>
    <t>Jueves 29/01/2015 (19:27 h)</t>
  </si>
  <si>
    <t>Sábado 21/11/2015 (04:50 h)</t>
  </si>
  <si>
    <t>Febrero 2018</t>
  </si>
  <si>
    <t>F</t>
  </si>
  <si>
    <t>M</t>
  </si>
  <si>
    <t>A</t>
  </si>
  <si>
    <t>J</t>
  </si>
  <si>
    <t>S</t>
  </si>
  <si>
    <t>O</t>
  </si>
  <si>
    <t>N</t>
  </si>
  <si>
    <t>D</t>
  </si>
  <si>
    <t>E</t>
  </si>
  <si>
    <t>Fuel+Gas</t>
  </si>
  <si>
    <t>Total generación</t>
  </si>
  <si>
    <t>Enlace Península-Baleares</t>
  </si>
  <si>
    <t>Península</t>
  </si>
  <si>
    <t>Mes (MWh)</t>
  </si>
  <si>
    <t>% Incr. Mes</t>
  </si>
  <si>
    <t>Año (MWh)</t>
  </si>
  <si>
    <t>% Incr. Año</t>
  </si>
  <si>
    <t>Año móvil (MWh)</t>
  </si>
  <si>
    <t>% Incr. Año móvil</t>
  </si>
  <si>
    <t>Sistema Eléctrico</t>
  </si>
  <si>
    <t>Indicadores</t>
  </si>
  <si>
    <t>Balance</t>
  </si>
  <si>
    <t>Último día mes</t>
  </si>
  <si>
    <t>Potencia UFI (MW)</t>
  </si>
  <si>
    <t>Demanda B.C. (GWh)</t>
  </si>
  <si>
    <t>Balance Máx.Renov.Mes</t>
  </si>
  <si>
    <t>Balance Máx.Renov.Histórico</t>
  </si>
  <si>
    <t>Mayo 2017</t>
  </si>
  <si>
    <t>Junio 2017</t>
  </si>
  <si>
    <t>Julio 2017</t>
  </si>
  <si>
    <t>Agosto 2017</t>
  </si>
  <si>
    <t>Septiembre 2017</t>
  </si>
  <si>
    <t>Octubre 2017</t>
  </si>
  <si>
    <t>Noviembre 2017</t>
  </si>
  <si>
    <t>Diciembre 2017</t>
  </si>
  <si>
    <t>Enero 2018</t>
  </si>
  <si>
    <t>Últimos 13 meses</t>
  </si>
  <si>
    <t>Sin emisiones CO2 (%)</t>
  </si>
  <si>
    <t>Con emisiones CO2 (%)</t>
  </si>
  <si>
    <t>Renovables (GWh)</t>
  </si>
  <si>
    <t>No renovables (GWh)</t>
  </si>
  <si>
    <t>Renovables (%)</t>
  </si>
  <si>
    <t>No renovables (%)</t>
  </si>
  <si>
    <t>Demanda B.C. (MWh)</t>
  </si>
  <si>
    <t>Hora</t>
  </si>
  <si>
    <t>Demanda B.C. Horaria (GWh)</t>
  </si>
  <si>
    <t>Abril 2018</t>
  </si>
  <si>
    <t>Marzo 2018</t>
  </si>
  <si>
    <t>20/03/2018</t>
  </si>
  <si>
    <t>Consumo de bombeo</t>
  </si>
  <si>
    <t>Saldos intercambios internacionales</t>
  </si>
  <si>
    <t>Demanda transporte (b.c.)</t>
  </si>
  <si>
    <t>Mayo 2018</t>
  </si>
  <si>
    <t>Junio 2018</t>
  </si>
  <si>
    <t>Julio 2018</t>
  </si>
  <si>
    <t>Agosto 2018</t>
  </si>
  <si>
    <t>Generación eólica / total generación (%)</t>
  </si>
  <si>
    <t>Calculadas pdte BDE</t>
  </si>
  <si>
    <t>Sin emisiones CO2: hidráulica, turbinación bombeo, nuclear, eólica, solar fotovoltaica, solar térmica, otras renovables y residuos renovables.</t>
  </si>
  <si>
    <t>Con emisiones CO2: carbón, fuel/gas, ciclo combinado, cogeneración y residuos no renovables.</t>
  </si>
  <si>
    <t>Estructura de generacion mensual de energía eléctrica peninsular 20/03/2018</t>
  </si>
  <si>
    <t>Fuel-Gas</t>
  </si>
  <si>
    <t>Ciclo Combinado</t>
  </si>
  <si>
    <t>Solar Fotovoltaica</t>
  </si>
  <si>
    <t>Solar Térmica</t>
  </si>
  <si>
    <t>Residuos No Renovables</t>
  </si>
  <si>
    <t>Residuos Renovables</t>
  </si>
  <si>
    <t>Otras Renovables</t>
  </si>
  <si>
    <t>Generación Neta</t>
  </si>
  <si>
    <t>Consumos Bombeo</t>
  </si>
  <si>
    <t>E. Peninsula Baleares</t>
  </si>
  <si>
    <t>Saldo Interc. Internacionales</t>
  </si>
  <si>
    <t>Demanda Transporte</t>
  </si>
  <si>
    <t>Evolución de la generación sin/con emisiones de CO2 peninsular</t>
  </si>
  <si>
    <t>Sin emisiones CO2: hidráulica, turbinación bombeo, nuclear, eólica, solar fotovoltaica, solar térmica y otras renovables.</t>
  </si>
  <si>
    <t>Con emisiones CO2: carbón, fuel/gas, ciclo combinado, cogeneración y residuos.</t>
  </si>
  <si>
    <t xml:space="preserve">Evolución de la generación renovable y no renovable peninsular </t>
  </si>
  <si>
    <t>Fecha</t>
  </si>
  <si>
    <t>Dia</t>
  </si>
  <si>
    <t>Maximo</t>
  </si>
  <si>
    <t>Generación horaria el día de máxima generación de energía eólica peninsular</t>
  </si>
  <si>
    <t>2017 Agosto</t>
  </si>
  <si>
    <t>Día 01/08/2017</t>
  </si>
  <si>
    <t>Día 02/08/2017</t>
  </si>
  <si>
    <t>Día 03/08/2017</t>
  </si>
  <si>
    <t>Día 04/08/2017</t>
  </si>
  <si>
    <t>Día 05/08/2017</t>
  </si>
  <si>
    <t>Día 06/08/2017</t>
  </si>
  <si>
    <t>Día 07/08/2017</t>
  </si>
  <si>
    <t>Día 08/08/2017</t>
  </si>
  <si>
    <t>Día 09/08/2017</t>
  </si>
  <si>
    <t>Día 10/08/2017</t>
  </si>
  <si>
    <t>Día 11/08/2017</t>
  </si>
  <si>
    <t>Día 12/08/2017</t>
  </si>
  <si>
    <t>Día 13/08/2017</t>
  </si>
  <si>
    <t>Día 14/08/2017</t>
  </si>
  <si>
    <t>Día 15/08/2017</t>
  </si>
  <si>
    <t>Día 16/08/2017</t>
  </si>
  <si>
    <t>Día 17/08/2017</t>
  </si>
  <si>
    <t>Día 18/08/2017</t>
  </si>
  <si>
    <t>Día 19/08/2017</t>
  </si>
  <si>
    <t>Día 20/08/2017</t>
  </si>
  <si>
    <t>Día 21/08/2017</t>
  </si>
  <si>
    <t>Día 22/08/2017</t>
  </si>
  <si>
    <t>Día 23/08/2017</t>
  </si>
  <si>
    <t>Día 24/08/2017</t>
  </si>
  <si>
    <t>Día 25/08/2017</t>
  </si>
  <si>
    <t>Día 26/08/2017</t>
  </si>
  <si>
    <t>Día 27/08/2017</t>
  </si>
  <si>
    <t>Día 28/08/2017</t>
  </si>
  <si>
    <t>Día 29/08/2017</t>
  </si>
  <si>
    <t>Día 30/08/2017</t>
  </si>
  <si>
    <t>Día 31/08/2017</t>
  </si>
  <si>
    <t>2017 Septiembre</t>
  </si>
  <si>
    <t>Día 01/09/2017</t>
  </si>
  <si>
    <t>Día 02/09/2017</t>
  </si>
  <si>
    <t>Día 03/09/2017</t>
  </si>
  <si>
    <t>Día 04/09/2017</t>
  </si>
  <si>
    <t>Día 05/09/2017</t>
  </si>
  <si>
    <t>Día 06/09/2017</t>
  </si>
  <si>
    <t>Día 07/09/2017</t>
  </si>
  <si>
    <t>Día 08/09/2017</t>
  </si>
  <si>
    <t>Día 09/09/2017</t>
  </si>
  <si>
    <t>Día 10/09/2017</t>
  </si>
  <si>
    <t>Día 11/09/2017</t>
  </si>
  <si>
    <t>Día 12/09/2017</t>
  </si>
  <si>
    <t>Día 13/09/2017</t>
  </si>
  <si>
    <t>Día 14/09/2017</t>
  </si>
  <si>
    <t>Día 15/09/2017</t>
  </si>
  <si>
    <t>Día 16/09/2017</t>
  </si>
  <si>
    <t>Día 17/09/2017</t>
  </si>
  <si>
    <t>Día 18/09/2017</t>
  </si>
  <si>
    <t>Día 19/09/2017</t>
  </si>
  <si>
    <t>Día 20/09/2017</t>
  </si>
  <si>
    <t>Día 21/09/2017</t>
  </si>
  <si>
    <t>Día 22/09/2017</t>
  </si>
  <si>
    <t>Día 23/09/2017</t>
  </si>
  <si>
    <t>Día 24/09/2017</t>
  </si>
  <si>
    <t>Día 25/09/2017</t>
  </si>
  <si>
    <t>Día 26/09/2017</t>
  </si>
  <si>
    <t>Día 27/09/2017</t>
  </si>
  <si>
    <t>Día 28/09/2017</t>
  </si>
  <si>
    <t>Día 29/09/2017</t>
  </si>
  <si>
    <t>Día 30/09/2017</t>
  </si>
  <si>
    <t>2017 Octubre</t>
  </si>
  <si>
    <t>Día 01/10/2017</t>
  </si>
  <si>
    <t>Día 02/10/2017</t>
  </si>
  <si>
    <t>Día 03/10/2017</t>
  </si>
  <si>
    <t>Día 04/10/2017</t>
  </si>
  <si>
    <t>Día 05/10/2017</t>
  </si>
  <si>
    <t>Día 06/10/2017</t>
  </si>
  <si>
    <t>Día 07/10/2017</t>
  </si>
  <si>
    <t>Día 08/10/2017</t>
  </si>
  <si>
    <t>Día 09/10/2017</t>
  </si>
  <si>
    <t>Día 10/10/2017</t>
  </si>
  <si>
    <t>Día 11/10/2017</t>
  </si>
  <si>
    <t>Día 12/10/2017</t>
  </si>
  <si>
    <t>Día 13/10/2017</t>
  </si>
  <si>
    <t>Día 14/10/2017</t>
  </si>
  <si>
    <t>Día 15/10/2017</t>
  </si>
  <si>
    <t>Día 16/10/2017</t>
  </si>
  <si>
    <t>Día 17/10/2017</t>
  </si>
  <si>
    <t>Día 18/10/2017</t>
  </si>
  <si>
    <t>Día 19/10/2017</t>
  </si>
  <si>
    <t>Día 20/10/2017</t>
  </si>
  <si>
    <t>Día 21/10/2017</t>
  </si>
  <si>
    <t>Día 22/10/2017</t>
  </si>
  <si>
    <t>Día 23/10/2017</t>
  </si>
  <si>
    <t>Día 24/10/2017</t>
  </si>
  <si>
    <t>Día 25/10/2017</t>
  </si>
  <si>
    <t>Día 26/10/2017</t>
  </si>
  <si>
    <t>Día 27/10/2017</t>
  </si>
  <si>
    <t>Día 28/10/2017</t>
  </si>
  <si>
    <t>Día 29/10/2017</t>
  </si>
  <si>
    <t>Día 30/10/2017</t>
  </si>
  <si>
    <t>Día 31/10/2017</t>
  </si>
  <si>
    <t>2017 Noviembre</t>
  </si>
  <si>
    <t>Día 01/11/2017</t>
  </si>
  <si>
    <t>Día 02/11/2017</t>
  </si>
  <si>
    <t>Día 03/11/2017</t>
  </si>
  <si>
    <t>Día 04/11/2017</t>
  </si>
  <si>
    <t>Día 05/11/2017</t>
  </si>
  <si>
    <t>Día 06/11/2017</t>
  </si>
  <si>
    <t>Día 07/11/2017</t>
  </si>
  <si>
    <t>Día 08/11/2017</t>
  </si>
  <si>
    <t>Día 09/11/2017</t>
  </si>
  <si>
    <t>Día 10/11/2017</t>
  </si>
  <si>
    <t>Día 11/11/2017</t>
  </si>
  <si>
    <t>Día 12/11/2017</t>
  </si>
  <si>
    <t>Día 13/11/2017</t>
  </si>
  <si>
    <t>Día 14/11/2017</t>
  </si>
  <si>
    <t>Día 15/11/2017</t>
  </si>
  <si>
    <t>Día 16/11/2017</t>
  </si>
  <si>
    <t>Día 17/11/2017</t>
  </si>
  <si>
    <t>Día 18/11/2017</t>
  </si>
  <si>
    <t>Día 19/11/2017</t>
  </si>
  <si>
    <t>Día 20/11/2017</t>
  </si>
  <si>
    <t>Día 21/11/2017</t>
  </si>
  <si>
    <t>Día 22/11/2017</t>
  </si>
  <si>
    <t>Día 23/11/2017</t>
  </si>
  <si>
    <t>Día 24/11/2017</t>
  </si>
  <si>
    <t>Día 25/11/2017</t>
  </si>
  <si>
    <t>Día 26/11/2017</t>
  </si>
  <si>
    <t>Día 27/11/2017</t>
  </si>
  <si>
    <t>Día 28/11/2017</t>
  </si>
  <si>
    <t>Día 29/11/2017</t>
  </si>
  <si>
    <t>Día 30/11/2017</t>
  </si>
  <si>
    <t>2017 Diciembre</t>
  </si>
  <si>
    <t>Día 01/12/2017</t>
  </si>
  <si>
    <t>Día 02/12/2017</t>
  </si>
  <si>
    <t>Día 03/12/2017</t>
  </si>
  <si>
    <t>Día 04/12/2017</t>
  </si>
  <si>
    <t>Día 05/12/2017</t>
  </si>
  <si>
    <t>Día 06/12/2017</t>
  </si>
  <si>
    <t>Día 07/12/2017</t>
  </si>
  <si>
    <t>Día 08/12/2017</t>
  </si>
  <si>
    <t>Día 09/12/2017</t>
  </si>
  <si>
    <t>Día 10/12/2017</t>
  </si>
  <si>
    <t>Día 11/12/2017</t>
  </si>
  <si>
    <t>Día 12/12/2017</t>
  </si>
  <si>
    <t>Día 13/12/2017</t>
  </si>
  <si>
    <t>Día 14/12/2017</t>
  </si>
  <si>
    <t>Día 15/12/2017</t>
  </si>
  <si>
    <t>Día 16/12/2017</t>
  </si>
  <si>
    <t>Día 17/12/2017</t>
  </si>
  <si>
    <t>Día 18/12/2017</t>
  </si>
  <si>
    <t>Día 19/12/2017</t>
  </si>
  <si>
    <t>Día 20/12/2017</t>
  </si>
  <si>
    <t>Día 21/12/2017</t>
  </si>
  <si>
    <t>Día 22/12/2017</t>
  </si>
  <si>
    <t>Día 23/12/2017</t>
  </si>
  <si>
    <t>Día 24/12/2017</t>
  </si>
  <si>
    <t>Día 25/12/2017</t>
  </si>
  <si>
    <t>Día 26/12/2017</t>
  </si>
  <si>
    <t>Día 27/12/2017</t>
  </si>
  <si>
    <t>Día 28/12/2017</t>
  </si>
  <si>
    <t>Día 29/12/2017</t>
  </si>
  <si>
    <t>Día 30/12/2017</t>
  </si>
  <si>
    <t>Día 31/12/2017</t>
  </si>
  <si>
    <t>2018 Enero</t>
  </si>
  <si>
    <t>Día 01/01/2018</t>
  </si>
  <si>
    <t>Día 02/01/2018</t>
  </si>
  <si>
    <t>Día 03/01/2018</t>
  </si>
  <si>
    <t>Día 04/01/2018</t>
  </si>
  <si>
    <t>Día 05/01/2018</t>
  </si>
  <si>
    <t>Día 06/01/2018</t>
  </si>
  <si>
    <t>Día 07/01/2018</t>
  </si>
  <si>
    <t>Día 08/01/2018</t>
  </si>
  <si>
    <t>Día 09/01/2018</t>
  </si>
  <si>
    <t>Día 10/01/2018</t>
  </si>
  <si>
    <t>Día 11/01/2018</t>
  </si>
  <si>
    <t>Día 12/01/2018</t>
  </si>
  <si>
    <t>Día 13/01/2018</t>
  </si>
  <si>
    <t>Día 14/01/2018</t>
  </si>
  <si>
    <t>Día 15/01/2018</t>
  </si>
  <si>
    <t>Día 16/01/2018</t>
  </si>
  <si>
    <t>Día 17/01/2018</t>
  </si>
  <si>
    <t>Día 18/01/2018</t>
  </si>
  <si>
    <t>Día 19/01/2018</t>
  </si>
  <si>
    <t>Día 20/01/2018</t>
  </si>
  <si>
    <t>Día 21/01/2018</t>
  </si>
  <si>
    <t>Día 22/01/2018</t>
  </si>
  <si>
    <t>Día 23/01/2018</t>
  </si>
  <si>
    <t>Día 24/01/2018</t>
  </si>
  <si>
    <t>Día 25/01/2018</t>
  </si>
  <si>
    <t>Día 26/01/2018</t>
  </si>
  <si>
    <t>Día 27/01/2018</t>
  </si>
  <si>
    <t>Día 28/01/2018</t>
  </si>
  <si>
    <t>Día 29/01/2018</t>
  </si>
  <si>
    <t>Día 30/01/2018</t>
  </si>
  <si>
    <t>Día 31/01/2018</t>
  </si>
  <si>
    <t>2018 Febrero</t>
  </si>
  <si>
    <t>Día 01/02/2018</t>
  </si>
  <si>
    <t>Día 02/02/2018</t>
  </si>
  <si>
    <t>Día 03/02/2018</t>
  </si>
  <si>
    <t>Día 04/02/2018</t>
  </si>
  <si>
    <t>Día 05/02/2018</t>
  </si>
  <si>
    <t>Día 06/02/2018</t>
  </si>
  <si>
    <t>Día 07/02/2018</t>
  </si>
  <si>
    <t>Día 08/02/2018</t>
  </si>
  <si>
    <t>Día 09/02/2018</t>
  </si>
  <si>
    <t>Día 10/02/2018</t>
  </si>
  <si>
    <t>Día 11/02/2018</t>
  </si>
  <si>
    <t>Día 12/02/2018</t>
  </si>
  <si>
    <t>Día 13/02/2018</t>
  </si>
  <si>
    <t>Día 14/02/2018</t>
  </si>
  <si>
    <t>Día 15/02/2018</t>
  </si>
  <si>
    <t>Día 16/02/2018</t>
  </si>
  <si>
    <t>Día 17/02/2018</t>
  </si>
  <si>
    <t>Día 18/02/2018</t>
  </si>
  <si>
    <t>Día 19/02/2018</t>
  </si>
  <si>
    <t>Día 20/02/2018</t>
  </si>
  <si>
    <t>Día 21/02/2018</t>
  </si>
  <si>
    <t>Día 22/02/2018</t>
  </si>
  <si>
    <t>Día 23/02/2018</t>
  </si>
  <si>
    <t>Día 24/02/2018</t>
  </si>
  <si>
    <t>Día 25/02/2018</t>
  </si>
  <si>
    <t>Día 26/02/2018</t>
  </si>
  <si>
    <t>Día 27/02/2018</t>
  </si>
  <si>
    <t>Día 28/02/2018</t>
  </si>
  <si>
    <t>2018 Marzo</t>
  </si>
  <si>
    <t>Día 01/03/2018</t>
  </si>
  <si>
    <t>Día 02/03/2018</t>
  </si>
  <si>
    <t>Día 03/03/2018</t>
  </si>
  <si>
    <t>Día 04/03/2018</t>
  </si>
  <si>
    <t>Día 05/03/2018</t>
  </si>
  <si>
    <t>Día 06/03/2018</t>
  </si>
  <si>
    <t>Día 07/03/2018</t>
  </si>
  <si>
    <t>Día 08/03/2018</t>
  </si>
  <si>
    <t>Día 09/03/2018</t>
  </si>
  <si>
    <t>Día 10/03/2018</t>
  </si>
  <si>
    <t>Día 11/03/2018</t>
  </si>
  <si>
    <t>Día 12/03/2018</t>
  </si>
  <si>
    <t>Día 13/03/2018</t>
  </si>
  <si>
    <t>Día 14/03/2018</t>
  </si>
  <si>
    <t>Día 15/03/2018</t>
  </si>
  <si>
    <t>Día 16/03/2018</t>
  </si>
  <si>
    <t>Día 17/03/2018</t>
  </si>
  <si>
    <t>Día 18/03/2018</t>
  </si>
  <si>
    <t>Día 19/03/2018</t>
  </si>
  <si>
    <t>Día 20/03/2018</t>
  </si>
  <si>
    <t>Día 21/03/2018</t>
  </si>
  <si>
    <t>Día 22/03/2018</t>
  </si>
  <si>
    <t>Día 23/03/2018</t>
  </si>
  <si>
    <t>Día 24/03/2018</t>
  </si>
  <si>
    <t>Día 25/03/2018</t>
  </si>
  <si>
    <t>Día 26/03/2018</t>
  </si>
  <si>
    <t>Día 27/03/2018</t>
  </si>
  <si>
    <t>Día 28/03/2018</t>
  </si>
  <si>
    <t>Día 29/03/2018</t>
  </si>
  <si>
    <t>Día 30/03/2018</t>
  </si>
  <si>
    <t>Día 31/03/2018</t>
  </si>
  <si>
    <t>2018 Abril</t>
  </si>
  <si>
    <t>Día 01/04/2018</t>
  </si>
  <si>
    <t>Día 02/04/2018</t>
  </si>
  <si>
    <t>Día 03/04/2018</t>
  </si>
  <si>
    <t>Día 04/04/2018</t>
  </si>
  <si>
    <t>Día 05/04/2018</t>
  </si>
  <si>
    <t>Día 06/04/2018</t>
  </si>
  <si>
    <t>Día 07/04/2018</t>
  </si>
  <si>
    <t>Día 08/04/2018</t>
  </si>
  <si>
    <t>Día 09/04/2018</t>
  </si>
  <si>
    <t>Día 10/04/2018</t>
  </si>
  <si>
    <t>Día 11/04/2018</t>
  </si>
  <si>
    <t>Día 12/04/2018</t>
  </si>
  <si>
    <t>Día 13/04/2018</t>
  </si>
  <si>
    <t>Día 14/04/2018</t>
  </si>
  <si>
    <t>Día 15/04/2018</t>
  </si>
  <si>
    <t>Día 16/04/2018</t>
  </si>
  <si>
    <t>Día 17/04/2018</t>
  </si>
  <si>
    <t>Día 18/04/2018</t>
  </si>
  <si>
    <t>Día 19/04/2018</t>
  </si>
  <si>
    <t>Día 20/04/2018</t>
  </si>
  <si>
    <t>Día 21/04/2018</t>
  </si>
  <si>
    <t>Día 22/04/2018</t>
  </si>
  <si>
    <t>Día 23/04/2018</t>
  </si>
  <si>
    <t>Día 24/04/2018</t>
  </si>
  <si>
    <t>Día 25/04/2018</t>
  </si>
  <si>
    <t>Día 26/04/2018</t>
  </si>
  <si>
    <t>Día 27/04/2018</t>
  </si>
  <si>
    <t>Día 28/04/2018</t>
  </si>
  <si>
    <t>Día 29/04/2018</t>
  </si>
  <si>
    <t>Día 30/04/2018</t>
  </si>
  <si>
    <t>2018 Mayo</t>
  </si>
  <si>
    <t>Día 01/05/2018</t>
  </si>
  <si>
    <t>Día 02/05/2018</t>
  </si>
  <si>
    <t>Día 03/05/2018</t>
  </si>
  <si>
    <t>Día 04/05/2018</t>
  </si>
  <si>
    <t>Día 05/05/2018</t>
  </si>
  <si>
    <t>Día 06/05/2018</t>
  </si>
  <si>
    <t>Día 07/05/2018</t>
  </si>
  <si>
    <t>Día 08/05/2018</t>
  </si>
  <si>
    <t>Día 09/05/2018</t>
  </si>
  <si>
    <t>Día 10/05/2018</t>
  </si>
  <si>
    <t>Día 11/05/2018</t>
  </si>
  <si>
    <t>Día 12/05/2018</t>
  </si>
  <si>
    <t>Día 13/05/2018</t>
  </si>
  <si>
    <t>Día 14/05/2018</t>
  </si>
  <si>
    <t>Día 15/05/2018</t>
  </si>
  <si>
    <t>Día 16/05/2018</t>
  </si>
  <si>
    <t>Día 17/05/2018</t>
  </si>
  <si>
    <t>Día 18/05/2018</t>
  </si>
  <si>
    <t>Día 19/05/2018</t>
  </si>
  <si>
    <t>Día 20/05/2018</t>
  </si>
  <si>
    <t>Día 21/05/2018</t>
  </si>
  <si>
    <t>Día 22/05/2018</t>
  </si>
  <si>
    <t>Día 23/05/2018</t>
  </si>
  <si>
    <t>Día 24/05/2018</t>
  </si>
  <si>
    <t>Día 25/05/2018</t>
  </si>
  <si>
    <t>Día 26/05/2018</t>
  </si>
  <si>
    <t>Día 27/05/2018</t>
  </si>
  <si>
    <t>Día 28/05/2018</t>
  </si>
  <si>
    <t>Día 29/05/2018</t>
  </si>
  <si>
    <t>Día 30/05/2018</t>
  </si>
  <si>
    <t>Día 31/05/2018</t>
  </si>
  <si>
    <t>2018 Junio</t>
  </si>
  <si>
    <t>Día 01/06/2018</t>
  </si>
  <si>
    <t>Día 02/06/2018</t>
  </si>
  <si>
    <t>Día 03/06/2018</t>
  </si>
  <si>
    <t>Día 04/06/2018</t>
  </si>
  <si>
    <t>Día 05/06/2018</t>
  </si>
  <si>
    <t>Día 06/06/2018</t>
  </si>
  <si>
    <t>Día 07/06/2018</t>
  </si>
  <si>
    <t>Día 08/06/2018</t>
  </si>
  <si>
    <t>Día 09/06/2018</t>
  </si>
  <si>
    <t>Día 10/06/2018</t>
  </si>
  <si>
    <t>Día 11/06/2018</t>
  </si>
  <si>
    <t>Día 12/06/2018</t>
  </si>
  <si>
    <t>Día 13/06/2018</t>
  </si>
  <si>
    <t>Día 14/06/2018</t>
  </si>
  <si>
    <t>Día 15/06/2018</t>
  </si>
  <si>
    <t>Día 16/06/2018</t>
  </si>
  <si>
    <t>Día 17/06/2018</t>
  </si>
  <si>
    <t>Día 18/06/2018</t>
  </si>
  <si>
    <t>Día 19/06/2018</t>
  </si>
  <si>
    <t>Día 20/06/2018</t>
  </si>
  <si>
    <t>Día 21/06/2018</t>
  </si>
  <si>
    <t>Día 22/06/2018</t>
  </si>
  <si>
    <t>Día 23/06/2018</t>
  </si>
  <si>
    <t>Día 24/06/2018</t>
  </si>
  <si>
    <t>Día 25/06/2018</t>
  </si>
  <si>
    <t>Día 26/06/2018</t>
  </si>
  <si>
    <t>Día 27/06/2018</t>
  </si>
  <si>
    <t>Día 28/06/2018</t>
  </si>
  <si>
    <t>Día 29/06/2018</t>
  </si>
  <si>
    <t>Día 30/06/2018</t>
  </si>
  <si>
    <t>2018 Julio</t>
  </si>
  <si>
    <t>Día 01/07/2018</t>
  </si>
  <si>
    <t>Día 02/07/2018</t>
  </si>
  <si>
    <t>Día 03/07/2018</t>
  </si>
  <si>
    <t>Día 04/07/2018</t>
  </si>
  <si>
    <t>Día 05/07/2018</t>
  </si>
  <si>
    <t>Día 06/07/2018</t>
  </si>
  <si>
    <t>Día 07/07/2018</t>
  </si>
  <si>
    <t>Día 08/07/2018</t>
  </si>
  <si>
    <t>Día 09/07/2018</t>
  </si>
  <si>
    <t>Día 10/07/2018</t>
  </si>
  <si>
    <t>Día 11/07/2018</t>
  </si>
  <si>
    <t>Día 12/07/2018</t>
  </si>
  <si>
    <t>Día 13/07/2018</t>
  </si>
  <si>
    <t>Día 14/07/2018</t>
  </si>
  <si>
    <t>Día 15/07/2018</t>
  </si>
  <si>
    <t>Día 16/07/2018</t>
  </si>
  <si>
    <t>Día 17/07/2018</t>
  </si>
  <si>
    <t>Día 18/07/2018</t>
  </si>
  <si>
    <t>Día 19/07/2018</t>
  </si>
  <si>
    <t>Día 20/07/2018</t>
  </si>
  <si>
    <t>Día 21/07/2018</t>
  </si>
  <si>
    <t>Día 22/07/2018</t>
  </si>
  <si>
    <t>Día 23/07/2018</t>
  </si>
  <si>
    <t>Día 24/07/2018</t>
  </si>
  <si>
    <t>Día 25/07/2018</t>
  </si>
  <si>
    <t>Día 26/07/2018</t>
  </si>
  <si>
    <t>Día 27/07/2018</t>
  </si>
  <si>
    <t>Día 28/07/2018</t>
  </si>
  <si>
    <t>Día 29/07/2018</t>
  </si>
  <si>
    <t>Día 30/07/2018</t>
  </si>
  <si>
    <t>Día 31/07/2018</t>
  </si>
  <si>
    <t>Estructura de generacion mensual de energía eléctrica peninsular 18/08/2018</t>
  </si>
  <si>
    <t>2018 Agosto</t>
  </si>
  <si>
    <t>Día 01/08/2018</t>
  </si>
  <si>
    <t>Día 02/08/2018</t>
  </si>
  <si>
    <t>Día 03/08/2018</t>
  </si>
  <si>
    <t>Día 04/08/2018</t>
  </si>
  <si>
    <t>Día 05/08/2018</t>
  </si>
  <si>
    <t>Día 06/08/2018</t>
  </si>
  <si>
    <t>Día 07/08/2018</t>
  </si>
  <si>
    <t>Día 08/08/2018</t>
  </si>
  <si>
    <t>Día 09/08/2018</t>
  </si>
  <si>
    <t>Día 10/08/2018</t>
  </si>
  <si>
    <t>Día 11/08/2018</t>
  </si>
  <si>
    <t>Día 12/08/2018</t>
  </si>
  <si>
    <t>Día 13/08/2018</t>
  </si>
  <si>
    <t>Día 14/08/2018</t>
  </si>
  <si>
    <t>Día 15/08/2018</t>
  </si>
  <si>
    <t>Día 16/08/2018</t>
  </si>
  <si>
    <t>Día 17/08/2018</t>
  </si>
  <si>
    <t>Día 18/08/2018</t>
  </si>
  <si>
    <t>Día 19/08/2018</t>
  </si>
  <si>
    <t>Día 20/08/2018</t>
  </si>
  <si>
    <t>Día 21/08/2018</t>
  </si>
  <si>
    <t>Día 22/08/2018</t>
  </si>
  <si>
    <t>Día 23/08/2018</t>
  </si>
  <si>
    <t>Día 24/08/2018</t>
  </si>
  <si>
    <t>Día 25/08/2018</t>
  </si>
  <si>
    <t>Día 26/08/2018</t>
  </si>
  <si>
    <t>Día 27/08/2018</t>
  </si>
  <si>
    <t>Día 28/08/2018</t>
  </si>
  <si>
    <t>Día 29/08/2018</t>
  </si>
  <si>
    <t>Día 30/08/2018</t>
  </si>
  <si>
    <t>Día 31/08/2018</t>
  </si>
  <si>
    <t>Septiembre 2018</t>
  </si>
  <si>
    <t>Octubre 2018</t>
  </si>
  <si>
    <t>Noviembre 2018</t>
  </si>
  <si>
    <t>Diciembre 2018</t>
  </si>
  <si>
    <t>Enero 2019</t>
  </si>
  <si>
    <t>Febrero 2019</t>
  </si>
  <si>
    <t>Marzo 2019</t>
  </si>
  <si>
    <t/>
  </si>
  <si>
    <t>Abril 2019</t>
  </si>
  <si>
    <t>Mayo 2019</t>
  </si>
  <si>
    <t>31/05/2019</t>
  </si>
  <si>
    <t>08/05/2019</t>
  </si>
  <si>
    <t>&lt;mi app="e" ver="22"&gt;&lt;rptloc guid="94e757a44c7c4a46adaf64f971f530b6" rank="0" ds="1"&gt;&lt;ri hasPG="0" name="Balance Potencia Mensual Península" id="26A6F37E4875F4821AFFAEB3B30D7597" path="Objetos públicos\Informes\Informes macros\Boletín\Balance Potencia Mensual Península"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ut="06/10/2019 11:39:43" si="2.00000001da8298fc10ab62dd601a19708ba81df4282ab3c82feba2828ed7278cf262c5c074ed062b6596a2df99413a2af5fc2771dd58c47d9f64eb8885078561df923f391f611b55f52f691fdd78d9cee2310910d9ba8311037bd2e3d17527a27f81ed770f877395c8082e7979848d53f3a66cbc22e4ee8a1f977ba43420f3b41480.3082.0.1.Europe/Madrid.upriv*_1*_pidn2*_13*_session*-lat*_1.0000000191b6c0ba204facc9995facee19cf43d2b5ee3e72e2a375ce3ff178d0c21f6ffeb67f46f3784bd36ac096a550bde7c6bf623b23b2.00000001d86b15736dfac0011ac386e8bbd47481b5ee3e720243d8af18ea7ac75450c0baa8ae6c44f292ed4c1978c3cf1326eda14e36d9a1.0.1.1.BDEbi.D066E1C611E6257C10D00080EF253B44.0-3082.1.1_-0.1.0_-3082.1.1_5.5.0.*0.00000001eb12bb3e161120c26e58892d63c58f3dc911585a19e03d7aa24fc93b3baa7df108a788c3.0.10*.25*.15*.214.23.10*.4*.0400*.0074J.e.0000000196ef04f9e609f2304b534f4be39ea7dac911585a7ac4d778cfef9de612adefa3fbec19c1.0" msgID="6F7A1CA111E98B74B50A0080EFC5AAFB"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ece="I4" enr="MSTR.Balance_Potencia_Mensual" ptn="" qtn="" rows="20" cols="2" /&gt;&lt;esdo ews="" ece="" ptn="" /&gt;&lt;/excel&gt;&lt;pgs&gt;&lt;pg rows="16" cols="1" nrr="490" nrc="55"&gt;&lt;pg /&gt;&lt;bls&gt;&lt;bl sr="1" sc="1" rfetch="16" cfetch="1" posid="1" darows="0" dacols="1"&gt;&lt;excel&gt;&lt;epo ews="Dat_01" ece="I4" enr="MSTR.Balance_Potencia_Mensual" ptn="" qtn="" rows="20" cols="2" /&gt;&lt;esdo ews="" ece="" ptn="" /&gt;&lt;/excel&gt;&lt;gridRng&gt;&lt;sect id="TITLE_AREA" rngprop="1:1:4:1" /&gt;&lt;sect id="ROWHEADERS_AREA" rngprop="5:1:16:1" /&gt;&lt;sect id="COLUMNHEADERS_AREA" rngprop="1:2:4:1" /&gt;&lt;sect id="DATA_AREA" rngprop="5:2:16:1" /&gt;&lt;/gridRng&gt;&lt;shapes /&gt;&lt;/bl&gt;&lt;/bls&gt;&lt;/pg&gt;&lt;/pgs&gt;&lt;/rptloc&gt;&lt;/mi&gt;</t>
  </si>
  <si>
    <t>Miércoles 08/05/2019 (19:09 h)</t>
  </si>
  <si>
    <t>Viernes 17/05/2019 (02:42 h)</t>
  </si>
  <si>
    <t>Reservas hidroelectricas a 31 de Mayo de 2019 por cuencas</t>
  </si>
  <si>
    <t>&lt;mi app="e" ver="22"&gt;&lt;rptloc guid="8eda295ca0c44ed4b2c2697f05f1f12f" rank="0" ds="1"&gt;&lt;ri hasPG="0" name="Mes del informe" id="6B81E4A345D0B50062DA74B86812DB5B" path="Objetos públicos\Informes\Informes macros\Boletín\Mes del informe"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ut="06/12/2019 09:46:52" si="2.00000001f643928ed12bc594c1bae28890d2de53274fd84e96a5a97274671aac3379489d2d32f3cc163083be947bd3ff3098c05cc47e74d1271cae6d3f7889da3a153488720e8b54a88d43ac85d7d213a6e3e9fbde8bc94b4279ece71292d808ad85eee83efba15670170fffb82e7f2992b027de46b2e87121fbf7014bd70ed83742.3082.0.1.Europe/Madrid.upriv*_1*_pidn2*_3*_session*-lat*_1.0000000179a3b40e98b7fd08056e5212784918e0b5ee3e7204a31be06f4c79243a7815a01e869f224eb330f5041cd03f721589f335f3d768.000000012be84195dcd74725811aea7853a8e716b5ee3e729bd8beb70591634947da87f61f8a7ddc0d4ee5fe02e6ab7d4eb692beb049ab28.0.1.1.BDEbi.D066E1C611E6257C10D00080EF253B44.0-3082.1.1_-0.1.0_-3082.1.1_5.5.0.*0.000000017ac5a1704bf77e6d0bb5f0adcb2a9fdac911585af105fe2d7d0767bf5668a50460d741b6.0.10*.25*.15*.214.23.10*.4*.0400*.0074J.e.000000011cba580675cef3d9b5ed4e10f0312d7dc911585a4290a603700028bf8eed148ba5373f2c.0" msgID="FAACF94A11E98CF6B50A0080EFC5AAFB"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ece="A1" enr="MSTR.Último_día_del_mes" ptn="" qtn="" rows="2" cols="2" /&gt;&lt;esdo ews="" ece="" ptn="" /&gt;&lt;/excel&gt;&lt;pgs&gt;&lt;pg rows="1" cols="0" nrr="26" nrc="0"&gt;&lt;pg /&gt;&lt;bls&gt;&lt;bl sr="1" sc="1" rfetch="1" cfetch="0" posid="1" darows="0" dacols="1"&gt;&lt;excel&gt;&lt;epo ews="Dat_01" ece="A1" enr="MSTR.Último_día_del_mes" ptn="" qtn="" rows="2" cols="2" /&gt;&lt;esdo ews="" ece="" ptn="" /&gt;&lt;/excel&gt;&lt;gridRng&gt;&lt;sect id="TITLE_AREA" rngprop="1:1:1:2" /&gt;&lt;sect id="ROWHEADERS_AREA" rngprop="2:1:1:2" /&gt;&lt;sect id="COLUMNHEADERS_AREA" rngprop="0:0:0:0" /&gt;&lt;sect id="DATA_AREA" rngprop="2:3:1:0" /&gt;&lt;/gridRng&gt;&lt;shapes /&gt;&lt;/bl&gt;&lt;/bls&gt;&lt;/pg&gt;&lt;/pgs&gt;&lt;/rptloc&gt;&lt;/mi&gt;</t>
  </si>
  <si>
    <t>&lt;mi app="e" ver="22"&gt;&lt;rptloc guid="7f8019c6911e4efa8fa690a470c3d5b0" rank="0" ds="1"&gt;&lt;ri hasPG="0" name="Balance B.C. Diario Peninsular" id="41519F0B41FAA38F537A41B227B45757" path="Objetos públicos\Informes\Informes macros\Boletín\Balance B.C. Diario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ut="06/12/2019 09:46:56" si="2.00000001f643928ed12bc594c1bae28890d2de53274fd84e96a5a97274671aac3379489d2d32f3cc163083be947bd3ff3098c05cc47e74d1271cae6d3f7889da3a153488720e8b54a88d43ac85d7d213a6e3e9fbde8bc94b4279ece71292d808ad85eee83efba15670170fffb82e7f2992b027de46b2e87121fbf7014bd70ed83742.3082.0.1.Europe/Madrid.upriv*_1*_pidn2*_3*_session*-lat*_1.0000000179a3b40e98b7fd08056e5212784918e0b5ee3e7204a31be06f4c79243a7815a01e869f224eb330f5041cd03f721589f335f3d768.000000012be84195dcd74725811aea7853a8e716b5ee3e729bd8beb70591634947da87f61f8a7ddc0d4ee5fe02e6ab7d4eb692beb049ab28.0.1.1.BDEbi.D066E1C611E6257C10D00080EF253B44.0-3082.1.1_-0.1.0_-3082.1.1_5.5.0.*0.000000017ac5a1704bf77e6d0bb5f0adcb2a9fdac911585af105fe2d7d0767bf5668a50460d741b6.0.10*.25*.15*.214.23.10*.4*.0400*.0074J.e.000000011cba580675cef3d9b5ed4e10f0312d7dc911585a4290a603700028bf8eed148ba5373f2c.0" msgID="FACB355511E98CF6B50A0080EFC5ABFD"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ece="A175" enr="MSTR.Balance_B.C._Diario_Peninsular" ptn="" qtn="" rows="36" cols="19" /&gt;&lt;esdo ews="" ece="" ptn="" /&gt;&lt;/excel&gt;&lt;pgs&gt;&lt;pg rows="31" cols="18" nrr="801" nrc="508"&gt;&lt;pg /&gt;&lt;bls&gt;&lt;bl sr="1" sc="1" rfetch="31" cfetch="18" posid="1" darows="0" dacols="1"&gt;&lt;excel&gt;&lt;epo ews="Dat_01" ece="A175" enr="MSTR.Balance_B.C._Diario_Peninsular" ptn="" qtn="" rows="36" cols="19" /&gt;&lt;esdo ews="" ece="" ptn="" /&gt;&lt;/excel&gt;&lt;gridRng&gt;&lt;sect id="TITLE_AREA" rngprop="1:1:5:1" /&gt;&lt;sect id="ROWHEADERS_AREA" rngprop="6:1:31:1" /&gt;&lt;sect id="COLUMNHEADERS_AREA" rngprop="1:2:5:18" /&gt;&lt;sect id="DATA_AREA" rngprop="6:2:31:18" /&gt;&lt;/gridRng&gt;&lt;shapes /&gt;&lt;/bl&gt;&lt;/bls&gt;&lt;/pg&gt;&lt;/pgs&gt;&lt;/rptloc&gt;&lt;/mi&gt;</t>
  </si>
  <si>
    <t>&lt;mi app="e" ver="22"&gt;&lt;rptloc guid="aa9a9fa9204e4914baeea8ad5cddd804" rank="0" ds="1"&gt;&lt;ri hasPG="0" name="Balance. Día máx generación renovable. Mes" id="F3E687E0455AF7372B8B8888677B9BF1" path="Objetos públicos\Informes\Informes macros\Boletín\Balance. Día máx generación renovable. Mes" cf="0" prompt="1" ve="0" vm="0" flashpth="d:\Usuarios\ARACABIV\AppData\Local\Temp\" fimagepth="d:\Usuarios\ARACABIV\AppData\Local\Temp\" swfn="DashboardViewer.swf" fvars="" dvis=""&gt;&lt;ans&gt;&lt;pan pk="B7C3BF0D4428274429E8B8B9E552B212@0@10" aid="" /&gt;&lt;/ans&gt;&lt;ci ps="BI" srv="apcpr65b" prj="BDEbi" prjid="D066E1C611E6257C10D00080EF253B44" li="FUEPERRO" am="s" /&gt;&lt;lu ut="06/12/2019 09:47:00" si="2.00000001f643928ed12bc594c1bae28890d2de53274fd84e96a5a97274671aac3379489d2d32f3cc163083be947bd3ff3098c05cc47e74d1271cae6d3f7889da3a153488720e8b54a88d43ac85d7d213a6e3e9fbde8bc94b4279ece71292d808ad85eee83efba15670170fffb82e7f2992b027de46b2e87121fbf7014bd70ed83742.3082.0.1.Europe/Madrid.upriv*_1*_pidn2*_3*_session*-lat*_1.0000000179a3b40e98b7fd08056e5212784918e0b5ee3e7204a31be06f4c79243a7815a01e869f224eb330f5041cd03f721589f335f3d768.000000012be84195dcd74725811aea7853a8e716b5ee3e729bd8beb70591634947da87f61f8a7ddc0d4ee5fe02e6ab7d4eb692beb049ab28.0.1.1.BDEbi.D066E1C611E6257C10D00080EF253B44.0-3082.1.1_-0.1.0_-3082.1.1_5.5.0.*0.000000017ac5a1704bf77e6d0bb5f0adcb2a9fdac911585af105fe2d7d0767bf5668a50460d741b6.0.10*.25*.15*.214.23.10*.4*.0400*.0074J.e.000000011cba580675cef3d9b5ed4e10f0312d7dc911585a4290a603700028bf8eed148ba5373f2c.0" msgID="FA9639D111E98CF6B50A0080EFD5CAFB"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ece="A66" enr="MSTR.Balance._Día_máx_generación_renovable._Mes" ptn="" qtn="" rows="21" cols="2" /&gt;&lt;esdo ews="" ece="" ptn="" /&gt;&lt;/excel&gt;&lt;pgs&gt;&lt;pg rows="18" cols="1" nrr="448" nrc="25"&gt;&lt;pg /&gt;&lt;bls&gt;&lt;bl sr="1" sc="1" rfetch="18" cfetch="1" posid="1" darows="0" dacols="1"&gt;&lt;excel&gt;&lt;epo ews="Dat_01" ece="A66" enr="MSTR.Balance._Día_máx_generación_renovable._Mes"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</si>
  <si>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guid="05e5cbe47227457eab63fd1212e0f540" rank="0" ds="1"&gt;&lt;ri hasPG="0" name="Balance B.C. Horario Eólico" id="002F08AD4EE551CE05505BAD5669B1C3" path="Objetos públicos\Informes\Informes macros\Boletín\Balance B.C. Horario Eólico"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ut="06/12/2019 09:47:04" si="2.00000001f643928ed12bc594c1bae28890d2de53274fd84e96a5a97274671aac3379489d2d32f3cc163083be947bd3ff3098c05cc47e74d1271cae6d3f7889da3a153488720e8b54a88d43ac85d7d213a6e3e9fbde8bc94b4279ece71292d808ad85eee83efba15670170fffb82e7f2992b027de46b2e87121fbf7014bd70ed83742.3082.0.1.Europe/Madrid.upriv*_1*_pidn2*_3*_session*-lat*_1.0000000179a3b40e98b7fd08056e5212784918e0b5ee3e7204a31be06f4c79243a7815a01e869f224eb330f5041cd03f721589f335f3d768.000000012be84195dcd74725811aea7853a8e716b5ee3e729bd8beb70591634947da87f61f8a7ddc0d4ee5fe02e6ab7d4eb692beb049ab28.0.1.1.BDEbi.D066E1C611E6257C10D00080EF253B44.0-3082.1.1_-0.1.0_-3082.1.1_5.5.0.*0.000000017ac5a1704bf77e6d0bb5f0adcb2a9fdac911585af105fe2d7d0767bf5668a50460d741b6.0.10*.25*.15*.214.23.10*.4*.0400*.0074J.e.000000011cba580675cef3d9b5ed4e10f0312d7dc911585a4290a603700028bf8eed148ba5373f2c.0" msgID="05B7176C11E98CF7B50A0080EF45AAFC"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ece="A215" enr="MSTR.Balance_B.C._Horario_Eólico" ptn="" qtn="" rows="29" cols="19" /&gt;&lt;esdo ews="" ece="" ptn="" /&gt;&lt;/excel&gt;&lt;pgs&gt;&lt;pg rows="24" cols="18" nrr="705" nrc="555"&gt;&lt;pg /&gt;&lt;bls&gt;&lt;bl sr="1" sc="1" rfetch="24" cfetch="18" posid="1" darows="0" dacols="1"&gt;&lt;excel&gt;&lt;epo ews="Dat_01" ece="A215" enr="MSTR.Balance_B.C._Horario_Eólico" ptn="" qtn="" rows="29" cols="19" /&gt;&lt;esdo ews="" ece="" ptn="" /&gt;&lt;/excel&gt;&lt;gridRng&gt;&lt;sect id="TITLE_AREA" rngprop="1:1:5:1" /&gt;&lt;sect id="ROWHEADERS_AREA" rngprop="6:1:24:1" /&gt;&lt;sect id="COLUMNHEADERS_AREA" rngprop="1:2:5:18" /&gt;&lt;sect id="DATA_AREA" rngprop="6:2:24:18" /&gt;&lt;/gridRng&gt;&lt;shapes /&gt;&lt;/bl&gt;&lt;/bls&gt;&lt;/pg&gt;&lt;/pgs&gt;&lt;/rptloc&gt;&lt;/mi&gt;</t>
  </si>
  <si>
    <t>&lt;mi app="e" ver="22"&gt;&lt;rptloc guid="b18b4e583bf24c259e1af372c80b52c0" rank="0" ds="1"&gt;&lt;ri hasPG="0" name="Serie Balance B.C. Mensual Peninsular" id="E61AF3854964BBD29B7553A35339E8D9" path="Objetos públicos\Informes\Informes macros\Boletín\Serie Balance B.C. Mensual Peninsular"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ut="06/12/2019 09:47:08" si="2.00000001f643928ed12bc594c1bae28890d2de53274fd84e96a5a97274671aac3379489d2d32f3cc163083be947bd3ff3098c05cc47e74d1271cae6d3f7889da3a153488720e8b54a88d43ac85d7d213a6e3e9fbde8bc94b4279ece71292d808ad85eee83efba15670170fffb82e7f2992b027de46b2e87121fbf7014bd70ed83742.3082.0.1.Europe/Madrid.upriv*_1*_pidn2*_3*_session*-lat*_1.0000000179a3b40e98b7fd08056e5212784918e0b5ee3e7204a31be06f4c79243a7815a01e869f224eb330f5041cd03f721589f335f3d768.000000012be84195dcd74725811aea7853a8e716b5ee3e729bd8beb70591634947da87f61f8a7ddc0d4ee5fe02e6ab7d4eb692beb049ab28.0.1.1.BDEbi.D066E1C611E6257C10D00080EF253B44.0-3082.1.1_-0.1.0_-3082.1.1_5.5.0.*0.000000017ac5a1704bf77e6d0bb5f0adcb2a9fdac911585af105fe2d7d0767bf5668a50460d741b6.0.10*.25*.15*.214.23.10*.4*.0400*.0074J.e.000000011cba580675cef3d9b5ed4e10f0312d7dc911585a4290a603700028bf8eed148ba5373f2c.0" msgID="FA7FB23211E98CF6B50A0080EFD5CBFD"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ece="A115" enr="MSTR.Serie_Balance_B.C._Mensual_Peninsular" ptn="" qtn="" rows="22" cols="26" /&gt;&lt;esdo ews="" ece="" ptn="" /&gt;&lt;/excel&gt;&lt;pgs&gt;&lt;pg rows="18" cols="25" nrr="482" nrc="650"&gt;&lt;pg /&gt;&lt;bls&gt;&lt;bl sr="1" sc="1" rfetch="18" cfetch="25" posid="1" darows="0" dacols="1"&gt;&lt;excel&gt;&lt;epo ews="Dat_01" ece="A115" enr="MSTR.Serie_Balance_B.C._Mensual_Peninsular" ptn="" qtn="" rows="22" cols="26" /&gt;&lt;esdo ews="" ece="" ptn="" /&gt;&lt;/excel&gt;&lt;gridRng&gt;&lt;sect id="TITLE_AREA" rngprop="1:1:4:1" /&gt;&lt;sect id="ROWHEADERS_AREA" rngprop="5:1:18:1" /&gt;&lt;sect id="COLUMNHEADERS_AREA" rngprop="1:2:4:25" /&gt;&lt;sect id="DATA_AREA" rngprop="5:2:18:25" /&gt;&lt;/gridRng&gt;&lt;shapes /&gt;&lt;/bl&gt;&lt;/bls&gt;&lt;/pg&gt;&lt;/pgs&gt;&lt;/rptloc&gt;&lt;/mi&gt;</t>
  </si>
  <si>
    <t>&lt;mi app="e" ver="22"&gt;&lt;rptloc guid="a68e02d555674c70be149cdb8817b376" rank="0" ds="1"&gt;&lt;ri hasPG="0" name="Balance. Día máx generación renovable. Histórico" id="ADDEE00E40BFE87CFA6740A4DC01E463" path="Objetos públicos\Informes\Informes macros\Boletín\Balance. Día máx generación renovable. Histórico" cf="0" prompt="0" ve="0" vm="0" flashpth="d:\Usuarios\ARACABIV\AppData\Local\Temp\" fimagepth="d:\Usuarios\ARACABIV\AppData\Local\Temp\" swfn="DashboardViewer.swf" fvars="" dvis=""&gt;&lt;ci ps="BI" srv="apcpr65b" prj="BDEbi" prjid="D066E1C611E6257C10D00080EF253B44" li="FUEPERRO" am="s" /&gt;&lt;lu ut="06/12/2019 09:47:28" si="2.00000001f643928ed12bc594c1bae28890d2de53274fd84e96a5a97274671aac3379489d2d32f3cc163083be947bd3ff3098c05cc47e74d1271cae6d3f7889da3a153488720e8b54a88d43ac85d7d213a6e3e9fbde8bc94b4279ece71292d808ad85eee83efba15670170fffb82e7f2992b027de46b2e87121fbf7014bd70ed83742.3082.0.1.Europe/Madrid.upriv*_1*_pidn2*_3*_session*-lat*_1.0000000179a3b40e98b7fd08056e5212784918e0b5ee3e7204a31be06f4c79243a7815a01e869f224eb330f5041cd03f721589f335f3d768.000000012be84195dcd74725811aea7853a8e716b5ee3e729bd8beb70591634947da87f61f8a7ddc0d4ee5fe02e6ab7d4eb692beb049ab28.0.1.1.BDEbi.D066E1C611E6257C10D00080EF253B44.0-3082.1.1_-0.1.0_-3082.1.1_5.5.0.*0.000000017ac5a1704bf77e6d0bb5f0adcb2a9fdac911585af105fe2d7d0767bf5668a50460d741b6.0.10*.25*.15*.214.23.10*.4*.0400*.0074J.e.000000011cba580675cef3d9b5ed4e10f0312d7dc911585a4290a603700028bf8eed148ba5373f2c.0" msgID="FA91B18B11E98CF6B50A0080EF45A9FA"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ece="G66" enr="MSTR.Balance._Día_máx_generación_renovable._Histórico" ptn="" qtn="" rows="21" cols="2" /&gt;&lt;esdo ews="" ece="" ptn="" /&gt;&lt;/excel&gt;&lt;pgs&gt;&lt;pg rows="18" cols="1" nrr="500" nrc="27"&gt;&lt;pg /&gt;&lt;bls&gt;&lt;bl sr="1" sc="1" rfetch="18" cfetch="1" posid="1" darows="0" dacols="1"&gt;&lt;excel&gt;&lt;epo ews="Dat_01" ece="G66" enr="MSTR.Balance._Día_máx_generación_renovable._Histórico" ptn="" qtn="" rows="21" cols="2" /&gt;&lt;esdo ews="" ece="" ptn="" /&gt;&lt;/excel&gt;&lt;gridRng&gt;&lt;sect id="TITLE_AREA" rngprop="1:1:3:1" /&gt;&lt;sect id="ROWHEADERS_AREA" rngprop="4:1:18:1" /&gt;&lt;sect id="COLUMNHEADERS_AREA" rngprop="1:2:3:1" /&gt;&lt;sect id="DATA_AREA" rngprop="4:2:18:1" /&gt;&lt;/gridRng&gt;&lt;shapes /&gt;&lt;/bl&gt;&lt;/bls&gt;&lt;/pg&gt;&lt;/pgs&gt;&lt;/rptloc&gt;&lt;/mi&gt;</t>
  </si>
  <si>
    <t>&lt;mi app="e" ver="22"&gt;&lt;rptloc guid="5fe731c357db43efa2a5febd8fdb3582" rank="0" ds="1"&gt;&lt;ri hasPG="0" name="Balance B.C. Mensual Peninsular" id="72B518624D2DBF77003353B699115DFF" path="Objetos públicos\Informes\Informes macros\Boletín\Balance B.C. Mensual Peninsular" cf="0" prompt="1" ve="0" vm="0" flashpth="d:\Usuarios\ARACABIV\AppData\Local\Temp\" fimagepth="d:\Usuarios\ARACABIV\AppData\Local\Temp\" swfn="DashboardViewer.swf" fvars="" dvis=""&gt;&lt;ans /&gt;&lt;ci ps="BI" srv="apcpr65b" prj="BDEbi" prjid="D066E1C611E6257C10D00080EF253B44" li="FUEPERRO" am="s" /&gt;&lt;lu ut="06/12/2019 09:48:01" si="2.00000001f643928ed12bc594c1bae28890d2de53274fd84e96a5a97274671aac3379489d2d32f3cc163083be947bd3ff3098c05cc47e74d1271cae6d3f7889da3a153488720e8b54a88d43ac85d7d213a6e3e9fbde8bc94b4279ece71292d808ad85eee83efba15670170fffb82e7f2992b027de46b2e87121fbf7014bd70ed83742.3082.0.1.Europe/Madrid.upriv*_1*_pidn2*_3*_session*-lat*_1.0000000179a3b40e98b7fd08056e5212784918e0b5ee3e7204a31be06f4c79243a7815a01e869f224eb330f5041cd03f721589f335f3d768.000000012be84195dcd74725811aea7853a8e716b5ee3e729bd8beb70591634947da87f61f8a7ddc0d4ee5fe02e6ab7d4eb692beb049ab28.0.1.1.BDEbi.D066E1C611E6257C10D00080EF253B44.0-3082.1.1_-0.1.0_-3082.1.1_5.5.0.*0.000000017ac5a1704bf77e6d0bb5f0adcb2a9fdac911585af105fe2d7d0767bf5668a50460d741b6.0.10*.25*.15*.214.23.10*.4*.0400*.0074J.e.000000011cba580675cef3d9b5ed4e10f0312d7dc911585a4290a603700028bf8eed148ba5373f2c.0" msgID="03CD461111E98CF7B50A0080EFC5ABFD" /&gt;&lt;/ri&gt;&lt;do pa="6" cfmt="0" fmt="1" saf="0" hd="0" afg="1" rafg="1" arh="1" gosdo="0" cwd="1" ab="0" af="1" om="0" ag="0" lck="0" ppt="3" wpt="3" dai="0" rscd="1" rsrgb="1" rsrl="1" cit="2" c2d="1" cdf="0" cdt="0" dtlk="1" gaf="17" fqg="0" xqg="0" don="0" dcom="0" oaw="0" tws="0" ssm="1" ssn="MSTRStyle.Todos" glo="11101" pgsel="4" phdr="1" rdc="0" adt="0" rsoox="0" eco="1" ecfw="400" ecfh="300" ecfsu="1" ecwr="100" echr="100" eclar="1" ecrups="1"&gt;&lt;details dbit="11169976358211" dsel="239" /&gt;&lt;/do&gt;&lt;excel&gt;&lt;epo ews="Dat_01" ece="A4" enr="MSTR.Balance_B.C._Mensual_Peninsular" ptn="" qtn="" rows="22" cols="7" /&gt;&lt;esdo ews="" ece="" ptn="" /&gt;&lt;/excel&gt;&lt;pgs&gt;&lt;pg rows="18" cols="6" nrr="522" nrc="168"&gt;&lt;pg /&gt;&lt;bls&gt;&lt;bl sr="1" sc="1" rfetch="18" cfetch="6" posid="1" darows="0" dacols="1"&gt;&lt;excel&gt;&lt;epo ews="Dat_01" ece="A4" enr="MSTR.Balance_B.C._Mensual_Peninsular" ptn="" qtn="" rows="22" cols="7" /&gt;&lt;esdo ews="" ece="" ptn="" /&gt;&lt;/excel&gt;&lt;gridRng&gt;&lt;sect id="TITLE_AREA" rngprop="1:1:4:1" /&gt;&lt;sect id="ROWHEADERS_AREA" rngprop="5:1:18:1" /&gt;&lt;sect id="COLUMNHEADERS_AREA" rngprop="1:2:4:6" /&gt;&lt;sect id="DATA_AREA" rngprop="5:2:18:6" /&gt;&lt;/gridRng&gt;&lt;shapes /&gt;&lt;/bl&gt;&lt;/bls&gt;&lt;/pg&gt;&lt;/pgs&gt;&lt;/rptloc&gt;&lt;/mi&gt;</t>
  </si>
  <si>
    <t>7d98e6ba5ddc4c589b9ee5310ad23a84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</si>
</sst>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3" formatCode="_-* #,##0.00\ _€_-;\-* #,##0.00\ _€_-;_-* &quot;-&quot;??\ _€_-;_-@_-"/>
    <numFmt numFmtId="164" formatCode="0_)"/>
    <numFmt numFmtId="165" formatCode="[$-C0A]mmmmm;@"/>
    <numFmt numFmtId="166" formatCode="#,##0.0"/>
    <numFmt numFmtId="167" formatCode="#,##0.000"/>
    <numFmt numFmtId="168" formatCode="0.0_)"/>
    <numFmt numFmtId="169" formatCode="[$-C0A]mmm\-yy;@"/>
    <numFmt numFmtId="170" formatCode="0.0"/>
    <numFmt numFmtId="171" formatCode="&quot;Día&quot;\ dd/mm/yyyy"/>
    <numFmt numFmtId="172" formatCode="0.000"/>
    <numFmt numFmtId="173" formatCode="mmm\-yyyy"/>
    <numFmt numFmtId="174" formatCode="#,##0\ _)"/>
    <numFmt numFmtId="175" formatCode="0.0;[Red]0.0"/>
    <numFmt numFmtId="176" formatCode="0.0%"/>
    <numFmt numFmtId="177" formatCode="_-* #,##0.0\ _€_-;\-* #,##0.0\ _€_-;_-* &quot;-&quot;??\ _€_-;_-@_-"/>
    <numFmt numFmtId="178" formatCode="dd\ mmmm\ yyyy"/>
  </numFmts>
  <fonts count="66">
    <font>
      <sz val="10"/>
      <name val="Geneva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0"/>
      <name val="Geneva"/>
    </font>
    <font>
      <sz val="10"/>
      <color indexed="56"/>
      <name val="Geneva"/>
    </font>
    <font>
      <sz val="10"/>
      <color indexed="8"/>
      <name val="Geneva"/>
    </font>
    <font>
      <sz val="10"/>
      <color indexed="9"/>
      <name val="Geneva"/>
    </font>
    <font>
      <b/>
      <sz val="8"/>
      <color indexed="9"/>
      <name val="Arial"/>
      <family val="2"/>
    </font>
    <font>
      <b/>
      <sz val="8"/>
      <color indexed="9"/>
      <name val="Geneva"/>
    </font>
    <font>
      <sz val="8"/>
      <color indexed="9"/>
      <name val="Arial"/>
      <family val="2"/>
    </font>
    <font>
      <sz val="10"/>
      <color indexed="9"/>
      <name val="Arial"/>
      <family val="2"/>
    </font>
    <font>
      <sz val="10"/>
      <color indexed="32"/>
      <name val="Arial"/>
      <family val="2"/>
    </font>
    <font>
      <sz val="8"/>
      <color rgb="FF004563"/>
      <name val="Arial"/>
      <family val="2"/>
    </font>
    <font>
      <sz val="8"/>
      <color rgb="FF000000"/>
      <name val="Arial"/>
      <family val="2"/>
    </font>
    <font>
      <sz val="10"/>
      <color indexed="32"/>
      <name val="Avant Garde"/>
    </font>
    <font>
      <sz val="10"/>
      <name val="Geneva"/>
      <family val="2"/>
    </font>
    <font>
      <sz val="10"/>
      <color rgb="FFFF0000"/>
      <name val="Geneva"/>
    </font>
    <font>
      <sz val="11"/>
      <name val="Arial"/>
      <family val="2"/>
    </font>
    <font>
      <sz val="8"/>
      <name val="Calibri"/>
      <family val="2"/>
      <scheme val="minor"/>
    </font>
    <font>
      <sz val="8"/>
      <color indexed="10"/>
      <name val="Calibri"/>
      <family val="2"/>
      <scheme val="minor"/>
    </font>
    <font>
      <b/>
      <sz val="8"/>
      <color indexed="56"/>
      <name val="Calibri"/>
      <family val="2"/>
      <scheme val="minor"/>
    </font>
    <font>
      <sz val="8"/>
      <color indexed="56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name val="Calibri"/>
      <family val="2"/>
      <scheme val="minor"/>
    </font>
    <font>
      <sz val="8"/>
      <color rgb="FFFF000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Geneva"/>
      <family val="2"/>
    </font>
    <font>
      <sz val="10"/>
      <color indexed="56"/>
      <name val="Geneva"/>
      <family val="2"/>
    </font>
    <font>
      <sz val="10"/>
      <name val="Avant Garde"/>
    </font>
    <font>
      <u/>
      <sz val="10"/>
      <color indexed="12"/>
      <name val="Geneva"/>
    </font>
    <font>
      <b/>
      <sz val="8"/>
      <color rgb="FF004563"/>
      <name val="Arial"/>
      <family val="2"/>
    </font>
    <font>
      <vertAlign val="superscript"/>
      <sz val="8"/>
      <color rgb="FF004563"/>
      <name val="Arial"/>
      <family val="2"/>
    </font>
    <font>
      <b/>
      <vertAlign val="superscript"/>
      <sz val="8"/>
      <color rgb="FF004563"/>
      <name val="Arial"/>
      <family val="2"/>
    </font>
    <font>
      <b/>
      <sz val="10"/>
      <color rgb="FF004563"/>
      <name val="Arial"/>
      <family val="2"/>
    </font>
    <font>
      <b/>
      <vertAlign val="subscript"/>
      <sz val="8"/>
      <color rgb="FF004563"/>
      <name val="Arial"/>
      <family val="2"/>
    </font>
    <font>
      <sz val="14"/>
      <color indexed="21"/>
      <name val="Arial"/>
      <family val="2"/>
    </font>
    <font>
      <u/>
      <sz val="10"/>
      <color indexed="12"/>
      <name val="Geneva"/>
      <family val="2"/>
    </font>
    <font>
      <sz val="10"/>
      <color indexed="21"/>
      <name val="Symbol"/>
      <family val="1"/>
      <charset val="2"/>
    </font>
    <font>
      <b/>
      <vertAlign val="superscript"/>
      <sz val="8"/>
      <color indexed="9"/>
      <name val="Geneva"/>
    </font>
    <font>
      <b/>
      <sz val="8"/>
      <color theme="0"/>
      <name val="Arial"/>
      <family val="2"/>
    </font>
    <font>
      <i/>
      <sz val="8"/>
      <color rgb="FF000000"/>
      <name val="Verdana"/>
      <family val="2"/>
    </font>
    <font>
      <b/>
      <sz val="8"/>
      <color rgb="FF000000"/>
      <name val="Verdana"/>
      <family val="2"/>
    </font>
    <font>
      <b/>
      <sz val="8"/>
      <color rgb="FFFFFFFF"/>
      <name val="Verdana"/>
      <family val="2"/>
    </font>
    <font>
      <sz val="8"/>
      <color rgb="FF000000"/>
      <name val="Verdana"/>
      <family val="2"/>
    </font>
    <font>
      <sz val="8"/>
      <color rgb="FF4E5E78"/>
      <name val="Verdana"/>
      <family val="2"/>
    </font>
    <font>
      <b/>
      <sz val="8"/>
      <color rgb="FF4E5E78"/>
      <name val="Verdana"/>
      <family val="2"/>
    </font>
    <font>
      <sz val="10"/>
      <color rgb="FF000000"/>
      <name val="Geneva"/>
    </font>
    <font>
      <sz val="9"/>
      <color indexed="32"/>
      <name val="Arial"/>
      <family val="2"/>
    </font>
    <font>
      <b/>
      <i/>
      <sz val="8"/>
      <color rgb="FF000000"/>
      <name val="Verdana"/>
      <family val="2"/>
    </font>
    <font>
      <b/>
      <i/>
      <sz val="8"/>
      <color rgb="FF3F3F3F"/>
      <name val="Verdana"/>
      <family val="2"/>
    </font>
    <font>
      <sz val="8"/>
      <color rgb="FFFF0000"/>
      <name val="Arial"/>
      <family val="2"/>
    </font>
    <font>
      <b/>
      <sz val="10"/>
      <color rgb="FF002060"/>
      <name val="Geneva"/>
    </font>
    <font>
      <sz val="9"/>
      <name val="Segoe UI"/>
      <family val="2"/>
    </font>
    <font>
      <sz val="9"/>
      <color rgb="FF4E5E78"/>
      <name val="Segoe UI"/>
      <family val="2"/>
    </font>
    <font>
      <sz val="9"/>
      <color rgb="FF004563"/>
      <name val="Segoe UI"/>
      <family val="2"/>
    </font>
    <font>
      <b/>
      <sz val="9"/>
      <color rgb="FF4E5E78"/>
      <name val="Segoe UI"/>
      <family val="2"/>
    </font>
    <font>
      <b/>
      <sz val="9"/>
      <color rgb="FF000000"/>
      <name val="Segoe UI"/>
      <family val="2"/>
    </font>
    <font>
      <b/>
      <sz val="9"/>
      <name val="Segoe UI"/>
      <family val="2"/>
    </font>
    <font>
      <b/>
      <sz val="8"/>
      <color rgb="FF002060"/>
      <name val="Segoe UI"/>
      <family val="2"/>
    </font>
    <font>
      <sz val="10"/>
      <color rgb="FF002060"/>
      <name val="Segoe UI"/>
      <family val="2"/>
    </font>
    <font>
      <sz val="10"/>
      <color theme="0"/>
      <name val="Geneva"/>
    </font>
    <font>
      <sz val="8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5F5F5"/>
        <bgColor indexed="64"/>
      </patternFill>
    </fill>
    <fill>
      <patternFill patternType="solid">
        <fgColor rgb="FF005463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CC99"/>
        <bgColor rgb="FFFFFFFF"/>
      </patternFill>
    </fill>
    <fill>
      <patternFill patternType="solid">
        <fgColor rgb="FF8192AD"/>
        <bgColor rgb="FFFFFFFF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rgb="FF004563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3"/>
      </bottom>
      <diagonal/>
    </border>
    <border>
      <left/>
      <right/>
      <top/>
      <bottom style="thin">
        <color rgb="FFA6A6A6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/>
      <top/>
      <bottom style="thin">
        <color auto="1"/>
      </bottom>
      <diagonal/>
    </border>
    <border>
      <left/>
      <right style="thin">
        <color rgb="FF006699"/>
      </right>
      <top/>
      <bottom/>
      <diagonal/>
    </border>
    <border>
      <left/>
      <right/>
      <top/>
      <bottom style="thin">
        <color rgb="FF006699"/>
      </bottom>
      <diagonal/>
    </border>
    <border>
      <left/>
      <right style="thin">
        <color rgb="FF006699"/>
      </right>
      <top/>
      <bottom style="thin">
        <color rgb="FF006699"/>
      </bottom>
      <diagonal/>
    </border>
    <border>
      <left/>
      <right/>
      <top/>
      <bottom style="thin">
        <color rgb="FFC0C0C0"/>
      </bottom>
      <diagonal/>
    </border>
    <border>
      <left/>
      <right/>
      <top style="thin">
        <color indexed="63"/>
      </top>
      <bottom/>
      <diagonal/>
    </border>
    <border>
      <left style="thin">
        <color rgb="FFC0C0C0"/>
      </left>
      <right/>
      <top/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C0C0C0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40">
    <xf numFmtId="164" fontId="0" fillId="0" borderId="0"/>
    <xf numFmtId="0" fontId="2" fillId="0" borderId="0"/>
    <xf numFmtId="0" fontId="2" fillId="0" borderId="0"/>
    <xf numFmtId="0" fontId="2" fillId="0" borderId="0"/>
    <xf numFmtId="164" fontId="6" fillId="0" borderId="0"/>
    <xf numFmtId="0" fontId="6" fillId="0" borderId="0"/>
    <xf numFmtId="0" fontId="2" fillId="0" borderId="0"/>
    <xf numFmtId="164" fontId="6" fillId="0" borderId="0"/>
    <xf numFmtId="0" fontId="6" fillId="0" borderId="0"/>
    <xf numFmtId="0" fontId="18" fillId="0" borderId="0"/>
    <xf numFmtId="0" fontId="20" fillId="0" borderId="0" applyNumberFormat="0" applyFont="0" applyBorder="0" applyAlignment="0" applyProtection="0">
      <alignment horizontal="centerContinuous"/>
    </xf>
    <xf numFmtId="0" fontId="2" fillId="0" borderId="0"/>
    <xf numFmtId="0" fontId="1" fillId="0" borderId="0"/>
    <xf numFmtId="9" fontId="6" fillId="0" borderId="0" applyFont="0" applyFill="0" applyBorder="0" applyAlignment="0" applyProtection="0"/>
    <xf numFmtId="0" fontId="18" fillId="0" borderId="0"/>
    <xf numFmtId="0" fontId="33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40" fillId="0" borderId="0" applyNumberFormat="0" applyFill="0" applyBorder="0" applyAlignment="0" applyProtection="0">
      <alignment vertical="top"/>
      <protection locked="0"/>
    </xf>
    <xf numFmtId="43" fontId="6" fillId="0" borderId="0" applyFont="0" applyFill="0" applyBorder="0" applyAlignment="0" applyProtection="0"/>
    <xf numFmtId="166" fontId="44" fillId="4" borderId="13">
      <alignment horizontal="right" vertical="center"/>
    </xf>
    <xf numFmtId="166" fontId="45" fillId="5" borderId="13">
      <alignment horizontal="right" vertical="center"/>
    </xf>
    <xf numFmtId="164" fontId="46" fillId="6" borderId="13">
      <alignment vertical="center" wrapText="1"/>
    </xf>
    <xf numFmtId="10" fontId="45" fillId="5" borderId="13">
      <alignment horizontal="right" vertical="center"/>
    </xf>
    <xf numFmtId="166" fontId="47" fillId="4" borderId="13">
      <alignment horizontal="right" vertical="center"/>
    </xf>
    <xf numFmtId="10" fontId="47" fillId="4" borderId="13">
      <alignment horizontal="right" vertical="center"/>
    </xf>
    <xf numFmtId="164" fontId="48" fillId="4" borderId="13">
      <alignment horizontal="left" vertical="center" wrapText="1"/>
    </xf>
    <xf numFmtId="164" fontId="46" fillId="6" borderId="13">
      <alignment horizontal="center" vertical="center" wrapText="1"/>
    </xf>
    <xf numFmtId="164" fontId="49" fillId="5" borderId="13">
      <alignment horizontal="left" vertical="center" wrapText="1"/>
    </xf>
    <xf numFmtId="164" fontId="50" fillId="7" borderId="16"/>
    <xf numFmtId="164" fontId="46" fillId="6" borderId="13">
      <alignment horizontal="center" wrapText="1"/>
    </xf>
    <xf numFmtId="164" fontId="46" fillId="6" borderId="16">
      <alignment vertical="center" wrapText="1"/>
    </xf>
    <xf numFmtId="166" fontId="52" fillId="4" borderId="13">
      <alignment horizontal="right" vertical="center"/>
    </xf>
    <xf numFmtId="166" fontId="53" fillId="4" borderId="13">
      <alignment horizontal="right" vertical="center"/>
    </xf>
    <xf numFmtId="164" fontId="46" fillId="5" borderId="13">
      <alignment horizontal="center" wrapText="1"/>
    </xf>
    <xf numFmtId="164" fontId="48" fillId="4" borderId="16">
      <alignment horizontal="left" vertical="center" wrapText="1"/>
    </xf>
    <xf numFmtId="167" fontId="47" fillId="4" borderId="13">
      <alignment horizontal="right" vertical="center"/>
    </xf>
    <xf numFmtId="167" fontId="45" fillId="5" borderId="13">
      <alignment horizontal="right" vertical="center"/>
    </xf>
    <xf numFmtId="0" fontId="6" fillId="0" borderId="0"/>
    <xf numFmtId="0" fontId="6" fillId="0" borderId="0"/>
    <xf numFmtId="0" fontId="6" fillId="0" borderId="0"/>
  </cellStyleXfs>
  <cellXfs count="321">
    <xf numFmtId="164" fontId="0" fillId="0" borderId="0" xfId="0"/>
    <xf numFmtId="0" fontId="3" fillId="0" borderId="0" xfId="1" applyFont="1" applyFill="1" applyAlignment="1" applyProtection="1">
      <alignment horizontal="right"/>
    </xf>
    <xf numFmtId="3" fontId="0" fillId="0" borderId="0" xfId="0" applyNumberFormat="1"/>
    <xf numFmtId="165" fontId="0" fillId="0" borderId="0" xfId="0" applyNumberFormat="1"/>
    <xf numFmtId="0" fontId="4" fillId="0" borderId="0" xfId="3" applyFont="1" applyFill="1" applyBorder="1" applyAlignment="1" applyProtection="1">
      <alignment horizontal="left"/>
    </xf>
    <xf numFmtId="164" fontId="6" fillId="0" borderId="0" xfId="4" applyFill="1" applyProtection="1"/>
    <xf numFmtId="164" fontId="3" fillId="0" borderId="0" xfId="4" applyFont="1" applyFill="1" applyAlignment="1" applyProtection="1">
      <alignment horizontal="right"/>
    </xf>
    <xf numFmtId="164" fontId="7" fillId="0" borderId="0" xfId="4" applyFont="1" applyFill="1" applyBorder="1" applyProtection="1"/>
    <xf numFmtId="164" fontId="8" fillId="0" borderId="0" xfId="4" applyFont="1" applyFill="1" applyBorder="1" applyProtection="1"/>
    <xf numFmtId="164" fontId="9" fillId="0" borderId="0" xfId="4" applyFont="1" applyFill="1" applyBorder="1" applyProtection="1"/>
    <xf numFmtId="164" fontId="4" fillId="0" borderId="0" xfId="4" applyFont="1" applyFill="1" applyBorder="1" applyAlignment="1" applyProtection="1"/>
    <xf numFmtId="164" fontId="4" fillId="0" borderId="0" xfId="4" applyFont="1" applyFill="1" applyBorder="1" applyAlignment="1" applyProtection="1">
      <alignment horizontal="left" vertical="center" indent="1"/>
    </xf>
    <xf numFmtId="164" fontId="7" fillId="0" borderId="0" xfId="4" applyFont="1" applyFill="1" applyBorder="1" applyAlignment="1" applyProtection="1">
      <alignment horizontal="left" indent="1"/>
    </xf>
    <xf numFmtId="164" fontId="10" fillId="3" borderId="0" xfId="4" applyFont="1" applyFill="1" applyBorder="1" applyAlignment="1" applyProtection="1">
      <alignment horizontal="left"/>
    </xf>
    <xf numFmtId="166" fontId="12" fillId="3" borderId="1" xfId="4" applyNumberFormat="1" applyFont="1" applyFill="1" applyBorder="1" applyProtection="1"/>
    <xf numFmtId="1" fontId="10" fillId="3" borderId="1" xfId="4" applyNumberFormat="1" applyFont="1" applyFill="1" applyBorder="1" applyAlignment="1" applyProtection="1">
      <alignment horizontal="right" indent="1"/>
    </xf>
    <xf numFmtId="166" fontId="13" fillId="0" borderId="0" xfId="4" applyNumberFormat="1" applyFont="1" applyFill="1" applyBorder="1" applyProtection="1"/>
    <xf numFmtId="166" fontId="14" fillId="0" borderId="0" xfId="4" applyNumberFormat="1" applyFont="1" applyFill="1" applyBorder="1" applyProtection="1"/>
    <xf numFmtId="164" fontId="4" fillId="0" borderId="0" xfId="4" applyFont="1" applyFill="1" applyBorder="1" applyAlignment="1" applyProtection="1">
      <alignment vertical="top" wrapText="1"/>
    </xf>
    <xf numFmtId="167" fontId="2" fillId="0" borderId="0" xfId="4" applyNumberFormat="1" applyFont="1" applyFill="1" applyBorder="1" applyProtection="1"/>
    <xf numFmtId="164" fontId="5" fillId="0" borderId="0" xfId="4" applyFont="1" applyFill="1" applyProtection="1"/>
    <xf numFmtId="166" fontId="15" fillId="0" borderId="0" xfId="4" applyNumberFormat="1" applyFont="1" applyFill="1" applyBorder="1" applyProtection="1"/>
    <xf numFmtId="3" fontId="14" fillId="0" borderId="0" xfId="4" applyNumberFormat="1" applyFont="1" applyFill="1" applyBorder="1" applyProtection="1"/>
    <xf numFmtId="3" fontId="15" fillId="0" borderId="0" xfId="4" applyNumberFormat="1" applyFont="1" applyFill="1" applyBorder="1" applyProtection="1"/>
    <xf numFmtId="164" fontId="3" fillId="0" borderId="0" xfId="4" applyFont="1" applyFill="1" applyAlignment="1" applyProtection="1"/>
    <xf numFmtId="1" fontId="10" fillId="3" borderId="1" xfId="4" quotePrefix="1" applyNumberFormat="1" applyFont="1" applyFill="1" applyBorder="1" applyAlignment="1" applyProtection="1">
      <alignment horizontal="right" indent="1"/>
    </xf>
    <xf numFmtId="0" fontId="2" fillId="0" borderId="0" xfId="6" applyFill="1" applyProtection="1"/>
    <xf numFmtId="164" fontId="3" fillId="0" borderId="0" xfId="7" applyFont="1" applyFill="1" applyAlignment="1" applyProtection="1">
      <alignment horizontal="right"/>
    </xf>
    <xf numFmtId="0" fontId="8" fillId="0" borderId="0" xfId="6" applyFont="1" applyFill="1" applyBorder="1" applyProtection="1"/>
    <xf numFmtId="0" fontId="7" fillId="0" borderId="0" xfId="6" applyFont="1" applyFill="1" applyBorder="1" applyProtection="1"/>
    <xf numFmtId="0" fontId="4" fillId="0" borderId="0" xfId="6" applyFont="1" applyFill="1" applyBorder="1" applyAlignment="1" applyProtection="1"/>
    <xf numFmtId="0" fontId="4" fillId="0" borderId="0" xfId="6" applyFont="1" applyFill="1" applyBorder="1" applyAlignment="1" applyProtection="1">
      <alignment horizontal="left" vertical="center" indent="1"/>
    </xf>
    <xf numFmtId="0" fontId="7" fillId="0" borderId="0" xfId="6" applyFont="1" applyFill="1" applyBorder="1" applyAlignment="1" applyProtection="1">
      <alignment horizontal="left" indent="1"/>
    </xf>
    <xf numFmtId="0" fontId="5" fillId="0" borderId="0" xfId="6" applyFont="1" applyFill="1" applyBorder="1" applyProtection="1"/>
    <xf numFmtId="0" fontId="4" fillId="0" borderId="0" xfId="8" applyFont="1" applyFill="1" applyBorder="1" applyAlignment="1" applyProtection="1">
      <alignment vertical="center"/>
    </xf>
    <xf numFmtId="0" fontId="5" fillId="0" borderId="0" xfId="6" applyFont="1" applyFill="1" applyBorder="1" applyAlignment="1" applyProtection="1">
      <alignment horizontal="left" vertical="top"/>
    </xf>
    <xf numFmtId="0" fontId="17" fillId="0" borderId="0" xfId="6" applyFont="1" applyFill="1" applyProtection="1"/>
    <xf numFmtId="0" fontId="5" fillId="0" borderId="0" xfId="6" applyFont="1" applyFill="1" applyBorder="1" applyAlignment="1" applyProtection="1">
      <alignment vertical="center" wrapText="1"/>
    </xf>
    <xf numFmtId="0" fontId="5" fillId="0" borderId="0" xfId="6" applyFont="1" applyFill="1" applyBorder="1" applyAlignment="1" applyProtection="1">
      <alignment horizontal="justify" vertical="center" wrapText="1"/>
    </xf>
    <xf numFmtId="0" fontId="4" fillId="0" borderId="0" xfId="6" applyFont="1" applyFill="1" applyBorder="1" applyAlignment="1" applyProtection="1">
      <alignment horizontal="left"/>
    </xf>
    <xf numFmtId="0" fontId="4" fillId="0" borderId="0" xfId="6" applyFont="1" applyFill="1" applyBorder="1" applyAlignment="1" applyProtection="1">
      <alignment vertical="top" wrapText="1"/>
    </xf>
    <xf numFmtId="164" fontId="16" fillId="0" borderId="0" xfId="7" applyFont="1" applyFill="1" applyAlignment="1">
      <alignment horizontal="left" readingOrder="1"/>
    </xf>
    <xf numFmtId="0" fontId="0" fillId="0" borderId="0" xfId="0" applyNumberFormat="1"/>
    <xf numFmtId="0" fontId="4" fillId="0" borderId="0" xfId="2" applyFont="1" applyFill="1" applyBorder="1" applyAlignment="1" applyProtection="1">
      <alignment vertical="top" wrapText="1"/>
    </xf>
    <xf numFmtId="168" fontId="0" fillId="0" borderId="0" xfId="0" applyNumberFormat="1"/>
    <xf numFmtId="169" fontId="0" fillId="0" borderId="0" xfId="0" applyNumberFormat="1"/>
    <xf numFmtId="14" fontId="0" fillId="0" borderId="0" xfId="0" applyNumberFormat="1"/>
    <xf numFmtId="164" fontId="0" fillId="0" borderId="0" xfId="0" applyAlignment="1">
      <alignment horizontal="left" indent="1"/>
    </xf>
    <xf numFmtId="14" fontId="19" fillId="0" borderId="0" xfId="0" applyNumberFormat="1" applyFont="1"/>
    <xf numFmtId="164" fontId="0" fillId="0" borderId="0" xfId="0" applyAlignment="1">
      <alignment wrapText="1"/>
    </xf>
    <xf numFmtId="0" fontId="21" fillId="0" borderId="0" xfId="11" applyFont="1"/>
    <xf numFmtId="1" fontId="22" fillId="0" borderId="0" xfId="11" applyNumberFormat="1" applyFont="1"/>
    <xf numFmtId="0" fontId="21" fillId="0" borderId="0" xfId="11" applyFont="1" applyFill="1"/>
    <xf numFmtId="0" fontId="23" fillId="0" borderId="0" xfId="11" applyFont="1"/>
    <xf numFmtId="0" fontId="24" fillId="0" borderId="0" xfId="11" applyFont="1"/>
    <xf numFmtId="1" fontId="21" fillId="0" borderId="0" xfId="11" applyNumberFormat="1" applyFont="1"/>
    <xf numFmtId="1" fontId="25" fillId="0" borderId="0" xfId="12" applyNumberFormat="1" applyFont="1"/>
    <xf numFmtId="0" fontId="21" fillId="0" borderId="0" xfId="11" applyFont="1" applyBorder="1"/>
    <xf numFmtId="167" fontId="21" fillId="0" borderId="0" xfId="11" applyNumberFormat="1" applyFont="1"/>
    <xf numFmtId="172" fontId="21" fillId="0" borderId="0" xfId="11" applyNumberFormat="1" applyFont="1"/>
    <xf numFmtId="1" fontId="21" fillId="0" borderId="0" xfId="12" applyNumberFormat="1" applyFont="1"/>
    <xf numFmtId="4" fontId="21" fillId="0" borderId="0" xfId="11" applyNumberFormat="1" applyFont="1"/>
    <xf numFmtId="170" fontId="21" fillId="0" borderId="0" xfId="11" applyNumberFormat="1" applyFont="1"/>
    <xf numFmtId="1" fontId="26" fillId="0" borderId="0" xfId="11" applyNumberFormat="1" applyFont="1" applyFill="1"/>
    <xf numFmtId="169" fontId="26" fillId="0" borderId="0" xfId="11" applyNumberFormat="1" applyFont="1" applyFill="1"/>
    <xf numFmtId="170" fontId="26" fillId="0" borderId="0" xfId="11" applyNumberFormat="1" applyFont="1" applyFill="1"/>
    <xf numFmtId="0" fontId="26" fillId="0" borderId="0" xfId="11" applyFont="1" applyFill="1" applyBorder="1" applyAlignment="1">
      <alignment horizontal="right"/>
    </xf>
    <xf numFmtId="171" fontId="26" fillId="0" borderId="0" xfId="11" applyNumberFormat="1" applyFont="1" applyFill="1" applyBorder="1"/>
    <xf numFmtId="1" fontId="21" fillId="0" borderId="0" xfId="11" applyNumberFormat="1" applyFont="1" applyBorder="1"/>
    <xf numFmtId="175" fontId="21" fillId="0" borderId="0" xfId="11" applyNumberFormat="1" applyFont="1"/>
    <xf numFmtId="0" fontId="27" fillId="0" borderId="0" xfId="12" applyFont="1" applyFill="1" applyBorder="1" applyAlignment="1" applyProtection="1">
      <alignment horizontal="left" vertical="top" wrapText="1"/>
    </xf>
    <xf numFmtId="0" fontId="28" fillId="0" borderId="0" xfId="11" applyFont="1"/>
    <xf numFmtId="170" fontId="28" fillId="0" borderId="0" xfId="11" applyNumberFormat="1" applyFont="1"/>
    <xf numFmtId="170" fontId="28" fillId="0" borderId="0" xfId="11" applyNumberFormat="1" applyFont="1" applyBorder="1"/>
    <xf numFmtId="174" fontId="28" fillId="0" borderId="0" xfId="11" applyNumberFormat="1" applyFont="1" applyFill="1" applyBorder="1" applyAlignment="1">
      <alignment horizontal="right"/>
    </xf>
    <xf numFmtId="0" fontId="6" fillId="0" borderId="0" xfId="8" applyFill="1" applyProtection="1"/>
    <xf numFmtId="0" fontId="30" fillId="0" borderId="0" xfId="8" applyFont="1" applyFill="1" applyBorder="1" applyProtection="1"/>
    <xf numFmtId="0" fontId="31" fillId="0" borderId="0" xfId="8" applyFont="1" applyFill="1" applyBorder="1" applyProtection="1"/>
    <xf numFmtId="0" fontId="4" fillId="0" borderId="0" xfId="8" applyFont="1" applyFill="1" applyBorder="1" applyAlignment="1" applyProtection="1"/>
    <xf numFmtId="0" fontId="4" fillId="0" borderId="0" xfId="8" applyFont="1" applyFill="1" applyBorder="1" applyAlignment="1" applyProtection="1">
      <alignment horizontal="left" vertical="center" indent="1"/>
    </xf>
    <xf numFmtId="0" fontId="31" fillId="0" borderId="0" xfId="8" applyFont="1" applyFill="1" applyBorder="1" applyAlignment="1" applyProtection="1">
      <alignment horizontal="left" indent="1"/>
    </xf>
    <xf numFmtId="0" fontId="4" fillId="2" borderId="0" xfId="8" applyFont="1" applyFill="1" applyBorder="1" applyAlignment="1" applyProtection="1">
      <alignment horizontal="left"/>
    </xf>
    <xf numFmtId="0" fontId="18" fillId="0" borderId="0" xfId="14" applyFont="1" applyFill="1" applyBorder="1" applyAlignment="1" applyProtection="1">
      <alignment horizontal="center"/>
    </xf>
    <xf numFmtId="0" fontId="18" fillId="0" borderId="0" xfId="14" applyFont="1" applyFill="1" applyBorder="1" applyAlignment="1" applyProtection="1">
      <alignment horizontal="right"/>
    </xf>
    <xf numFmtId="170" fontId="18" fillId="0" borderId="0" xfId="14" applyNumberFormat="1" applyFont="1" applyFill="1" applyBorder="1" applyProtection="1"/>
    <xf numFmtId="0" fontId="31" fillId="2" borderId="0" xfId="8" applyFont="1" applyFill="1" applyBorder="1" applyAlignment="1" applyProtection="1">
      <alignment horizontal="left" indent="1"/>
    </xf>
    <xf numFmtId="3" fontId="18" fillId="0" borderId="0" xfId="8" applyNumberFormat="1" applyFont="1" applyFill="1" applyBorder="1" applyProtection="1"/>
    <xf numFmtId="0" fontId="18" fillId="0" borderId="0" xfId="8" applyFont="1" applyFill="1" applyBorder="1" applyProtection="1"/>
    <xf numFmtId="0" fontId="6" fillId="2" borderId="0" xfId="8" applyFill="1" applyProtection="1"/>
    <xf numFmtId="0" fontId="32" fillId="0" borderId="0" xfId="8" applyFont="1" applyFill="1" applyProtection="1"/>
    <xf numFmtId="1" fontId="32" fillId="0" borderId="0" xfId="8" applyNumberFormat="1" applyFont="1" applyFill="1" applyProtection="1"/>
    <xf numFmtId="0" fontId="4" fillId="0" borderId="0" xfId="8" applyFont="1" applyFill="1" applyBorder="1" applyAlignment="1" applyProtection="1">
      <alignment vertical="top" wrapText="1"/>
    </xf>
    <xf numFmtId="1" fontId="34" fillId="2" borderId="6" xfId="4" applyNumberFormat="1" applyFont="1" applyFill="1" applyBorder="1" applyAlignment="1" applyProtection="1">
      <alignment horizontal="right" indent="1"/>
    </xf>
    <xf numFmtId="164" fontId="15" fillId="2" borderId="0" xfId="4" applyFont="1" applyFill="1" applyBorder="1" applyAlignment="1" applyProtection="1">
      <alignment horizontal="left"/>
    </xf>
    <xf numFmtId="3" fontId="15" fillId="2" borderId="0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Protection="1"/>
    <xf numFmtId="3" fontId="34" fillId="2" borderId="2" xfId="4" applyNumberFormat="1" applyFont="1" applyFill="1" applyBorder="1" applyAlignment="1" applyProtection="1">
      <alignment horizontal="right" indent="1"/>
    </xf>
    <xf numFmtId="166" fontId="34" fillId="2" borderId="2" xfId="4" applyNumberFormat="1" applyFont="1" applyFill="1" applyBorder="1" applyAlignment="1" applyProtection="1">
      <alignment horizontal="right" indent="1"/>
    </xf>
    <xf numFmtId="166" fontId="15" fillId="2" borderId="0" xfId="4" applyNumberFormat="1" applyFont="1" applyFill="1" applyBorder="1" applyAlignment="1" applyProtection="1">
      <alignment horizontal="left"/>
    </xf>
    <xf numFmtId="3" fontId="15" fillId="2" borderId="2" xfId="4" applyNumberFormat="1" applyFont="1" applyFill="1" applyBorder="1" applyAlignment="1" applyProtection="1">
      <alignment horizontal="right" indent="1"/>
    </xf>
    <xf numFmtId="166" fontId="15" fillId="2" borderId="2" xfId="4" applyNumberFormat="1" applyFont="1" applyFill="1" applyBorder="1" applyAlignment="1" applyProtection="1">
      <alignment horizontal="right" indent="1"/>
    </xf>
    <xf numFmtId="166" fontId="34" fillId="2" borderId="3" xfId="4" applyNumberFormat="1" applyFont="1" applyFill="1" applyBorder="1" applyProtection="1"/>
    <xf numFmtId="3" fontId="34" fillId="2" borderId="4" xfId="4" applyNumberFormat="1" applyFont="1" applyFill="1" applyBorder="1" applyAlignment="1" applyProtection="1">
      <alignment horizontal="right" indent="1"/>
    </xf>
    <xf numFmtId="166" fontId="34" fillId="2" borderId="4" xfId="4" applyNumberFormat="1" applyFont="1" applyFill="1" applyBorder="1" applyAlignment="1" applyProtection="1">
      <alignment horizontal="right" indent="1"/>
    </xf>
    <xf numFmtId="164" fontId="37" fillId="0" borderId="0" xfId="0" applyFont="1" applyFill="1" applyBorder="1" applyAlignment="1" applyProtection="1"/>
    <xf numFmtId="0" fontId="37" fillId="0" borderId="0" xfId="1" applyFont="1" applyFill="1" applyAlignment="1" applyProtection="1">
      <alignment horizontal="right"/>
    </xf>
    <xf numFmtId="164" fontId="37" fillId="0" borderId="0" xfId="0" quotePrefix="1" applyFont="1" applyFill="1" applyAlignment="1" applyProtection="1">
      <alignment horizontal="right"/>
    </xf>
    <xf numFmtId="164" fontId="34" fillId="0" borderId="0" xfId="0" applyFont="1" applyFill="1" applyBorder="1" applyAlignment="1" applyProtection="1"/>
    <xf numFmtId="164" fontId="15" fillId="2" borderId="6" xfId="0" applyFont="1" applyFill="1" applyBorder="1" applyAlignment="1">
      <alignment horizontal="left"/>
    </xf>
    <xf numFmtId="164" fontId="15" fillId="0" borderId="0" xfId="0" applyFont="1" applyFill="1" applyBorder="1" applyProtection="1"/>
    <xf numFmtId="0" fontId="15" fillId="2" borderId="0" xfId="0" applyNumberFormat="1" applyFont="1" applyFill="1" applyAlignment="1">
      <alignment horizontal="left"/>
    </xf>
    <xf numFmtId="166" fontId="15" fillId="2" borderId="0" xfId="9" applyNumberFormat="1" applyFont="1" applyFill="1" applyBorder="1" applyAlignment="1" applyProtection="1">
      <alignment horizontal="right" indent="1"/>
    </xf>
    <xf numFmtId="164" fontId="34" fillId="2" borderId="6" xfId="0" applyFont="1" applyFill="1" applyBorder="1" applyAlignment="1">
      <alignment horizontal="left"/>
    </xf>
    <xf numFmtId="166" fontId="34" fillId="2" borderId="6" xfId="9" applyNumberFormat="1" applyFont="1" applyFill="1" applyBorder="1" applyAlignment="1" applyProtection="1">
      <alignment horizontal="right" indent="1"/>
    </xf>
    <xf numFmtId="164" fontId="37" fillId="0" borderId="0" xfId="0" applyFont="1" applyFill="1" applyAlignment="1" applyProtection="1">
      <alignment horizontal="right"/>
    </xf>
    <xf numFmtId="164" fontId="15" fillId="0" borderId="0" xfId="7" applyFont="1" applyFill="1" applyAlignment="1">
      <alignment horizontal="left" readingOrder="1"/>
    </xf>
    <xf numFmtId="0" fontId="34" fillId="2" borderId="0" xfId="10" applyNumberFormat="1" applyFont="1" applyFill="1" applyBorder="1" applyAlignment="1">
      <alignment vertical="center"/>
    </xf>
    <xf numFmtId="164" fontId="34" fillId="0" borderId="0" xfId="0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right" vertical="center" wrapText="1" readingOrder="1"/>
    </xf>
    <xf numFmtId="164" fontId="15" fillId="0" borderId="0" xfId="0" applyFont="1" applyFill="1" applyBorder="1" applyAlignment="1">
      <alignment horizontal="right" vertical="center" wrapText="1" readingOrder="1"/>
    </xf>
    <xf numFmtId="164" fontId="34" fillId="0" borderId="9" xfId="0" applyFont="1" applyBorder="1" applyAlignment="1">
      <alignment horizontal="left" vertical="center" wrapText="1" readingOrder="1"/>
    </xf>
    <xf numFmtId="164" fontId="15" fillId="0" borderId="9" xfId="0" applyFont="1" applyFill="1" applyBorder="1" applyAlignment="1">
      <alignment horizontal="right" vertical="center" wrapText="1" readingOrder="1"/>
    </xf>
    <xf numFmtId="0" fontId="34" fillId="0" borderId="0" xfId="2" applyFont="1" applyFill="1" applyBorder="1" applyAlignment="1" applyProtection="1">
      <alignment vertical="top" wrapText="1"/>
    </xf>
    <xf numFmtId="164" fontId="15" fillId="0" borderId="1" xfId="0" applyFont="1" applyFill="1" applyBorder="1"/>
    <xf numFmtId="164" fontId="15" fillId="0" borderId="0" xfId="0" applyFont="1" applyFill="1"/>
    <xf numFmtId="164" fontId="34" fillId="2" borderId="0" xfId="0" applyFont="1" applyFill="1" applyProtection="1"/>
    <xf numFmtId="164" fontId="34" fillId="2" borderId="1" xfId="0" applyFont="1" applyFill="1" applyBorder="1" applyProtection="1"/>
    <xf numFmtId="164" fontId="34" fillId="2" borderId="1" xfId="0" applyFont="1" applyFill="1" applyBorder="1" applyAlignment="1" applyProtection="1">
      <alignment horizontal="right"/>
    </xf>
    <xf numFmtId="164" fontId="34" fillId="2" borderId="1" xfId="0" applyFont="1" applyFill="1" applyBorder="1" applyAlignment="1" applyProtection="1">
      <alignment horizontal="right" wrapText="1"/>
    </xf>
    <xf numFmtId="164" fontId="15" fillId="2" borderId="0" xfId="0" applyFont="1" applyFill="1" applyProtection="1"/>
    <xf numFmtId="3" fontId="15" fillId="2" borderId="0" xfId="0" applyNumberFormat="1" applyFont="1" applyFill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/>
    <xf numFmtId="3" fontId="15" fillId="2" borderId="0" xfId="9" applyNumberFormat="1" applyFont="1" applyFill="1" applyBorder="1" applyAlignment="1" applyProtection="1">
      <alignment horizontal="right" indent="1"/>
    </xf>
    <xf numFmtId="3" fontId="34" fillId="2" borderId="6" xfId="9" applyNumberFormat="1" applyFont="1" applyFill="1" applyBorder="1" applyAlignment="1" applyProtection="1">
      <alignment horizontal="right" indent="1"/>
    </xf>
    <xf numFmtId="168" fontId="15" fillId="0" borderId="0" xfId="0" applyNumberFormat="1" applyFont="1" applyFill="1" applyBorder="1" applyProtection="1"/>
    <xf numFmtId="0" fontId="34" fillId="0" borderId="0" xfId="6" applyFont="1" applyFill="1" applyBorder="1" applyAlignment="1" applyProtection="1">
      <alignment vertical="top" wrapText="1"/>
    </xf>
    <xf numFmtId="164" fontId="15" fillId="2" borderId="0" xfId="0" applyFont="1" applyFill="1" applyBorder="1" applyAlignment="1">
      <alignment horizontal="left"/>
    </xf>
    <xf numFmtId="0" fontId="15" fillId="0" borderId="0" xfId="6" applyFont="1" applyFill="1" applyBorder="1" applyAlignment="1" applyProtection="1">
      <alignment horizontal="left" vertical="top" wrapText="1"/>
    </xf>
    <xf numFmtId="0" fontId="29" fillId="0" borderId="0" xfId="11" applyFont="1" applyFill="1" applyBorder="1" applyAlignment="1">
      <alignment horizontal="right"/>
    </xf>
    <xf numFmtId="0" fontId="6" fillId="0" borderId="0" xfId="16" applyFill="1" applyProtection="1"/>
    <xf numFmtId="0" fontId="18" fillId="0" borderId="0" xfId="16" applyFont="1" applyFill="1" applyProtection="1"/>
    <xf numFmtId="0" fontId="30" fillId="0" borderId="0" xfId="16" applyFont="1" applyFill="1" applyBorder="1" applyProtection="1"/>
    <xf numFmtId="0" fontId="31" fillId="0" borderId="0" xfId="16" applyFont="1" applyFill="1" applyBorder="1" applyProtection="1"/>
    <xf numFmtId="0" fontId="4" fillId="0" borderId="0" xfId="16" applyFont="1" applyFill="1" applyBorder="1" applyAlignment="1" applyProtection="1"/>
    <xf numFmtId="0" fontId="4" fillId="0" borderId="0" xfId="16" applyFont="1" applyFill="1" applyBorder="1" applyAlignment="1" applyProtection="1">
      <alignment horizontal="right" vertical="center"/>
    </xf>
    <xf numFmtId="0" fontId="31" fillId="2" borderId="0" xfId="16" applyFont="1" applyFill="1" applyBorder="1" applyAlignment="1" applyProtection="1">
      <alignment horizontal="left" indent="1"/>
    </xf>
    <xf numFmtId="0" fontId="39" fillId="2" borderId="0" xfId="16" applyFont="1" applyFill="1" applyBorder="1" applyAlignment="1" applyProtection="1">
      <alignment horizontal="right" vertical="center"/>
    </xf>
    <xf numFmtId="0" fontId="34" fillId="2" borderId="0" xfId="17" applyFont="1" applyFill="1" applyBorder="1" applyAlignment="1" applyProtection="1">
      <alignment horizontal="left"/>
    </xf>
    <xf numFmtId="0" fontId="41" fillId="0" borderId="0" xfId="16" applyFont="1" applyFill="1" applyBorder="1" applyAlignment="1" applyProtection="1">
      <alignment horizontal="right"/>
    </xf>
    <xf numFmtId="0" fontId="6" fillId="0" borderId="0" xfId="16"/>
    <xf numFmtId="170" fontId="15" fillId="0" borderId="9" xfId="0" applyNumberFormat="1" applyFont="1" applyBorder="1" applyAlignment="1">
      <alignment horizontal="right" vertical="center" wrapText="1" readingOrder="1"/>
    </xf>
    <xf numFmtId="169" fontId="21" fillId="0" borderId="0" xfId="11" applyNumberFormat="1" applyFont="1" applyFill="1"/>
    <xf numFmtId="0" fontId="21" fillId="0" borderId="0" xfId="11" applyFont="1" applyBorder="1" applyAlignment="1">
      <alignment horizontal="right"/>
    </xf>
    <xf numFmtId="0" fontId="21" fillId="0" borderId="0" xfId="11" applyFont="1" applyBorder="1" applyAlignment="1">
      <alignment horizontal="left"/>
    </xf>
    <xf numFmtId="3" fontId="21" fillId="0" borderId="0" xfId="11" applyNumberFormat="1" applyFont="1" applyBorder="1"/>
    <xf numFmtId="170" fontId="21" fillId="0" borderId="0" xfId="11" applyNumberFormat="1" applyFont="1" applyBorder="1"/>
    <xf numFmtId="164" fontId="34" fillId="0" borderId="0" xfId="0" quotePrefix="1" applyFont="1" applyFill="1" applyBorder="1" applyAlignment="1" applyProtection="1"/>
    <xf numFmtId="176" fontId="15" fillId="2" borderId="0" xfId="13" applyNumberFormat="1" applyFont="1" applyFill="1" applyAlignment="1" applyProtection="1">
      <alignment horizontal="right" vertical="center"/>
    </xf>
    <xf numFmtId="176" fontId="34" fillId="2" borderId="1" xfId="13" applyNumberFormat="1" applyFont="1" applyFill="1" applyBorder="1" applyAlignment="1" applyProtection="1">
      <alignment horizontal="right"/>
    </xf>
    <xf numFmtId="0" fontId="34" fillId="0" borderId="5" xfId="11" applyFont="1" applyFill="1" applyBorder="1" applyAlignment="1">
      <alignment horizontal="center"/>
    </xf>
    <xf numFmtId="0" fontId="34" fillId="0" borderId="5" xfId="11" applyFont="1" applyFill="1" applyBorder="1" applyAlignment="1">
      <alignment horizontal="right"/>
    </xf>
    <xf numFmtId="0" fontId="15" fillId="0" borderId="0" xfId="11" applyFont="1"/>
    <xf numFmtId="0" fontId="34" fillId="0" borderId="4" xfId="11" applyFont="1" applyFill="1" applyBorder="1" applyAlignment="1">
      <alignment horizontal="center"/>
    </xf>
    <xf numFmtId="0" fontId="34" fillId="0" borderId="4" xfId="11" applyFont="1" applyFill="1" applyBorder="1" applyAlignment="1">
      <alignment horizontal="right"/>
    </xf>
    <xf numFmtId="173" fontId="15" fillId="0" borderId="0" xfId="11" applyNumberFormat="1" applyFont="1" applyFill="1" applyAlignment="1" applyProtection="1">
      <alignment horizontal="left"/>
    </xf>
    <xf numFmtId="3" fontId="15" fillId="0" borderId="0" xfId="11" applyNumberFormat="1" applyFont="1" applyFill="1" applyBorder="1" applyAlignment="1">
      <alignment horizontal="right"/>
    </xf>
    <xf numFmtId="174" fontId="15" fillId="0" borderId="0" xfId="11" applyNumberFormat="1" applyFont="1" applyFill="1" applyBorder="1" applyAlignment="1">
      <alignment horizontal="right"/>
    </xf>
    <xf numFmtId="170" fontId="15" fillId="0" borderId="0" xfId="11" applyNumberFormat="1" applyFont="1"/>
    <xf numFmtId="1" fontId="15" fillId="0" borderId="0" xfId="12" applyNumberFormat="1" applyFont="1"/>
    <xf numFmtId="173" fontId="15" fillId="0" borderId="0" xfId="11" applyNumberFormat="1" applyFont="1" applyFill="1" applyBorder="1" applyAlignment="1" applyProtection="1">
      <alignment horizontal="left"/>
    </xf>
    <xf numFmtId="173" fontId="15" fillId="0" borderId="0" xfId="11" quotePrefix="1" applyNumberFormat="1" applyFont="1" applyFill="1" applyAlignment="1" applyProtection="1">
      <alignment horizontal="left"/>
    </xf>
    <xf numFmtId="173" fontId="15" fillId="0" borderId="0" xfId="11" quotePrefix="1" applyNumberFormat="1" applyFont="1" applyFill="1" applyBorder="1" applyAlignment="1" applyProtection="1">
      <alignment horizontal="left"/>
    </xf>
    <xf numFmtId="173" fontId="15" fillId="0" borderId="4" xfId="11" quotePrefix="1" applyNumberFormat="1" applyFont="1" applyFill="1" applyBorder="1" applyAlignment="1" applyProtection="1">
      <alignment horizontal="left"/>
    </xf>
    <xf numFmtId="174" fontId="15" fillId="0" borderId="4" xfId="11" applyNumberFormat="1" applyFont="1" applyFill="1" applyBorder="1" applyAlignment="1">
      <alignment horizontal="right"/>
    </xf>
    <xf numFmtId="164" fontId="43" fillId="0" borderId="0" xfId="4" applyFont="1" applyFill="1" applyBorder="1" applyAlignment="1" applyProtection="1">
      <alignment horizontal="left" vertical="center" indent="1"/>
    </xf>
    <xf numFmtId="0" fontId="15" fillId="0" borderId="0" xfId="6" applyFont="1" applyFill="1" applyBorder="1" applyProtection="1"/>
    <xf numFmtId="164" fontId="15" fillId="0" borderId="0" xfId="0" applyFont="1"/>
    <xf numFmtId="164" fontId="15" fillId="0" borderId="0" xfId="0" quotePrefix="1" applyFont="1"/>
    <xf numFmtId="0" fontId="15" fillId="0" borderId="0" xfId="0" applyNumberFormat="1" applyFont="1" applyFill="1" applyAlignment="1">
      <alignment horizontal="left"/>
    </xf>
    <xf numFmtId="166" fontId="15" fillId="0" borderId="0" xfId="9" applyNumberFormat="1" applyFont="1" applyFill="1" applyBorder="1" applyAlignment="1" applyProtection="1">
      <alignment horizontal="right" indent="1"/>
    </xf>
    <xf numFmtId="164" fontId="15" fillId="0" borderId="6" xfId="0" applyFont="1" applyFill="1" applyBorder="1" applyAlignment="1">
      <alignment horizontal="left"/>
    </xf>
    <xf numFmtId="1" fontId="34" fillId="0" borderId="6" xfId="4" applyNumberFormat="1" applyFont="1" applyFill="1" applyBorder="1" applyAlignment="1" applyProtection="1">
      <alignment horizontal="right" indent="1"/>
    </xf>
    <xf numFmtId="0" fontId="15" fillId="0" borderId="7" xfId="0" applyNumberFormat="1" applyFont="1" applyFill="1" applyBorder="1" applyAlignment="1">
      <alignment horizontal="left"/>
    </xf>
    <xf numFmtId="166" fontId="15" fillId="0" borderId="7" xfId="9" applyNumberFormat="1" applyFont="1" applyFill="1" applyBorder="1" applyAlignment="1" applyProtection="1">
      <alignment horizontal="right" indent="1"/>
    </xf>
    <xf numFmtId="1" fontId="15" fillId="2" borderId="0" xfId="4" applyNumberFormat="1" applyFont="1" applyFill="1" applyBorder="1" applyAlignment="1" applyProtection="1">
      <alignment horizontal="right" indent="1"/>
    </xf>
    <xf numFmtId="164" fontId="46" fillId="6" borderId="13" xfId="21" applyAlignment="1">
      <alignment vertical="center"/>
    </xf>
    <xf numFmtId="164" fontId="46" fillId="6" borderId="13" xfId="26" quotePrefix="1" applyAlignment="1">
      <alignment horizontal="center" vertical="center"/>
    </xf>
    <xf numFmtId="164" fontId="46" fillId="6" borderId="13" xfId="26" applyAlignment="1">
      <alignment horizontal="center" vertical="center"/>
    </xf>
    <xf numFmtId="164" fontId="48" fillId="4" borderId="13" xfId="25" quotePrefix="1" applyAlignment="1">
      <alignment horizontal="left" vertical="center"/>
    </xf>
    <xf numFmtId="166" fontId="47" fillId="4" borderId="13" xfId="23" applyAlignment="1">
      <alignment horizontal="right" vertical="center"/>
    </xf>
    <xf numFmtId="10" fontId="47" fillId="4" borderId="13" xfId="24" applyAlignment="1">
      <alignment horizontal="right" vertical="center"/>
    </xf>
    <xf numFmtId="164" fontId="49" fillId="5" borderId="13" xfId="27" quotePrefix="1" applyAlignment="1">
      <alignment horizontal="left" vertical="center"/>
    </xf>
    <xf numFmtId="166" fontId="45" fillId="5" borderId="13" xfId="20" applyAlignment="1">
      <alignment horizontal="right" vertical="center"/>
    </xf>
    <xf numFmtId="10" fontId="45" fillId="5" borderId="13" xfId="22" applyAlignment="1">
      <alignment horizontal="right" vertical="center"/>
    </xf>
    <xf numFmtId="164" fontId="46" fillId="6" borderId="16" xfId="30" applyAlignment="1">
      <alignment vertical="center"/>
    </xf>
    <xf numFmtId="166" fontId="51" fillId="0" borderId="0" xfId="4" applyNumberFormat="1" applyFont="1" applyFill="1" applyBorder="1" applyProtection="1"/>
    <xf numFmtId="176" fontId="51" fillId="0" borderId="0" xfId="13" applyNumberFormat="1" applyFont="1" applyFill="1" applyBorder="1" applyProtection="1"/>
    <xf numFmtId="177" fontId="15" fillId="2" borderId="0" xfId="18" applyNumberFormat="1" applyFont="1" applyFill="1" applyBorder="1" applyAlignment="1" applyProtection="1">
      <alignment horizontal="right" indent="1"/>
    </xf>
    <xf numFmtId="0" fontId="54" fillId="0" borderId="0" xfId="6" applyFont="1" applyFill="1" applyBorder="1" applyProtection="1"/>
    <xf numFmtId="164" fontId="55" fillId="0" borderId="0" xfId="0" applyFont="1" applyAlignment="1">
      <alignment horizontal="center"/>
    </xf>
    <xf numFmtId="164" fontId="46" fillId="6" borderId="13" xfId="29" applyAlignment="1">
      <alignment horizontal="center"/>
    </xf>
    <xf numFmtId="164" fontId="56" fillId="0" borderId="0" xfId="0" applyFont="1" applyAlignment="1">
      <alignment horizontal="center"/>
    </xf>
    <xf numFmtId="164" fontId="57" fillId="4" borderId="13" xfId="25" quotePrefix="1" applyFont="1" applyAlignment="1">
      <alignment horizontal="left" vertical="center"/>
    </xf>
    <xf numFmtId="166" fontId="58" fillId="0" borderId="0" xfId="0" applyNumberFormat="1" applyFont="1"/>
    <xf numFmtId="164" fontId="56" fillId="0" borderId="0" xfId="0" applyFont="1"/>
    <xf numFmtId="164" fontId="59" fillId="5" borderId="13" xfId="27" quotePrefix="1" applyFont="1" applyAlignment="1">
      <alignment horizontal="left" vertical="center"/>
    </xf>
    <xf numFmtId="166" fontId="60" fillId="5" borderId="13" xfId="20" applyFont="1" applyAlignment="1">
      <alignment horizontal="right" vertical="center"/>
    </xf>
    <xf numFmtId="164" fontId="61" fillId="8" borderId="17" xfId="0" applyFont="1" applyFill="1" applyBorder="1" applyAlignment="1">
      <alignment horizontal="center"/>
    </xf>
    <xf numFmtId="164" fontId="58" fillId="0" borderId="0" xfId="0" applyFont="1"/>
    <xf numFmtId="170" fontId="58" fillId="0" borderId="0" xfId="0" applyNumberFormat="1" applyFont="1"/>
    <xf numFmtId="164" fontId="46" fillId="5" borderId="13" xfId="33" quotePrefix="1" applyAlignment="1">
      <alignment horizontal="center"/>
    </xf>
    <xf numFmtId="164" fontId="46" fillId="5" borderId="13" xfId="33" applyAlignment="1">
      <alignment horizontal="center"/>
    </xf>
    <xf numFmtId="164" fontId="62" fillId="9" borderId="18" xfId="33" applyFont="1" applyFill="1" applyBorder="1" applyAlignment="1">
      <alignment horizontal="center"/>
    </xf>
    <xf numFmtId="164" fontId="63" fillId="8" borderId="0" xfId="0" applyFont="1" applyFill="1"/>
    <xf numFmtId="168" fontId="63" fillId="8" borderId="0" xfId="0" applyNumberFormat="1" applyFont="1" applyFill="1"/>
    <xf numFmtId="164" fontId="48" fillId="4" borderId="13" xfId="25" applyAlignment="1">
      <alignment horizontal="left" vertical="center"/>
    </xf>
    <xf numFmtId="164" fontId="64" fillId="0" borderId="0" xfId="0" applyFont="1"/>
    <xf numFmtId="178" fontId="15" fillId="0" borderId="0" xfId="6" applyNumberFormat="1" applyFont="1" applyFill="1" applyBorder="1" applyAlignment="1" applyProtection="1">
      <alignment horizontal="left" vertical="top" wrapText="1"/>
    </xf>
    <xf numFmtId="164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167" fontId="47" fillId="4" borderId="13" xfId="35" applyAlignment="1">
      <alignment horizontal="right" vertical="center"/>
    </xf>
    <xf numFmtId="167" fontId="45" fillId="5" borderId="13" xfId="36" applyAlignment="1">
      <alignment horizontal="right" vertical="center"/>
    </xf>
    <xf numFmtId="164" fontId="46" fillId="10" borderId="13" xfId="29" quotePrefix="1" applyFill="1" applyAlignment="1">
      <alignment horizontal="center"/>
    </xf>
    <xf numFmtId="3" fontId="58" fillId="0" borderId="0" xfId="0" applyNumberFormat="1" applyFont="1"/>
    <xf numFmtId="0" fontId="15" fillId="2" borderId="7" xfId="0" applyNumberFormat="1" applyFont="1" applyFill="1" applyBorder="1" applyAlignment="1">
      <alignment horizontal="left"/>
    </xf>
    <xf numFmtId="166" fontId="15" fillId="2" borderId="7" xfId="9" applyNumberFormat="1" applyFont="1" applyFill="1" applyBorder="1" applyAlignment="1" applyProtection="1">
      <alignment horizontal="right" indent="1"/>
    </xf>
    <xf numFmtId="0" fontId="65" fillId="0" borderId="0" xfId="6" applyFont="1" applyFill="1" applyBorder="1" applyProtection="1"/>
    <xf numFmtId="0" fontId="15" fillId="0" borderId="0" xfId="0" applyNumberFormat="1" applyFont="1" applyAlignment="1">
      <alignment horizontal="center"/>
    </xf>
    <xf numFmtId="164" fontId="34" fillId="2" borderId="19" xfId="0" quotePrefix="1" applyFont="1" applyFill="1" applyBorder="1" applyAlignment="1" applyProtection="1"/>
    <xf numFmtId="0" fontId="15" fillId="2" borderId="19" xfId="0" applyNumberFormat="1" applyFont="1" applyFill="1" applyBorder="1" applyAlignment="1">
      <alignment horizontal="center"/>
    </xf>
    <xf numFmtId="164" fontId="15" fillId="0" borderId="0" xfId="0" applyFont="1" applyAlignment="1">
      <alignment horizontal="center"/>
    </xf>
    <xf numFmtId="164" fontId="15" fillId="2" borderId="0" xfId="0" applyFont="1" applyFill="1"/>
    <xf numFmtId="3" fontId="15" fillId="2" borderId="0" xfId="0" applyNumberFormat="1" applyFont="1" applyFill="1"/>
    <xf numFmtId="164" fontId="15" fillId="2" borderId="7" xfId="0" applyFont="1" applyFill="1" applyBorder="1"/>
    <xf numFmtId="3" fontId="15" fillId="2" borderId="7" xfId="0" applyNumberFormat="1" applyFont="1" applyFill="1" applyBorder="1"/>
    <xf numFmtId="164" fontId="15" fillId="2" borderId="20" xfId="0" applyFont="1" applyFill="1" applyBorder="1"/>
    <xf numFmtId="3" fontId="15" fillId="2" borderId="20" xfId="0" applyNumberFormat="1" applyFont="1" applyFill="1" applyBorder="1"/>
    <xf numFmtId="168" fontId="15" fillId="2" borderId="20" xfId="0" applyNumberFormat="1" applyFont="1" applyFill="1" applyBorder="1"/>
    <xf numFmtId="0" fontId="15" fillId="2" borderId="7" xfId="0" applyNumberFormat="1" applyFont="1" applyFill="1" applyBorder="1"/>
    <xf numFmtId="164" fontId="15" fillId="0" borderId="0" xfId="0" applyFont="1" applyAlignment="1">
      <alignment horizontal="left" indent="1"/>
    </xf>
    <xf numFmtId="168" fontId="15" fillId="0" borderId="0" xfId="0" applyNumberFormat="1" applyFont="1" applyAlignment="1">
      <alignment horizontal="center"/>
    </xf>
    <xf numFmtId="164" fontId="15" fillId="0" borderId="0" xfId="0" applyFont="1" applyAlignment="1">
      <alignment horizontal="right"/>
    </xf>
    <xf numFmtId="14" fontId="15" fillId="2" borderId="0" xfId="0" applyNumberFormat="1" applyFont="1" applyFill="1"/>
    <xf numFmtId="3" fontId="15" fillId="2" borderId="0" xfId="0" applyNumberFormat="1" applyFont="1" applyFill="1" applyAlignment="1"/>
    <xf numFmtId="166" fontId="15" fillId="2" borderId="0" xfId="0" applyNumberFormat="1" applyFont="1" applyFill="1"/>
    <xf numFmtId="164" fontId="15" fillId="2" borderId="0" xfId="0" applyFont="1" applyFill="1" applyAlignment="1">
      <alignment horizontal="left" indent="1"/>
    </xf>
    <xf numFmtId="164" fontId="15" fillId="2" borderId="7" xfId="0" applyNumberFormat="1" applyFont="1" applyFill="1" applyBorder="1"/>
    <xf numFmtId="168" fontId="15" fillId="2" borderId="7" xfId="0" applyNumberFormat="1" applyFont="1" applyFill="1" applyBorder="1"/>
    <xf numFmtId="164" fontId="15" fillId="2" borderId="19" xfId="0" quotePrefix="1" applyFont="1" applyFill="1" applyBorder="1"/>
    <xf numFmtId="0" fontId="15" fillId="2" borderId="19" xfId="0" applyNumberFormat="1" applyFont="1" applyFill="1" applyBorder="1"/>
    <xf numFmtId="0" fontId="15" fillId="2" borderId="19" xfId="0" quotePrefix="1" applyNumberFormat="1" applyFont="1" applyFill="1" applyBorder="1"/>
    <xf numFmtId="170" fontId="15" fillId="2" borderId="7" xfId="13" applyNumberFormat="1" applyFont="1" applyFill="1" applyBorder="1"/>
    <xf numFmtId="0" fontId="15" fillId="0" borderId="0" xfId="0" applyNumberFormat="1" applyFont="1"/>
    <xf numFmtId="0" fontId="15" fillId="2" borderId="3" xfId="11" applyFont="1" applyFill="1" applyBorder="1" applyAlignment="1">
      <alignment horizontal="center"/>
    </xf>
    <xf numFmtId="0" fontId="15" fillId="2" borderId="3" xfId="11" applyFont="1" applyFill="1" applyBorder="1" applyAlignment="1">
      <alignment horizontal="right"/>
    </xf>
    <xf numFmtId="0" fontId="15" fillId="2" borderId="3" xfId="11" applyFont="1" applyFill="1" applyBorder="1" applyAlignment="1">
      <alignment horizontal="right" wrapText="1"/>
    </xf>
    <xf numFmtId="0" fontId="15" fillId="0" borderId="0" xfId="11" applyFont="1" applyFill="1" applyBorder="1" applyAlignment="1">
      <alignment horizontal="right"/>
    </xf>
    <xf numFmtId="169" fontId="15" fillId="0" borderId="0" xfId="11" applyNumberFormat="1" applyFont="1" applyFill="1" applyBorder="1" applyAlignment="1">
      <alignment horizontal="right"/>
    </xf>
    <xf numFmtId="0" fontId="15" fillId="0" borderId="0" xfId="11" applyNumberFormat="1" applyFont="1" applyFill="1"/>
    <xf numFmtId="0" fontId="15" fillId="2" borderId="0" xfId="11" applyFont="1" applyFill="1"/>
    <xf numFmtId="171" fontId="15" fillId="2" borderId="0" xfId="11" applyNumberFormat="1" applyFont="1" applyFill="1"/>
    <xf numFmtId="0" fontId="15" fillId="2" borderId="0" xfId="11" applyFont="1" applyFill="1" applyBorder="1"/>
    <xf numFmtId="3" fontId="15" fillId="2" borderId="0" xfId="11" applyNumberFormat="1" applyFont="1" applyFill="1"/>
    <xf numFmtId="0" fontId="15" fillId="0" borderId="0" xfId="3" applyFont="1" applyFill="1" applyBorder="1"/>
    <xf numFmtId="169" fontId="15" fillId="0" borderId="0" xfId="11" applyNumberFormat="1" applyFont="1" applyFill="1"/>
    <xf numFmtId="0" fontId="15" fillId="0" borderId="0" xfId="11" applyFont="1" applyFill="1"/>
    <xf numFmtId="171" fontId="15" fillId="2" borderId="0" xfId="11" applyNumberFormat="1" applyFont="1" applyFill="1" applyBorder="1"/>
    <xf numFmtId="0" fontId="15" fillId="2" borderId="11" xfId="11" applyFont="1" applyFill="1" applyBorder="1"/>
    <xf numFmtId="171" fontId="15" fillId="2" borderId="11" xfId="11" applyNumberFormat="1" applyFont="1" applyFill="1" applyBorder="1"/>
    <xf numFmtId="0" fontId="15" fillId="2" borderId="4" xfId="11" applyFont="1" applyFill="1" applyBorder="1"/>
    <xf numFmtId="3" fontId="15" fillId="2" borderId="4" xfId="11" applyNumberFormat="1" applyFont="1" applyFill="1" applyBorder="1"/>
    <xf numFmtId="3" fontId="15" fillId="0" borderId="0" xfId="11" applyNumberFormat="1" applyFont="1" applyFill="1"/>
    <xf numFmtId="170" fontId="15" fillId="0" borderId="0" xfId="11" applyNumberFormat="1" applyFont="1" applyFill="1"/>
    <xf numFmtId="169" fontId="15" fillId="0" borderId="0" xfId="11" applyNumberFormat="1" applyFont="1"/>
    <xf numFmtId="0" fontId="15" fillId="0" borderId="0" xfId="11" applyNumberFormat="1" applyFont="1"/>
    <xf numFmtId="1" fontId="15" fillId="0" borderId="0" xfId="11" applyNumberFormat="1" applyFont="1" applyFill="1"/>
    <xf numFmtId="17" fontId="15" fillId="2" borderId="3" xfId="11" quotePrefix="1" applyNumberFormat="1" applyFont="1" applyFill="1" applyBorder="1" applyAlignment="1">
      <alignment horizontal="right"/>
    </xf>
    <xf numFmtId="0" fontId="5" fillId="11" borderId="0" xfId="6" applyFont="1" applyFill="1" applyBorder="1" applyProtection="1"/>
    <xf numFmtId="0" fontId="7" fillId="11" borderId="0" xfId="6" applyFont="1" applyFill="1" applyBorder="1" applyProtection="1"/>
    <xf numFmtId="14" fontId="65" fillId="2" borderId="0" xfId="0" applyNumberFormat="1" applyFont="1" applyFill="1"/>
    <xf numFmtId="164" fontId="65" fillId="2" borderId="0" xfId="0" applyFont="1" applyFill="1"/>
    <xf numFmtId="3" fontId="65" fillId="2" borderId="0" xfId="0" applyNumberFormat="1" applyFont="1" applyFill="1" applyAlignment="1"/>
    <xf numFmtId="166" fontId="65" fillId="2" borderId="0" xfId="0" applyNumberFormat="1" applyFont="1" applyFill="1"/>
    <xf numFmtId="168" fontId="56" fillId="0" borderId="0" xfId="0" applyNumberFormat="1" applyFont="1"/>
    <xf numFmtId="3" fontId="34" fillId="0" borderId="1" xfId="0" applyNumberFormat="1" applyFont="1" applyFill="1" applyBorder="1" applyProtection="1"/>
    <xf numFmtId="3" fontId="15" fillId="0" borderId="1" xfId="0" applyNumberFormat="1" applyFont="1" applyFill="1" applyBorder="1" applyProtection="1"/>
    <xf numFmtId="3" fontId="15" fillId="11" borderId="0" xfId="0" applyNumberFormat="1" applyFont="1" applyFill="1" applyBorder="1" applyAlignment="1">
      <alignment horizontal="right" vertical="center" wrapText="1"/>
    </xf>
    <xf numFmtId="164" fontId="15" fillId="11" borderId="8" xfId="0" applyFont="1" applyFill="1" applyBorder="1" applyAlignment="1">
      <alignment horizontal="right" vertical="center" wrapText="1"/>
    </xf>
    <xf numFmtId="170" fontId="15" fillId="11" borderId="9" xfId="0" applyNumberFormat="1" applyFont="1" applyFill="1" applyBorder="1" applyAlignment="1">
      <alignment horizontal="right" vertical="center" wrapText="1"/>
    </xf>
    <xf numFmtId="164" fontId="15" fillId="11" borderId="10" xfId="0" applyFont="1" applyFill="1" applyBorder="1" applyAlignment="1">
      <alignment horizontal="right" vertical="center" wrapText="1"/>
    </xf>
    <xf numFmtId="164" fontId="46" fillId="6" borderId="13" xfId="29" quotePrefix="1" applyAlignment="1">
      <alignment horizontal="center"/>
    </xf>
    <xf numFmtId="164" fontId="46" fillId="6" borderId="13" xfId="29" quotePrefix="1" applyAlignment="1">
      <alignment horizontal="center"/>
    </xf>
    <xf numFmtId="3" fontId="15" fillId="12" borderId="0" xfId="0" applyNumberFormat="1" applyFont="1" applyFill="1" applyAlignment="1" applyProtection="1">
      <alignment horizontal="right" vertical="center"/>
    </xf>
    <xf numFmtId="176" fontId="15" fillId="12" borderId="0" xfId="13" applyNumberFormat="1" applyFont="1" applyFill="1" applyAlignment="1" applyProtection="1">
      <alignment horizontal="right" vertical="center"/>
    </xf>
    <xf numFmtId="3" fontId="34" fillId="12" borderId="1" xfId="0" applyNumberFormat="1" applyFont="1" applyFill="1" applyBorder="1" applyAlignment="1" applyProtection="1"/>
    <xf numFmtId="176" fontId="34" fillId="12" borderId="1" xfId="13" applyNumberFormat="1" applyFont="1" applyFill="1" applyBorder="1" applyAlignment="1" applyProtection="1">
      <alignment horizontal="right"/>
    </xf>
    <xf numFmtId="164" fontId="34" fillId="0" borderId="0" xfId="4" applyFont="1" applyFill="1" applyBorder="1" applyAlignment="1" applyProtection="1">
      <alignment horizontal="left" vertical="top" wrapText="1"/>
    </xf>
    <xf numFmtId="164" fontId="11" fillId="3" borderId="2" xfId="4" quotePrefix="1" applyNumberFormat="1" applyFont="1" applyFill="1" applyBorder="1" applyAlignment="1" applyProtection="1">
      <alignment horizontal="right" indent="1"/>
    </xf>
    <xf numFmtId="0" fontId="11" fillId="3" borderId="2" xfId="4" applyNumberFormat="1" applyFont="1" applyFill="1" applyBorder="1" applyAlignment="1" applyProtection="1">
      <alignment horizontal="right" indent="1"/>
    </xf>
    <xf numFmtId="164" fontId="11" fillId="3" borderId="2" xfId="4" applyFont="1" applyFill="1" applyBorder="1" applyAlignment="1" applyProtection="1">
      <alignment horizontal="right" indent="1"/>
    </xf>
    <xf numFmtId="0" fontId="15" fillId="0" borderId="0" xfId="4" applyNumberFormat="1" applyFont="1" applyFill="1" applyAlignment="1" applyProtection="1">
      <alignment horizontal="left" wrapText="1"/>
    </xf>
    <xf numFmtId="0" fontId="15" fillId="0" borderId="5" xfId="4" applyNumberFormat="1" applyFont="1" applyFill="1" applyBorder="1" applyAlignment="1" applyProtection="1">
      <alignment horizontal="justify"/>
    </xf>
    <xf numFmtId="0" fontId="15" fillId="0" borderId="0" xfId="4" applyNumberFormat="1" applyFont="1" applyFill="1" applyBorder="1" applyAlignment="1" applyProtection="1">
      <alignment horizontal="justify"/>
    </xf>
    <xf numFmtId="0" fontId="34" fillId="0" borderId="0" xfId="6" applyFont="1" applyFill="1" applyBorder="1" applyAlignment="1" applyProtection="1">
      <alignment horizontal="left" vertical="top" wrapText="1"/>
    </xf>
    <xf numFmtId="0" fontId="34" fillId="0" borderId="0" xfId="2" applyFont="1" applyFill="1" applyBorder="1" applyAlignment="1" applyProtection="1">
      <alignment horizontal="left" vertical="top" wrapText="1"/>
    </xf>
    <xf numFmtId="164" fontId="34" fillId="2" borderId="0" xfId="10" quotePrefix="1" applyNumberFormat="1" applyFont="1" applyFill="1" applyBorder="1" applyAlignment="1">
      <alignment horizontal="center" vertical="center"/>
    </xf>
    <xf numFmtId="0" fontId="34" fillId="2" borderId="8" xfId="10" applyNumberFormat="1" applyFont="1" applyFill="1" applyBorder="1" applyAlignment="1">
      <alignment horizontal="center" vertical="center"/>
    </xf>
    <xf numFmtId="0" fontId="34" fillId="2" borderId="0" xfId="10" applyNumberFormat="1" applyFont="1" applyFill="1" applyBorder="1" applyAlignment="1">
      <alignment horizontal="center" vertical="center"/>
    </xf>
    <xf numFmtId="164" fontId="46" fillId="6" borderId="13" xfId="29" quotePrefix="1" applyAlignment="1">
      <alignment horizontal="center"/>
    </xf>
    <xf numFmtId="164" fontId="0" fillId="0" borderId="11" xfId="0" applyBorder="1" applyAlignment="1">
      <alignment horizontal="center"/>
    </xf>
    <xf numFmtId="164" fontId="46" fillId="6" borderId="15" xfId="29" quotePrefix="1" applyBorder="1" applyAlignment="1">
      <alignment horizontal="center"/>
    </xf>
    <xf numFmtId="164" fontId="0" fillId="0" borderId="14" xfId="0" applyBorder="1" applyAlignment="1">
      <alignment horizontal="center"/>
    </xf>
    <xf numFmtId="164" fontId="46" fillId="6" borderId="15" xfId="26" quotePrefix="1" applyBorder="1" applyAlignment="1">
      <alignment horizontal="center" vertical="center"/>
    </xf>
    <xf numFmtId="164" fontId="0" fillId="0" borderId="14" xfId="0" applyBorder="1" applyAlignment="1">
      <alignment horizontal="center" vertical="center"/>
    </xf>
    <xf numFmtId="164" fontId="15" fillId="2" borderId="20" xfId="0" applyFont="1" applyFill="1" applyBorder="1" applyAlignment="1">
      <alignment horizontal="center" wrapText="1"/>
    </xf>
    <xf numFmtId="164" fontId="15" fillId="2" borderId="7" xfId="0" applyFont="1" applyFill="1" applyBorder="1" applyAlignment="1">
      <alignment horizontal="center" wrapText="1"/>
    </xf>
    <xf numFmtId="164" fontId="46" fillId="10" borderId="15" xfId="29" applyFill="1" applyBorder="1" applyAlignment="1">
      <alignment horizontal="center"/>
    </xf>
    <xf numFmtId="164" fontId="46" fillId="10" borderId="14" xfId="29" applyFill="1" applyBorder="1" applyAlignment="1">
      <alignment horizontal="center"/>
    </xf>
    <xf numFmtId="164" fontId="34" fillId="2" borderId="12" xfId="0" applyFont="1" applyFill="1" applyBorder="1" applyAlignment="1" applyProtection="1">
      <alignment horizontal="center"/>
    </xf>
    <xf numFmtId="0" fontId="34" fillId="0" borderId="3" xfId="11" applyFont="1" applyFill="1" applyBorder="1" applyAlignment="1">
      <alignment horizontal="center"/>
    </xf>
  </cellXfs>
  <cellStyles count="40">
    <cellStyle name="consejo" xfId="10" xr:uid="{00000000-0005-0000-0000-000000000000}"/>
    <cellStyle name="Hipervínculo 2" xfId="17" xr:uid="{00000000-0005-0000-0000-000001000000}"/>
    <cellStyle name="Hipervínculo 3" xfId="15" xr:uid="{00000000-0005-0000-0000-000002000000}"/>
    <cellStyle name="Millares" xfId="18" builtinId="3"/>
    <cellStyle name="MSTRStyle.Todos.c1_f233c5b5-8efc-40cc-a089-d6ee1d6d5aff" xfId="28" xr:uid="{00000000-0005-0000-0000-000004000000}"/>
    <cellStyle name="MSTRStyle.Todos.c13_7e420611-275d-473b-8f31-0e521fd83d09" xfId="26" xr:uid="{00000000-0005-0000-0000-000005000000}"/>
    <cellStyle name="MSTRStyle.Todos.c15_2cf64c0a-4b23-4d71-9fc9-4d389f48a7db" xfId="35" xr:uid="{00000000-0005-0000-0000-000006000000}"/>
    <cellStyle name="MSTRStyle.Todos.c16_a3abbdba-39c5-4475-8de4-e6135500e251" xfId="23" xr:uid="{00000000-0005-0000-0000-000007000000}"/>
    <cellStyle name="MSTRStyle.Todos.c18_19c4098a-8743-4bc4-b466-65d82a5a7505" xfId="24" xr:uid="{00000000-0005-0000-0000-000008000000}"/>
    <cellStyle name="MSTRStyle.Todos.c19_15009b83-d662-472c-ae48-4df3fea471dd" xfId="36" xr:uid="{00000000-0005-0000-0000-000009000000}"/>
    <cellStyle name="MSTRStyle.Todos.c2_3c6e317f-bd39-4422-933b-ac144830b67b" xfId="21" xr:uid="{00000000-0005-0000-0000-00000A000000}"/>
    <cellStyle name="MSTRStyle.Todos.c20_17d38e15-bcc2-49f6-adb0-74fa24f73c0d" xfId="19" xr:uid="{00000000-0005-0000-0000-00000B000000}"/>
    <cellStyle name="MSTRStyle.Todos.c21_8e710c8e-e33a-4c2d-8e81-b7657ce67fb9" xfId="33" xr:uid="{00000000-0005-0000-0000-00000C000000}"/>
    <cellStyle name="MSTRStyle.Todos.c22_928c9b5c-8086-45a3-84f9-2dc5b737a557" xfId="27" xr:uid="{00000000-0005-0000-0000-00000D000000}"/>
    <cellStyle name="MSTRStyle.Todos.c23_54a66e00-ce3a-4eb4-88c1-b8c753f0ebd7" xfId="32" xr:uid="{00000000-0005-0000-0000-00000E000000}"/>
    <cellStyle name="MSTRStyle.Todos.c23_b4897d19-5129-427d-b27c-b6d10c22bb8b" xfId="20" xr:uid="{00000000-0005-0000-0000-00000F000000}"/>
    <cellStyle name="MSTRStyle.Todos.c24_035038c2-2ddd-4b85-84d7-5bc27c6cfc1f" xfId="22" xr:uid="{00000000-0005-0000-0000-000010000000}"/>
    <cellStyle name="MSTRStyle.Todos.c25_afaf7586-66ac-412d-9de1-4c2909e1f8f2" xfId="31" xr:uid="{00000000-0005-0000-0000-000011000000}"/>
    <cellStyle name="MSTRStyle.Todos.c3_643e75d5-5bb6-4a8f-a153-5b2cbad6ca42" xfId="25" xr:uid="{00000000-0005-0000-0000-000012000000}"/>
    <cellStyle name="MSTRStyle.Todos.c6_81bfd3a6-0f47-492d-bc49-79c4fbba0499" xfId="34" xr:uid="{00000000-0005-0000-0000-000013000000}"/>
    <cellStyle name="MSTRStyle.Todos.c7_3e22e94e-2e1a-4be3-9466-931f06a0e26e" xfId="30" xr:uid="{00000000-0005-0000-0000-000014000000}"/>
    <cellStyle name="MSTRStyle.Todos.c9_5a51e594-f96b-4da2-8e95-9c20ffe12f9e" xfId="29" xr:uid="{00000000-0005-0000-0000-000015000000}"/>
    <cellStyle name="Normal" xfId="0" builtinId="0"/>
    <cellStyle name="Normal 2" xfId="4" xr:uid="{00000000-0005-0000-0000-000017000000}"/>
    <cellStyle name="Normal 2 2" xfId="11" xr:uid="{00000000-0005-0000-0000-000018000000}"/>
    <cellStyle name="Normal 2 2 2" xfId="16" xr:uid="{00000000-0005-0000-0000-000019000000}"/>
    <cellStyle name="Normal 3" xfId="3" xr:uid="{00000000-0005-0000-0000-00001A000000}"/>
    <cellStyle name="Normal 3 2" xfId="8" xr:uid="{00000000-0005-0000-0000-00001B000000}"/>
    <cellStyle name="Normal 4" xfId="5" xr:uid="{00000000-0005-0000-0000-00001C000000}"/>
    <cellStyle name="Normal 4 2" xfId="7" xr:uid="{00000000-0005-0000-0000-00001D000000}"/>
    <cellStyle name="Normal 5" xfId="12" xr:uid="{00000000-0005-0000-0000-00001E000000}"/>
    <cellStyle name="Normal 6" xfId="37" xr:uid="{00000000-0005-0000-0000-000053000000}"/>
    <cellStyle name="Normal 7" xfId="2" xr:uid="{00000000-0005-0000-0000-00001F000000}"/>
    <cellStyle name="Normal 8" xfId="38" xr:uid="{00000000-0005-0000-0000-000054000000}"/>
    <cellStyle name="Normal 9" xfId="39" xr:uid="{00000000-0005-0000-0000-000055000000}"/>
    <cellStyle name="Normal_3 Regimen Ordinario" xfId="14" xr:uid="{00000000-0005-0000-0000-000020000000}"/>
    <cellStyle name="Normal_5 Regimen Especial" xfId="6" xr:uid="{00000000-0005-0000-0000-000021000000}"/>
    <cellStyle name="Normal_A1 Comparacion Internacional" xfId="1" xr:uid="{00000000-0005-0000-0000-000022000000}"/>
    <cellStyle name="Normal_cuadro 1.1 2" xfId="9" xr:uid="{00000000-0005-0000-0000-000023000000}"/>
    <cellStyle name="Porcentaje" xfId="13" builtinId="5"/>
  </cellStyles>
  <dxfs count="2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44B114"/>
      <color rgb="FF385723"/>
      <color rgb="FFFFFF99"/>
      <color rgb="FF004563"/>
      <color rgb="FF7F7F7F"/>
      <color rgb="FFA0A0A0"/>
      <color rgb="FFF5F5F5"/>
      <color rgb="FFFFC000"/>
      <color rgb="FF4472C4"/>
      <color rgb="FF1F4E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338108955892703"/>
          <c:y val="0.10657897174617879"/>
          <c:w val="0.4868981499263812"/>
          <c:h val="0.7828558489012403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32E5-4465-9654-3942BDE5BA0E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32E5-4465-9654-3942BDE5BA0E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32E5-4465-9654-3942BDE5BA0E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32E5-4465-9654-3942BDE5BA0E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32E5-4465-9654-3942BDE5BA0E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32E5-4465-9654-3942BDE5BA0E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32E5-4465-9654-3942BDE5BA0E}"/>
              </c:ext>
            </c:extLst>
          </c:dPt>
          <c:dPt>
            <c:idx val="7"/>
            <c:bubble3D val="0"/>
            <c:spPr>
              <a:solidFill>
                <a:srgbClr val="70AD47"/>
              </a:solidFill>
            </c:spPr>
            <c:extLst>
              <c:ext xmlns:c16="http://schemas.microsoft.com/office/drawing/2014/chart" uri="{C3380CC4-5D6E-409C-BE32-E72D297353CC}">
                <c16:uniqueId val="{0000000F-32E5-4465-9654-3942BDE5BA0E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32E5-4465-9654-3942BDE5BA0E}"/>
              </c:ext>
            </c:extLst>
          </c:dPt>
          <c:dPt>
            <c:idx val="9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13-32E5-4465-9654-3942BDE5BA0E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32E5-4465-9654-3942BDE5BA0E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32E5-4465-9654-3942BDE5BA0E}"/>
              </c:ext>
            </c:extLst>
          </c:dPt>
          <c:dLbls>
            <c:dLbl>
              <c:idx val="0"/>
              <c:layout>
                <c:manualLayout>
                  <c:x val="0.13333333333333333"/>
                  <c:y val="-0.1261485255519530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E5-4465-9654-3942BDE5BA0E}"/>
                </c:ext>
              </c:extLst>
            </c:dLbl>
            <c:dLbl>
              <c:idx val="1"/>
              <c:layout>
                <c:manualLayout>
                  <c:x val="0.1821138211382114"/>
                  <c:y val="-6.27450980392156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E5-4465-9654-3942BDE5BA0E}"/>
                </c:ext>
              </c:extLst>
            </c:dLbl>
            <c:dLbl>
              <c:idx val="2"/>
              <c:layout>
                <c:manualLayout>
                  <c:x val="0.14959349593495935"/>
                  <c:y val="-4.96732026143791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32E5-4465-9654-3942BDE5BA0E}"/>
                </c:ext>
              </c:extLst>
            </c:dLbl>
            <c:dLbl>
              <c:idx val="3"/>
              <c:layout>
                <c:manualLayout>
                  <c:x val="0.14308943089430895"/>
                  <c:y val="0.1620915032679737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134959349593495"/>
                      <c:h val="0.128549225464464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32E5-4465-9654-3942BDE5BA0E}"/>
                </c:ext>
              </c:extLst>
            </c:dLbl>
            <c:dLbl>
              <c:idx val="4"/>
              <c:layout>
                <c:manualLayout>
                  <c:x val="0.11707317073170732"/>
                  <c:y val="0.151633986928104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E5-4465-9654-3942BDE5BA0E}"/>
                </c:ext>
              </c:extLst>
            </c:dLbl>
            <c:dLbl>
              <c:idx val="5"/>
              <c:layout>
                <c:manualLayout>
                  <c:x val="-0.13333333333333333"/>
                  <c:y val="0.129486696515876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9016272965879266"/>
                      <c:h val="0.159921774484071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32E5-4465-9654-3942BDE5BA0E}"/>
                </c:ext>
              </c:extLst>
            </c:dLbl>
            <c:dLbl>
              <c:idx val="6"/>
              <c:layout>
                <c:manualLayout>
                  <c:x val="-0.27967479674796747"/>
                  <c:y val="5.751633986928095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E5-4465-9654-3942BDE5BA0E}"/>
                </c:ext>
              </c:extLst>
            </c:dLbl>
            <c:dLbl>
              <c:idx val="7"/>
              <c:layout>
                <c:manualLayout>
                  <c:x val="-0.20487804878048779"/>
                  <c:y val="1.045751633986918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E5-4465-9654-3942BDE5BA0E}"/>
                </c:ext>
              </c:extLst>
            </c:dLbl>
            <c:dLbl>
              <c:idx val="8"/>
              <c:layout>
                <c:manualLayout>
                  <c:x val="-0.17723590039049997"/>
                  <c:y val="4.96732026143790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32E5-4465-9654-3942BDE5BA0E}"/>
                </c:ext>
              </c:extLst>
            </c:dLbl>
            <c:dLbl>
              <c:idx val="9"/>
              <c:layout>
                <c:manualLayout>
                  <c:x val="-0.26829268292682928"/>
                  <c:y val="2.365086717101538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146354266692274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32E5-4465-9654-3942BDE5BA0E}"/>
                </c:ext>
              </c:extLst>
            </c:dLbl>
            <c:dLbl>
              <c:idx val="10"/>
              <c:layout>
                <c:manualLayout>
                  <c:x val="-0.21463414634146344"/>
                  <c:y val="-7.581699346405229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78536585365853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5-32E5-4465-9654-3942BDE5BA0E}"/>
                </c:ext>
              </c:extLst>
            </c:dLbl>
            <c:dLbl>
              <c:idx val="11"/>
              <c:layout>
                <c:manualLayout>
                  <c:x val="-9.9186991869918723E-2"/>
                  <c:y val="-0.14379084967320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03739837398374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7-32E5-4465-9654-3942BDE5BA0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Dat_01!$A$33:$A$44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Dat_01!$C$33:$C$44</c:f>
              <c:numCache>
                <c:formatCode>#,##0.0</c:formatCode>
                <c:ptCount val="12"/>
                <c:pt idx="0">
                  <c:v>3.4</c:v>
                </c:pt>
                <c:pt idx="1">
                  <c:v>7.2</c:v>
                </c:pt>
                <c:pt idx="2">
                  <c:v>9.4</c:v>
                </c:pt>
                <c:pt idx="3">
                  <c:v>24.9</c:v>
                </c:pt>
                <c:pt idx="4">
                  <c:v>5.7999999999999972</c:v>
                </c:pt>
                <c:pt idx="5">
                  <c:v>0.5</c:v>
                </c:pt>
                <c:pt idx="6">
                  <c:v>0.1</c:v>
                </c:pt>
                <c:pt idx="7">
                  <c:v>23.5</c:v>
                </c:pt>
                <c:pt idx="8">
                  <c:v>17.3</c:v>
                </c:pt>
                <c:pt idx="9">
                  <c:v>4.7</c:v>
                </c:pt>
                <c:pt idx="10">
                  <c:v>2.2999999999999998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32E5-4465-9654-3942BDE5BA0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362499199795147"/>
          <c:y val="0.11633742473367299"/>
          <c:w val="0.49665424748735676"/>
          <c:h val="0.74863324069785397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1-0A0C-4662-A9BD-07E9D4C56B89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3-0A0C-4662-A9BD-07E9D4C56B89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5-0A0C-4662-A9BD-07E9D4C56B89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7-0A0C-4662-A9BD-07E9D4C56B89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09-0A0C-4662-A9BD-07E9D4C56B89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0B-0A0C-4662-A9BD-07E9D4C56B89}"/>
              </c:ext>
            </c:extLst>
          </c:dPt>
          <c:dPt>
            <c:idx val="6"/>
            <c:bubble3D val="0"/>
            <c:spPr>
              <a:solidFill>
                <a:srgbClr val="A0A0A0"/>
              </a:solidFill>
            </c:spPr>
            <c:extLst>
              <c:ext xmlns:c16="http://schemas.microsoft.com/office/drawing/2014/chart" uri="{C3380CC4-5D6E-409C-BE32-E72D297353CC}">
                <c16:uniqueId val="{0000000D-0A0C-4662-A9BD-07E9D4C56B89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0F-0A0C-4662-A9BD-07E9D4C56B89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1-0A0C-4662-A9BD-07E9D4C56B89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3-0A0C-4662-A9BD-07E9D4C56B89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5-0A0C-4662-A9BD-07E9D4C56B89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7-0A0C-4662-A9BD-07E9D4C56B89}"/>
              </c:ext>
            </c:extLst>
          </c:dPt>
          <c:dLbls>
            <c:dLbl>
              <c:idx val="0"/>
              <c:layout>
                <c:manualLayout>
                  <c:x val="0.27642276422764217"/>
                  <c:y val="-4.411764705882351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0C-4662-A9BD-07E9D4C56B89}"/>
                </c:ext>
              </c:extLst>
            </c:dLbl>
            <c:dLbl>
              <c:idx val="1"/>
              <c:layout>
                <c:manualLayout>
                  <c:x val="0.23089430894308932"/>
                  <c:y val="1.96078431372549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0C-4662-A9BD-07E9D4C56B89}"/>
                </c:ext>
              </c:extLst>
            </c:dLbl>
            <c:dLbl>
              <c:idx val="2"/>
              <c:layout>
                <c:manualLayout>
                  <c:x val="0.19186991869918699"/>
                  <c:y val="-1.47058823529412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0C-4662-A9BD-07E9D4C56B89}"/>
                </c:ext>
              </c:extLst>
            </c:dLbl>
            <c:dLbl>
              <c:idx val="3"/>
              <c:layout>
                <c:manualLayout>
                  <c:x val="0.14308943089430895"/>
                  <c:y val="0.1655542689516749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0C-4662-A9BD-07E9D4C56B89}"/>
                </c:ext>
              </c:extLst>
            </c:dLbl>
            <c:dLbl>
              <c:idx val="4"/>
              <c:layout>
                <c:manualLayout>
                  <c:x val="0.11382113821138218"/>
                  <c:y val="0.176565925582831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0C-4662-A9BD-07E9D4C56B89}"/>
                </c:ext>
              </c:extLst>
            </c:dLbl>
            <c:dLbl>
              <c:idx val="5"/>
              <c:layout>
                <c:manualLayout>
                  <c:x val="-8.1300813008130135E-2"/>
                  <c:y val="0.171568627450980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0C-4662-A9BD-07E9D4C56B89}"/>
                </c:ext>
              </c:extLst>
            </c:dLbl>
            <c:dLbl>
              <c:idx val="6"/>
              <c:layout>
                <c:manualLayout>
                  <c:x val="-0.21138211382113822"/>
                  <c:y val="8.333333333333324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0C-4662-A9BD-07E9D4C56B89}"/>
                </c:ext>
              </c:extLst>
            </c:dLbl>
            <c:dLbl>
              <c:idx val="7"/>
              <c:layout>
                <c:manualLayout>
                  <c:x val="-0.1951219512195122"/>
                  <c:y val="-4.411764705882357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0C-4662-A9BD-07E9D4C56B89}"/>
                </c:ext>
              </c:extLst>
            </c:dLbl>
            <c:dLbl>
              <c:idx val="8"/>
              <c:layout>
                <c:manualLayout>
                  <c:x val="-0.22439024390243903"/>
                  <c:y val="-2.941176470588237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0C-4662-A9BD-07E9D4C56B89}"/>
                </c:ext>
              </c:extLst>
            </c:dLbl>
            <c:dLbl>
              <c:idx val="9"/>
              <c:layout>
                <c:manualLayout>
                  <c:x val="-0.20487804878048779"/>
                  <c:y val="-0.13725490196078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A0C-4662-A9BD-07E9D4C56B89}"/>
                </c:ext>
              </c:extLst>
            </c:dLbl>
            <c:dLbl>
              <c:idx val="10"/>
              <c:layout>
                <c:manualLayout>
                  <c:x val="-5.5284552845528454E-2"/>
                  <c:y val="-0.147058823529411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A0C-4662-A9BD-07E9D4C56B89}"/>
                </c:ext>
              </c:extLst>
            </c:dLbl>
            <c:dLbl>
              <c:idx val="11"/>
              <c:layout>
                <c:manualLayout>
                  <c:x val="0.13983739837398373"/>
                  <c:y val="-0.122549019607843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A0C-4662-A9BD-07E9D4C56B8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Dat_01!$A$50:$A$61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Dat_01!$C$50:$C$61</c:f>
              <c:numCache>
                <c:formatCode>#,##0.0</c:formatCode>
                <c:ptCount val="12"/>
                <c:pt idx="0">
                  <c:v>0.7</c:v>
                </c:pt>
                <c:pt idx="1">
                  <c:v>20.399999999999999</c:v>
                </c:pt>
                <c:pt idx="2">
                  <c:v>1.8</c:v>
                </c:pt>
                <c:pt idx="3">
                  <c:v>20</c:v>
                </c:pt>
                <c:pt idx="4">
                  <c:v>12.853948908617468</c:v>
                </c:pt>
                <c:pt idx="5">
                  <c:v>0.8</c:v>
                </c:pt>
                <c:pt idx="6">
                  <c:v>0.2</c:v>
                </c:pt>
                <c:pt idx="7">
                  <c:v>23.5</c:v>
                </c:pt>
                <c:pt idx="8">
                  <c:v>9.9</c:v>
                </c:pt>
                <c:pt idx="9">
                  <c:v>4.5999999999999996</c:v>
                </c:pt>
                <c:pt idx="10">
                  <c:v>3.8</c:v>
                </c:pt>
                <c:pt idx="11">
                  <c:v>1.4460510913825289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0A0C-4662-A9BD-07E9D4C56B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387-4D9F-8E7A-0EF64246FEC3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387-4D9F-8E7A-0EF64246FEC3}"/>
              </c:ext>
            </c:extLst>
          </c:dPt>
          <c:dLbls>
            <c:dLbl>
              <c:idx val="0"/>
              <c:layout>
                <c:manualLayout>
                  <c:x val="-0.25731017848706411"/>
                  <c:y val="9.310740569193551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329862500193403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6387-4D9F-8E7A-0EF64246FEC3}"/>
                </c:ext>
              </c:extLst>
            </c:dLbl>
            <c:dLbl>
              <c:idx val="1"/>
              <c:layout>
                <c:manualLayout>
                  <c:x val="0.14879416935503922"/>
                  <c:y val="-0.14640574339972209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540393469145978"/>
                      <c:h val="0.4634096874254354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387-4D9F-8E7A-0EF64246FEC3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Dat_01!$E$33:$E$34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Dat_01!$F$33:$F$34</c:f>
              <c:numCache>
                <c:formatCode>#,##0.0</c:formatCode>
                <c:ptCount val="2"/>
                <c:pt idx="0">
                  <c:v>51.199999999999996</c:v>
                </c:pt>
                <c:pt idx="1">
                  <c:v>48.800000000000004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387-4D9F-8E7A-0EF64246FEC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4895178776271617E-2"/>
          <c:y val="1.9491768074445252E-2"/>
          <c:w val="0.83037196338937813"/>
          <c:h val="0.89642328799809123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C188-488E-9864-3653891E4BD7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C188-488E-9864-3653891E4BD7}"/>
              </c:ext>
            </c:extLst>
          </c:dPt>
          <c:dLbls>
            <c:dLbl>
              <c:idx val="0"/>
              <c:layout>
                <c:manualLayout>
                  <c:x val="-0.24561426128310665"/>
                  <c:y val="-2.614379084967320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4671487472014983"/>
                      <c:h val="0.269085481961813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C188-488E-9864-3653891E4BD7}"/>
                </c:ext>
              </c:extLst>
            </c:dLbl>
            <c:dLbl>
              <c:idx val="1"/>
              <c:layout>
                <c:manualLayout>
                  <c:x val="0.14035146691667075"/>
                  <c:y val="0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3157934482603011"/>
                      <c:h val="0.308301168236323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C188-488E-9864-3653891E4BD7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Dat_01!$E$50:$E$51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cat>
          <c:val>
            <c:numRef>
              <c:f>Dat_01!$F$50:$F$51</c:f>
              <c:numCache>
                <c:formatCode>#,##0.0</c:formatCode>
                <c:ptCount val="2"/>
                <c:pt idx="0">
                  <c:v>56.553948908617464</c:v>
                </c:pt>
                <c:pt idx="1">
                  <c:v>43.446051091382529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88-488E-9864-3653891E4BD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75"/>
      </c:doughnutChart>
      <c:spPr>
        <a:noFill/>
      </c:spPr>
    </c:plotArea>
    <c:plotVisOnly val="1"/>
    <c:dispBlanksAs val="zero"/>
    <c:showDLblsOverMax val="0"/>
  </c:chart>
  <c:spPr>
    <a:noFill/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Dat_01!$B$91</c:f>
          <c:strCache>
            <c:ptCount val="1"/>
            <c:pt idx="0">
              <c:v>Mes 08/05/2019</c:v>
            </c:pt>
          </c:strCache>
        </c:strRef>
      </c:tx>
      <c:layout>
        <c:manualLayout>
          <c:xMode val="edge"/>
          <c:yMode val="edge"/>
          <c:x val="1.1382113821138212E-2"/>
          <c:y val="2.0915032679738561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9915344728250431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Dat_01!$A$109:$A$110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853B-4C00-AB97-18BDB11FFA56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853B-4C00-AB97-18BDB11FFA56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853B-4C00-AB97-18BDB11FFA56}"/>
              </c:ext>
            </c:extLst>
          </c:dPt>
          <c:dLbls>
            <c:dLbl>
              <c:idx val="0"/>
              <c:layout>
                <c:manualLayout>
                  <c:x val="-0.13333333333333339"/>
                  <c:y val="4.705882352941181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No renovable
</a:t>
                    </a:r>
                    <a:fld id="{1CCB5A12-B7B6-4DFD-A440-67BF75A8083D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853B-4C00-AB97-18BDB11FFA56}"/>
                </c:ext>
              </c:extLst>
            </c:dLbl>
            <c:dLbl>
              <c:idx val="1"/>
              <c:layout>
                <c:manualLayout>
                  <c:x val="0.12682926829268287"/>
                  <c:y val="-5.2287581699346407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01AB357C-58D0-428C-BD67-95DD2DC39A48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Dat_01!$B$109:$B$110</c:f>
              <c:numCache>
                <c:formatCode>#,##0.0</c:formatCode>
                <c:ptCount val="2"/>
                <c:pt idx="0">
                  <c:v>42.2</c:v>
                </c:pt>
                <c:pt idx="1">
                  <c:v>57.800000000000004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53B-4C00-AB97-18BDB11FFA56}"/>
            </c:ext>
          </c:extLst>
        </c:ser>
        <c:ser>
          <c:idx val="0"/>
          <c:order val="1"/>
          <c:tx>
            <c:v>Generación</c:v>
          </c:tx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853B-4C00-AB97-18BDB11FFA56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853B-4C00-AB97-18BDB11FFA56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853B-4C00-AB97-18BDB11FFA56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853B-4C00-AB97-18BDB11FFA56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853B-4C00-AB97-18BDB11FFA56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853B-4C00-AB97-18BDB11FFA56}"/>
              </c:ext>
            </c:extLst>
          </c:dPt>
          <c:dPt>
            <c:idx val="6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4-853B-4C00-AB97-18BDB11FFA56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6-853B-4C00-AB97-18BDB11FFA56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8-853B-4C00-AB97-18BDB11FFA56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A-853B-4C00-AB97-18BDB11FFA56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C-853B-4C00-AB97-18BDB11FFA56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E-853B-4C00-AB97-18BDB11FFA56}"/>
              </c:ext>
            </c:extLst>
          </c:dPt>
          <c:dLbls>
            <c:dLbl>
              <c:idx val="0"/>
              <c:layout>
                <c:manualLayout>
                  <c:x val="0.2211382113821137"/>
                  <c:y val="-7.843137254901960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53B-4C00-AB97-18BDB11FFA56}"/>
                </c:ext>
              </c:extLst>
            </c:dLbl>
            <c:dLbl>
              <c:idx val="1"/>
              <c:layout>
                <c:manualLayout>
                  <c:x val="0.18861788617886166"/>
                  <c:y val="-1.045751633986930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53B-4C00-AB97-18BDB11FFA56}"/>
                </c:ext>
              </c:extLst>
            </c:dLbl>
            <c:dLbl>
              <c:idx val="2"/>
              <c:layout>
                <c:manualLayout>
                  <c:x val="0.11056910569105691"/>
                  <c:y val="-4.18300653594771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53B-4C00-AB97-18BDB11FFA56}"/>
                </c:ext>
              </c:extLst>
            </c:dLbl>
            <c:dLbl>
              <c:idx val="3"/>
              <c:layout>
                <c:manualLayout>
                  <c:x val="0.12994430574226989"/>
                  <c:y val="8.1045751633986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484552845528455"/>
                      <c:h val="0.1233204672945293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853B-4C00-AB97-18BDB11FFA56}"/>
                </c:ext>
              </c:extLst>
            </c:dLbl>
            <c:dLbl>
              <c:idx val="4"/>
              <c:layout>
                <c:manualLayout>
                  <c:x val="0.15934959349593483"/>
                  <c:y val="5.32378158612525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53B-4C00-AB97-18BDB11FFA56}"/>
                </c:ext>
              </c:extLst>
            </c:dLbl>
            <c:dLbl>
              <c:idx val="5"/>
              <c:layout>
                <c:manualLayout>
                  <c:x val="0.15284552845528454"/>
                  <c:y val="7.54468632597394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53B-4C00-AB97-18BDB11FFA56}"/>
                </c:ext>
              </c:extLst>
            </c:dLbl>
            <c:dLbl>
              <c:idx val="6"/>
              <c:layout>
                <c:manualLayout>
                  <c:x val="3.2520325203252036E-2"/>
                  <c:y val="0.1693162472338016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853B-4C00-AB97-18BDB11FFA56}"/>
                </c:ext>
              </c:extLst>
            </c:dLbl>
            <c:dLbl>
              <c:idx val="7"/>
              <c:layout>
                <c:manualLayout>
                  <c:x val="-0.14308943089430895"/>
                  <c:y val="-1.568627450980392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853B-4C00-AB97-18BDB11FFA56}"/>
                </c:ext>
              </c:extLst>
            </c:dLbl>
            <c:dLbl>
              <c:idx val="8"/>
              <c:layout>
                <c:manualLayout>
                  <c:x val="-0.25528468087830486"/>
                  <c:y val="0.15424836601307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43102234171946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853B-4C00-AB97-18BDB11FFA56}"/>
                </c:ext>
              </c:extLst>
            </c:dLbl>
            <c:dLbl>
              <c:idx val="9"/>
              <c:layout>
                <c:manualLayout>
                  <c:x val="-0.27317073170731709"/>
                  <c:y val="8.104575163398693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8988617886178863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A-853B-4C00-AB97-18BDB11FFA56}"/>
                </c:ext>
              </c:extLst>
            </c:dLbl>
            <c:dLbl>
              <c:idx val="10"/>
              <c:layout>
                <c:manualLayout>
                  <c:x val="-0.23739837398373984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853B-4C00-AB97-18BDB11FFA56}"/>
                </c:ext>
              </c:extLst>
            </c:dLbl>
            <c:dLbl>
              <c:idx val="11"/>
              <c:layout>
                <c:manualLayout>
                  <c:x val="-8.7804878048780483E-2"/>
                  <c:y val="-8.888888888888889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853B-4C00-AB97-18BDB11FFA5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Dat_01!$A$94:$A$105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Dat_01!$B$94:$B$105</c:f>
              <c:numCache>
                <c:formatCode>_-* #,##0.0\ _€_-;\-* #,##0.0\ _€_-;_-* "-"??\ _€_-;_-@_-</c:formatCode>
                <c:ptCount val="12"/>
                <c:pt idx="0">
                  <c:v>0.4</c:v>
                </c:pt>
                <c:pt idx="1">
                  <c:v>20.7</c:v>
                </c:pt>
                <c:pt idx="2">
                  <c:v>1</c:v>
                </c:pt>
                <c:pt idx="3">
                  <c:v>8.1999999999999993</c:v>
                </c:pt>
                <c:pt idx="4">
                  <c:v>11.200000000000003</c:v>
                </c:pt>
                <c:pt idx="5">
                  <c:v>0.7</c:v>
                </c:pt>
                <c:pt idx="6">
                  <c:v>0.2</c:v>
                </c:pt>
                <c:pt idx="7">
                  <c:v>45</c:v>
                </c:pt>
                <c:pt idx="8">
                  <c:v>7.9</c:v>
                </c:pt>
                <c:pt idx="9">
                  <c:v>2.7</c:v>
                </c:pt>
                <c:pt idx="10">
                  <c:v>0.8</c:v>
                </c:pt>
                <c:pt idx="11">
                  <c:v>1.2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F-853B-4C00-AB97-18BDB11FFA56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345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Dat_01!$H$91</c:f>
          <c:strCache>
            <c:ptCount val="1"/>
            <c:pt idx="0">
              <c:v>Histórico 20/03/2018</c:v>
            </c:pt>
          </c:strCache>
        </c:strRef>
      </c:tx>
      <c:layout>
        <c:manualLayout>
          <c:xMode val="edge"/>
          <c:yMode val="edge"/>
          <c:x val="1.4634146341463415E-2"/>
          <c:y val="2.6143790849673203E-2"/>
        </c:manualLayout>
      </c:layout>
      <c:overlay val="0"/>
      <c:spPr>
        <a:ln>
          <a:noFill/>
        </a:ln>
      </c:spPr>
      <c:txPr>
        <a:bodyPr/>
        <a:lstStyle/>
        <a:p>
          <a:pPr algn="l">
            <a:defRPr sz="10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34142987004673198"/>
          <c:y val="0.10657897174617879"/>
          <c:w val="0.4868981499263812"/>
          <c:h val="0.78285584890124038"/>
        </c:manualLayout>
      </c:layout>
      <c:doughnutChart>
        <c:varyColors val="1"/>
        <c:ser>
          <c:idx val="1"/>
          <c:order val="0"/>
          <c:tx>
            <c:strRef>
              <c:f>Dat_01!$G$109:$G$110</c:f>
              <c:strCache>
                <c:ptCount val="2"/>
                <c:pt idx="0">
                  <c:v>No renovables</c:v>
                </c:pt>
                <c:pt idx="1">
                  <c:v>Renovables</c:v>
                </c:pt>
              </c:strCache>
            </c:strRef>
          </c:tx>
          <c:dPt>
            <c:idx val="0"/>
            <c:bubble3D val="0"/>
            <c:spPr>
              <a:solidFill>
                <a:srgbClr val="D9D9D9"/>
              </a:solidFill>
            </c:spPr>
            <c:extLst>
              <c:ext xmlns:c16="http://schemas.microsoft.com/office/drawing/2014/chart" uri="{C3380CC4-5D6E-409C-BE32-E72D297353CC}">
                <c16:uniqueId val="{00000001-6B07-4655-B23D-BA600798B352}"/>
              </c:ext>
            </c:extLst>
          </c:dPt>
          <c:dPt>
            <c:idx val="1"/>
            <c:bubble3D val="0"/>
            <c:spPr>
              <a:solidFill>
                <a:srgbClr val="CCFF99"/>
              </a:solidFill>
            </c:spPr>
            <c:extLst>
              <c:ext xmlns:c16="http://schemas.microsoft.com/office/drawing/2014/chart" uri="{C3380CC4-5D6E-409C-BE32-E72D297353CC}">
                <c16:uniqueId val="{00000003-6B07-4655-B23D-BA600798B352}"/>
              </c:ext>
            </c:extLst>
          </c:dPt>
          <c:dPt>
            <c:idx val="9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05-6B07-4655-B23D-BA600798B352}"/>
              </c:ext>
            </c:extLst>
          </c:dPt>
          <c:dLbls>
            <c:dLbl>
              <c:idx val="0"/>
              <c:layout>
                <c:manualLayout>
                  <c:x val="-0.12357723577235773"/>
                  <c:y val="5.22875816993464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No renovable</a:t>
                    </a:r>
                    <a:r>
                      <a:rPr lang="en-US" baseline="0"/>
                      <a:t>
</a:t>
                    </a:r>
                    <a:fld id="{C02E5402-0102-4D7F-B1D3-D71267A79D24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6B07-4655-B23D-BA600798B352}"/>
                </c:ext>
              </c:extLst>
            </c:dLbl>
            <c:dLbl>
              <c:idx val="1"/>
              <c:layout>
                <c:manualLayout>
                  <c:x val="0.13658536585365855"/>
                  <c:y val="-3.730863053882980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Renovable
</a:t>
                    </a:r>
                    <a:fld id="{20B3DCA0-CD90-466D-B645-158DB033AAC1}" type="PERCENTAGE">
                      <a:rPr lang="en-US" baseline="0"/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>
                    <a:solidFill>
                      <a:srgbClr val="0054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Dat_01!$H$109:$H$110</c:f>
              <c:numCache>
                <c:formatCode>#,##0.0</c:formatCode>
                <c:ptCount val="2"/>
                <c:pt idx="0">
                  <c:v>37</c:v>
                </c:pt>
                <c:pt idx="1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B07-4655-B23D-BA600798B352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rgbClr val="007CF9"/>
              </a:solidFill>
            </c:spPr>
            <c:extLst>
              <c:ext xmlns:c16="http://schemas.microsoft.com/office/drawing/2014/chart" uri="{C3380CC4-5D6E-409C-BE32-E72D297353CC}">
                <c16:uniqueId val="{00000008-6B07-4655-B23D-BA600798B352}"/>
              </c:ext>
            </c:extLst>
          </c:dPt>
          <c:dPt>
            <c:idx val="1"/>
            <c:bubble3D val="0"/>
            <c:spPr>
              <a:solidFill>
                <a:srgbClr val="464394"/>
              </a:solidFill>
            </c:spPr>
            <c:extLst>
              <c:ext xmlns:c16="http://schemas.microsoft.com/office/drawing/2014/chart" uri="{C3380CC4-5D6E-409C-BE32-E72D297353CC}">
                <c16:uniqueId val="{0000000A-6B07-4655-B23D-BA600798B352}"/>
              </c:ext>
            </c:extLst>
          </c:dPt>
          <c:dPt>
            <c:idx val="2"/>
            <c:bubble3D val="0"/>
            <c:spPr>
              <a:solidFill>
                <a:srgbClr val="993300"/>
              </a:solidFill>
            </c:spPr>
            <c:extLst>
              <c:ext xmlns:c16="http://schemas.microsoft.com/office/drawing/2014/chart" uri="{C3380CC4-5D6E-409C-BE32-E72D297353CC}">
                <c16:uniqueId val="{0000000C-6B07-4655-B23D-BA600798B352}"/>
              </c:ext>
            </c:extLst>
          </c:dPt>
          <c:dPt>
            <c:idx val="3"/>
            <c:bubble3D val="0"/>
            <c:spPr>
              <a:solidFill>
                <a:srgbClr val="FFCC66"/>
              </a:solidFill>
            </c:spPr>
            <c:extLst>
              <c:ext xmlns:c16="http://schemas.microsoft.com/office/drawing/2014/chart" uri="{C3380CC4-5D6E-409C-BE32-E72D297353CC}">
                <c16:uniqueId val="{0000000E-6B07-4655-B23D-BA600798B352}"/>
              </c:ext>
            </c:extLst>
          </c:dPt>
          <c:dPt>
            <c:idx val="4"/>
            <c:bubble3D val="0"/>
            <c:spPr>
              <a:solidFill>
                <a:srgbClr val="CFA2CA"/>
              </a:solidFill>
            </c:spPr>
            <c:extLst>
              <c:ext xmlns:c16="http://schemas.microsoft.com/office/drawing/2014/chart" uri="{C3380CC4-5D6E-409C-BE32-E72D297353CC}">
                <c16:uniqueId val="{00000010-6B07-4655-B23D-BA600798B352}"/>
              </c:ext>
            </c:extLst>
          </c:dPt>
          <c:dPt>
            <c:idx val="5"/>
            <c:bubble3D val="0"/>
            <c:spPr>
              <a:solidFill>
                <a:srgbClr val="666666"/>
              </a:solidFill>
            </c:spPr>
            <c:extLst>
              <c:ext xmlns:c16="http://schemas.microsoft.com/office/drawing/2014/chart" uri="{C3380CC4-5D6E-409C-BE32-E72D297353CC}">
                <c16:uniqueId val="{00000012-6B07-4655-B23D-BA600798B352}"/>
              </c:ext>
            </c:extLst>
          </c:dPt>
          <c:dPt>
            <c:idx val="7"/>
            <c:bubble3D val="0"/>
            <c:spPr>
              <a:solidFill>
                <a:srgbClr val="6FB114"/>
              </a:solidFill>
            </c:spPr>
            <c:extLst>
              <c:ext xmlns:c16="http://schemas.microsoft.com/office/drawing/2014/chart" uri="{C3380CC4-5D6E-409C-BE32-E72D297353CC}">
                <c16:uniqueId val="{00000014-6B07-4655-B23D-BA600798B352}"/>
              </c:ext>
            </c:extLst>
          </c:dPt>
          <c:dPt>
            <c:idx val="8"/>
            <c:bubble3D val="0"/>
            <c:spPr>
              <a:solidFill>
                <a:srgbClr val="0090D1"/>
              </a:solidFill>
            </c:spPr>
            <c:extLst>
              <c:ext xmlns:c16="http://schemas.microsoft.com/office/drawing/2014/chart" uri="{C3380CC4-5D6E-409C-BE32-E72D297353CC}">
                <c16:uniqueId val="{00000016-6B07-4655-B23D-BA600798B352}"/>
              </c:ext>
            </c:extLst>
          </c:dPt>
          <c:dPt>
            <c:idx val="9"/>
            <c:bubble3D val="0"/>
            <c:spPr>
              <a:solidFill>
                <a:srgbClr val="E48500"/>
              </a:solidFill>
            </c:spPr>
            <c:extLst>
              <c:ext xmlns:c16="http://schemas.microsoft.com/office/drawing/2014/chart" uri="{C3380CC4-5D6E-409C-BE32-E72D297353CC}">
                <c16:uniqueId val="{00000018-6B07-4655-B23D-BA600798B352}"/>
              </c:ext>
            </c:extLst>
          </c:dPt>
          <c:dPt>
            <c:idx val="1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1A-6B07-4655-B23D-BA600798B352}"/>
              </c:ext>
            </c:extLst>
          </c:dPt>
          <c:dPt>
            <c:idx val="11"/>
            <c:bubble3D val="0"/>
            <c:spPr>
              <a:solidFill>
                <a:srgbClr val="9A5CBC"/>
              </a:solidFill>
            </c:spPr>
            <c:extLst>
              <c:ext xmlns:c16="http://schemas.microsoft.com/office/drawing/2014/chart" uri="{C3380CC4-5D6E-409C-BE32-E72D297353CC}">
                <c16:uniqueId val="{0000001C-6B07-4655-B23D-BA600798B352}"/>
              </c:ext>
            </c:extLst>
          </c:dPt>
          <c:dLbls>
            <c:dLbl>
              <c:idx val="0"/>
              <c:layout>
                <c:manualLayout>
                  <c:x val="0.21463414634146341"/>
                  <c:y val="-7.583263856723791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B07-4655-B23D-BA600798B352}"/>
                </c:ext>
              </c:extLst>
            </c:dLbl>
            <c:dLbl>
              <c:idx val="1"/>
              <c:layout>
                <c:manualLayout>
                  <c:x val="0.17929889251648409"/>
                  <c:y val="-3.13725490196078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B07-4655-B23D-BA600798B352}"/>
                </c:ext>
              </c:extLst>
            </c:dLbl>
            <c:dLbl>
              <c:idx val="2"/>
              <c:layout>
                <c:manualLayout>
                  <c:x val="0.10081300813008118"/>
                  <c:y val="-7.320261437908497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B07-4655-B23D-BA600798B352}"/>
                </c:ext>
              </c:extLst>
            </c:dLbl>
            <c:dLbl>
              <c:idx val="3"/>
              <c:layout>
                <c:manualLayout>
                  <c:x val="0.1194973433198899"/>
                  <c:y val="-6.035921980340645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7606504065040651"/>
                      <c:h val="0.176218619731357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E-6B07-4655-B23D-BA600798B352}"/>
                </c:ext>
              </c:extLst>
            </c:dLbl>
            <c:dLbl>
              <c:idx val="4"/>
              <c:layout>
                <c:manualLayout>
                  <c:x val="0.1203252032520324"/>
                  <c:y val="5.228758169934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B07-4655-B23D-BA600798B352}"/>
                </c:ext>
              </c:extLst>
            </c:dLbl>
            <c:dLbl>
              <c:idx val="5"/>
              <c:layout>
                <c:manualLayout>
                  <c:x val="0.14959349593495924"/>
                  <c:y val="0.1007404662652462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B07-4655-B23D-BA600798B352}"/>
                </c:ext>
              </c:extLst>
            </c:dLbl>
            <c:dLbl>
              <c:idx val="6"/>
              <c:layout>
                <c:manualLayout>
                  <c:x val="1.9512195121951102E-2"/>
                  <c:y val="0.214672636508671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B07-4655-B23D-BA600798B352}"/>
                </c:ext>
              </c:extLst>
            </c:dLbl>
            <c:dLbl>
              <c:idx val="7"/>
              <c:layout>
                <c:manualLayout>
                  <c:x val="-0.14959349593495941"/>
                  <c:y val="1.568627450980382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B07-4655-B23D-BA600798B352}"/>
                </c:ext>
              </c:extLst>
            </c:dLbl>
            <c:dLbl>
              <c:idx val="8"/>
              <c:layout>
                <c:manualLayout>
                  <c:x val="-0.14959349593495935"/>
                  <c:y val="-1.0457516339869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B07-4655-B23D-BA600798B352}"/>
                </c:ext>
              </c:extLst>
            </c:dLbl>
            <c:dLbl>
              <c:idx val="9"/>
              <c:layout>
                <c:manualLayout>
                  <c:x val="-0.19186979066641063"/>
                  <c:y val="-7.8431372549019607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845541258562188"/>
                      <c:h val="0.1180917091245947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8-6B07-4655-B23D-BA600798B352}"/>
                </c:ext>
              </c:extLst>
            </c:dLbl>
            <c:dLbl>
              <c:idx val="10"/>
              <c:layout>
                <c:manualLayout>
                  <c:x val="-0.13983739837398379"/>
                  <c:y val="-9.93464052287581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B07-4655-B23D-BA600798B352}"/>
                </c:ext>
              </c:extLst>
            </c:dLbl>
            <c:dLbl>
              <c:idx val="11"/>
              <c:layout>
                <c:manualLayout>
                  <c:x val="5.6910569105690999E-2"/>
                  <c:y val="-9.150326797385620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061788617886178"/>
                      <c:h val="0.1128629509546600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C-6B07-4655-B23D-BA600798B352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Dat_01!$G$94:$G$105</c:f>
              <c:strCache>
                <c:ptCount val="12"/>
                <c:pt idx="0">
                  <c:v>Turbinación bombeo</c:v>
                </c:pt>
                <c:pt idx="1">
                  <c:v>Nuclear</c:v>
                </c:pt>
                <c:pt idx="2">
                  <c:v>Carbón</c:v>
                </c:pt>
                <c:pt idx="3">
                  <c:v>Ciclo combinado</c:v>
                </c:pt>
                <c:pt idx="4">
                  <c:v>Cogeneración</c:v>
                </c:pt>
                <c:pt idx="5">
                  <c:v>Residuos no renovables</c:v>
                </c:pt>
                <c:pt idx="6">
                  <c:v>Residuos renovables</c:v>
                </c:pt>
                <c:pt idx="7">
                  <c:v>Eólica</c:v>
                </c:pt>
                <c:pt idx="8">
                  <c:v>Hidráulica</c:v>
                </c:pt>
                <c:pt idx="9">
                  <c:v>Solar fotovoltaica</c:v>
                </c:pt>
                <c:pt idx="10">
                  <c:v>Solar térmica</c:v>
                </c:pt>
                <c:pt idx="11">
                  <c:v>Otras renovables</c:v>
                </c:pt>
              </c:strCache>
            </c:strRef>
          </c:cat>
          <c:val>
            <c:numRef>
              <c:f>Dat_01!$H$94:$H$105</c:f>
              <c:numCache>
                <c:formatCode>_-* #,##0.0\ _€_-;\-* #,##0.0\ _€_-;_-* "-"??\ _€_-;_-@_-</c:formatCode>
                <c:ptCount val="12"/>
                <c:pt idx="0">
                  <c:v>1.3</c:v>
                </c:pt>
                <c:pt idx="1">
                  <c:v>17.100000000000001</c:v>
                </c:pt>
                <c:pt idx="2">
                  <c:v>4.2</c:v>
                </c:pt>
                <c:pt idx="3">
                  <c:v>4.2</c:v>
                </c:pt>
                <c:pt idx="4">
                  <c:v>9.4000000000000057</c:v>
                </c:pt>
                <c:pt idx="5">
                  <c:v>0.8</c:v>
                </c:pt>
                <c:pt idx="6">
                  <c:v>0.2</c:v>
                </c:pt>
                <c:pt idx="7">
                  <c:v>38.200000000000003</c:v>
                </c:pt>
                <c:pt idx="8">
                  <c:v>20.100000000000001</c:v>
                </c:pt>
                <c:pt idx="9">
                  <c:v>2.2999999999999998</c:v>
                </c:pt>
                <c:pt idx="10">
                  <c:v>1.3</c:v>
                </c:pt>
                <c:pt idx="11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6B07-4655-B23D-BA600798B35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50"/>
      </c:doughnutChart>
      <c:spPr>
        <a:noFill/>
      </c:spPr>
    </c:plotArea>
    <c:plotVisOnly val="1"/>
    <c:dispBlanksAs val="zero"/>
    <c:showDLblsOverMax val="0"/>
  </c:chart>
  <c:spPr>
    <a:solidFill>
      <a:srgbClr val="F5F5F5"/>
    </a:solidFill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Dat_01!$A$161</c:f>
              <c:strCache>
                <c:ptCount val="1"/>
                <c:pt idx="0">
                  <c:v>Renovables: hidráulica,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1224569265037715E-2"/>
                  <c:y val="-3.12653510903730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81A-4337-AD86-D2D3C7BBF9BF}"/>
                </c:ext>
              </c:extLst>
            </c:dLbl>
            <c:dLbl>
              <c:idx val="12"/>
              <c:layout>
                <c:manualLayout>
                  <c:x val="-2.5805982745286459E-2"/>
                  <c:y val="4.6923949321149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81A-4337-AD86-D2D3C7BBF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Dat_01!$B$158:$N$158</c:f>
              <c:numCache>
                <c:formatCode>0.0</c:formatCode>
                <c:ptCount val="13"/>
                <c:pt idx="0">
                  <c:v>43.900000000000006</c:v>
                </c:pt>
                <c:pt idx="1">
                  <c:v>42.800000000000004</c:v>
                </c:pt>
                <c:pt idx="2">
                  <c:v>37.299999999999997</c:v>
                </c:pt>
                <c:pt idx="3">
                  <c:v>33.599999999999994</c:v>
                </c:pt>
                <c:pt idx="4">
                  <c:v>29.7</c:v>
                </c:pt>
                <c:pt idx="5">
                  <c:v>33.199999999999996</c:v>
                </c:pt>
                <c:pt idx="6">
                  <c:v>35.399999999999991</c:v>
                </c:pt>
                <c:pt idx="7">
                  <c:v>37.4</c:v>
                </c:pt>
                <c:pt idx="8">
                  <c:v>39</c:v>
                </c:pt>
                <c:pt idx="9">
                  <c:v>37.499999999999993</c:v>
                </c:pt>
                <c:pt idx="10">
                  <c:v>43.4</c:v>
                </c:pt>
                <c:pt idx="11">
                  <c:v>42.099999999999994</c:v>
                </c:pt>
                <c:pt idx="12">
                  <c:v>43.4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81A-4337-AD86-D2D3C7BBF9BF}"/>
            </c:ext>
          </c:extLst>
        </c:ser>
        <c:ser>
          <c:idx val="0"/>
          <c:order val="1"/>
          <c:tx>
            <c:strRef>
              <c:f>Dat_01!$A$162</c:f>
              <c:strCache>
                <c:ptCount val="1"/>
                <c:pt idx="0">
                  <c:v>No renovables: turbinación bombeo, nuclear,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3.45782703088039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81A-4337-AD86-D2D3C7BBF9BF}"/>
                </c:ext>
              </c:extLst>
            </c:dLbl>
            <c:dLbl>
              <c:idx val="1"/>
              <c:layout>
                <c:manualLayout>
                  <c:x val="-2.3999787238702532E-2"/>
                  <c:y val="-5.59567091150643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81A-4337-AD86-D2D3C7BBF9BF}"/>
                </c:ext>
              </c:extLst>
            </c:dLbl>
            <c:dLbl>
              <c:idx val="2"/>
              <c:layout>
                <c:manualLayout>
                  <c:x val="-2.9418373758453919E-2"/>
                  <c:y val="-3.949580376527012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81A-4337-AD86-D2D3C7BBF9BF}"/>
                </c:ext>
              </c:extLst>
            </c:dLbl>
            <c:dLbl>
              <c:idx val="3"/>
              <c:layout>
                <c:manualLayout>
                  <c:x val="-3.3030764771621576E-2"/>
                  <c:y val="-5.184148277761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81A-4337-AD86-D2D3C7BBF9BF}"/>
                </c:ext>
              </c:extLst>
            </c:dLbl>
            <c:dLbl>
              <c:idx val="4"/>
              <c:layout>
                <c:manualLayout>
                  <c:x val="-2.9418373758453919E-2"/>
                  <c:y val="-5.184148277761575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81A-4337-AD86-D2D3C7BBF9BF}"/>
                </c:ext>
              </c:extLst>
            </c:dLbl>
            <c:dLbl>
              <c:idx val="5"/>
              <c:layout>
                <c:manualLayout>
                  <c:x val="-2.7612178251870123E-2"/>
                  <c:y val="-5.595670911506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81A-4337-AD86-D2D3C7BBF9BF}"/>
                </c:ext>
              </c:extLst>
            </c:dLbl>
            <c:dLbl>
              <c:idx val="7"/>
              <c:layout>
                <c:manualLayout>
                  <c:x val="-2.5805982745286327E-2"/>
                  <c:y val="-4.7726256440167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81A-4337-AD86-D2D3C7BBF9BF}"/>
                </c:ext>
              </c:extLst>
            </c:dLbl>
            <c:dLbl>
              <c:idx val="8"/>
              <c:layout>
                <c:manualLayout>
                  <c:x val="-2.7612178251870123E-2"/>
                  <c:y val="-3.949580376527007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81A-4337-AD86-D2D3C7BBF9BF}"/>
                </c:ext>
              </c:extLst>
            </c:dLbl>
            <c:dLbl>
              <c:idx val="12"/>
              <c:layout>
                <c:manualLayout>
                  <c:x val="-2.9418373758454051E-2"/>
                  <c:y val="-3.53805774278215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81A-4337-AD86-D2D3C7BBF9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Dat_01!$B$159:$N$159</c:f>
              <c:numCache>
                <c:formatCode>0.0</c:formatCode>
                <c:ptCount val="13"/>
                <c:pt idx="0">
                  <c:v>56.099999999999994</c:v>
                </c:pt>
                <c:pt idx="1">
                  <c:v>57.199999999999996</c:v>
                </c:pt>
                <c:pt idx="2">
                  <c:v>62.7</c:v>
                </c:pt>
                <c:pt idx="3">
                  <c:v>66.400000000000006</c:v>
                </c:pt>
                <c:pt idx="4">
                  <c:v>70.3</c:v>
                </c:pt>
                <c:pt idx="5">
                  <c:v>66.800000000000011</c:v>
                </c:pt>
                <c:pt idx="6">
                  <c:v>64.600000000000009</c:v>
                </c:pt>
                <c:pt idx="7">
                  <c:v>62.6</c:v>
                </c:pt>
                <c:pt idx="8">
                  <c:v>61</c:v>
                </c:pt>
                <c:pt idx="9">
                  <c:v>62.500000000000007</c:v>
                </c:pt>
                <c:pt idx="10">
                  <c:v>56.6</c:v>
                </c:pt>
                <c:pt idx="11">
                  <c:v>57.900000000000006</c:v>
                </c:pt>
                <c:pt idx="12">
                  <c:v>56.6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381A-4337-AD86-D2D3C7BBF9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3063488"/>
        <c:axId val="213063880"/>
      </c:lineChart>
      <c:catAx>
        <c:axId val="2130634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15522358851510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13063880"/>
        <c:crosses val="autoZero"/>
        <c:auto val="1"/>
        <c:lblAlgn val="ctr"/>
        <c:lblOffset val="100"/>
        <c:noMultiLvlLbl val="1"/>
      </c:catAx>
      <c:valAx>
        <c:axId val="213063880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2379669690930081E-2"/>
              <c:y val="0.115595087651080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1306348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1650911047857931E-3"/>
          <c:y val="6.7305012799325995E-3"/>
          <c:w val="0.988175961557333"/>
          <c:h val="0.151751725478759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5436431600802458"/>
        </c:manualLayout>
      </c:layout>
      <c:lineChart>
        <c:grouping val="standard"/>
        <c:varyColors val="0"/>
        <c:ser>
          <c:idx val="2"/>
          <c:order val="0"/>
          <c:tx>
            <c:strRef>
              <c:f>Dat_01!$A$169</c:f>
              <c:strCache>
                <c:ptCount val="1"/>
                <c:pt idx="0">
                  <c:v>Sin emisiones CO2: hidráulica, turbinación bombeo, nuclear, eólica, solar fotovoltaica, solar térmica, otras renovables y residuos renovables.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3.4836960278205306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2E0-4F10-A4EA-C6D89D74D7EB}"/>
                </c:ext>
              </c:extLst>
            </c:dLbl>
            <c:dLbl>
              <c:idx val="2"/>
              <c:layout>
                <c:manualLayout>
                  <c:x val="-3.8449351291372898E-2"/>
                  <c:y val="-4.37460487717673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2E0-4F10-A4EA-C6D89D74D7EB}"/>
                </c:ext>
              </c:extLst>
            </c:dLbl>
            <c:dLbl>
              <c:idx val="3"/>
              <c:layout>
                <c:manualLayout>
                  <c:x val="-3.8449351291372898E-2"/>
                  <c:y val="-3.9618081795503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2E0-4F10-A4EA-C6D89D74D7EB}"/>
                </c:ext>
              </c:extLst>
            </c:dLbl>
            <c:dLbl>
              <c:idx val="6"/>
              <c:layout>
                <c:manualLayout>
                  <c:x val="-3.3030764771621576E-2"/>
                  <c:y val="-3.96180817955031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2E0-4F10-A4EA-C6D89D74D7EB}"/>
                </c:ext>
              </c:extLst>
            </c:dLbl>
            <c:dLbl>
              <c:idx val="7"/>
              <c:layout>
                <c:manualLayout>
                  <c:x val="-3.3030764771621576E-2"/>
                  <c:y val="-4.37460487717673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2E0-4F10-A4EA-C6D89D74D7EB}"/>
                </c:ext>
              </c:extLst>
            </c:dLbl>
            <c:dLbl>
              <c:idx val="10"/>
              <c:layout>
                <c:manualLayout>
                  <c:x val="-2.9418373758454051E-2"/>
                  <c:y val="-6.02579166768240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2E0-4F10-A4EA-C6D89D74D7EB}"/>
                </c:ext>
              </c:extLst>
            </c:dLbl>
            <c:dLbl>
              <c:idx val="12"/>
              <c:layout>
                <c:manualLayout>
                  <c:x val="-2.9418373758454051E-2"/>
                  <c:y val="-6.025791667682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92D05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Dat_01!$B$166:$N$166</c:f>
              <c:numCache>
                <c:formatCode>0.0</c:formatCode>
                <c:ptCount val="13"/>
                <c:pt idx="0">
                  <c:v>64.3</c:v>
                </c:pt>
                <c:pt idx="1">
                  <c:v>62.3</c:v>
                </c:pt>
                <c:pt idx="2">
                  <c:v>59.3</c:v>
                </c:pt>
                <c:pt idx="3">
                  <c:v>58.399999999999991</c:v>
                </c:pt>
                <c:pt idx="4">
                  <c:v>55.3</c:v>
                </c:pt>
                <c:pt idx="5">
                  <c:v>58.8</c:v>
                </c:pt>
                <c:pt idx="6">
                  <c:v>54.199999999999996</c:v>
                </c:pt>
                <c:pt idx="7">
                  <c:v>58.899999999999991</c:v>
                </c:pt>
                <c:pt idx="8">
                  <c:v>61.199999999999996</c:v>
                </c:pt>
                <c:pt idx="9">
                  <c:v>62.899999999999991</c:v>
                </c:pt>
                <c:pt idx="10">
                  <c:v>71.099999999999994</c:v>
                </c:pt>
                <c:pt idx="11">
                  <c:v>67.399999999999991</c:v>
                </c:pt>
                <c:pt idx="12">
                  <c:v>64.5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2E0-4F10-A4EA-C6D89D74D7EB}"/>
            </c:ext>
          </c:extLst>
        </c:ser>
        <c:ser>
          <c:idx val="0"/>
          <c:order val="1"/>
          <c:tx>
            <c:strRef>
              <c:f>Dat_01!$A$170</c:f>
              <c:strCache>
                <c:ptCount val="1"/>
                <c:pt idx="0">
                  <c:v>Con emisiones CO2: carbón, fuel/gas, ciclo combinado, cogeneración y residuos no renovables.</c:v>
                </c:pt>
              </c:strCache>
            </c:strRef>
          </c:tx>
          <c:spPr>
            <a:ln w="28575" cap="rnd">
              <a:solidFill>
                <a:srgbClr val="7F7F7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2.7612178251870123E-2"/>
                  <c:y val="6.77090595873658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2E0-4F10-A4EA-C6D89D74D7EB}"/>
                </c:ext>
              </c:extLst>
            </c:dLbl>
            <c:dLbl>
              <c:idx val="1"/>
              <c:layout>
                <c:manualLayout>
                  <c:x val="-3.3030764771621514E-2"/>
                  <c:y val="5.53251586585732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2E0-4F10-A4EA-C6D89D74D7EB}"/>
                </c:ext>
              </c:extLst>
            </c:dLbl>
            <c:dLbl>
              <c:idx val="2"/>
              <c:layout>
                <c:manualLayout>
                  <c:x val="-2.7612178251870123E-2"/>
                  <c:y val="4.706922470604494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2E0-4F10-A4EA-C6D89D74D7EB}"/>
                </c:ext>
              </c:extLst>
            </c:dLbl>
            <c:dLbl>
              <c:idx val="3"/>
              <c:layout>
                <c:manualLayout>
                  <c:x val="-2.9418373758453985E-2"/>
                  <c:y val="3.4685323777252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2E0-4F10-A4EA-C6D89D74D7EB}"/>
                </c:ext>
              </c:extLst>
            </c:dLbl>
            <c:dLbl>
              <c:idx val="4"/>
              <c:layout>
                <c:manualLayout>
                  <c:x val="-3.1224569265037715E-2"/>
                  <c:y val="4.294125772978068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2E0-4F10-A4EA-C6D89D74D7EB}"/>
                </c:ext>
              </c:extLst>
            </c:dLbl>
            <c:dLbl>
              <c:idx val="5"/>
              <c:layout>
                <c:manualLayout>
                  <c:x val="-2.7612178251870123E-2"/>
                  <c:y val="3.055735680098818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2E0-4F10-A4EA-C6D89D74D7EB}"/>
                </c:ext>
              </c:extLst>
            </c:dLbl>
            <c:dLbl>
              <c:idx val="6"/>
              <c:layout>
                <c:manualLayout>
                  <c:x val="-2.9418373758453919E-2"/>
                  <c:y val="5.11971916823090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E2E0-4F10-A4EA-C6D89D74D7EB}"/>
                </c:ext>
              </c:extLst>
            </c:dLbl>
            <c:dLbl>
              <c:idx val="7"/>
              <c:layout>
                <c:manualLayout>
                  <c:x val="-2.9418373758453919E-2"/>
                  <c:y val="3.0557356800988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E2E0-4F10-A4EA-C6D89D74D7EB}"/>
                </c:ext>
              </c:extLst>
            </c:dLbl>
            <c:dLbl>
              <c:idx val="8"/>
              <c:layout>
                <c:manualLayout>
                  <c:x val="-3.1224569265037715E-2"/>
                  <c:y val="5.11971916823089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E2E0-4F10-A4EA-C6D89D74D7EB}"/>
                </c:ext>
              </c:extLst>
            </c:dLbl>
            <c:dLbl>
              <c:idx val="9"/>
              <c:layout>
                <c:manualLayout>
                  <c:x val="-2.9418373758453919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E2E0-4F10-A4EA-C6D89D74D7EB}"/>
                </c:ext>
              </c:extLst>
            </c:dLbl>
            <c:dLbl>
              <c:idx val="10"/>
              <c:layout>
                <c:manualLayout>
                  <c:x val="-2.3999787238702532E-2"/>
                  <c:y val="5.53251586585731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2E0-4F10-A4EA-C6D89D74D7EB}"/>
                </c:ext>
              </c:extLst>
            </c:dLbl>
            <c:dLbl>
              <c:idx val="11"/>
              <c:layout>
                <c:manualLayout>
                  <c:x val="-2.3999787238702532E-2"/>
                  <c:y val="4.294125772978060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E2E0-4F10-A4EA-C6D89D74D7EB}"/>
                </c:ext>
              </c:extLst>
            </c:dLbl>
            <c:dLbl>
              <c:idx val="12"/>
              <c:layout>
                <c:manualLayout>
                  <c:x val="-2.7612178251870255E-2"/>
                  <c:y val="4.70692247060447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E0-4F10-A4EA-C6D89D74D7E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800" b="1" i="0" u="none" strike="noStrike" kern="1200" baseline="0">
                    <a:solidFill>
                      <a:srgbClr val="7F7F7F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Dat_01!$B$167:$N$167</c:f>
              <c:numCache>
                <c:formatCode>0.0</c:formatCode>
                <c:ptCount val="13"/>
                <c:pt idx="0">
                  <c:v>35.700000000000003</c:v>
                </c:pt>
                <c:pt idx="1">
                  <c:v>37.700000000000003</c:v>
                </c:pt>
                <c:pt idx="2">
                  <c:v>40.700000000000003</c:v>
                </c:pt>
                <c:pt idx="3">
                  <c:v>41.600000000000009</c:v>
                </c:pt>
                <c:pt idx="4">
                  <c:v>44.7</c:v>
                </c:pt>
                <c:pt idx="5">
                  <c:v>41.2</c:v>
                </c:pt>
                <c:pt idx="6">
                  <c:v>45.800000000000004</c:v>
                </c:pt>
                <c:pt idx="7">
                  <c:v>41.100000000000009</c:v>
                </c:pt>
                <c:pt idx="8">
                  <c:v>38.800000000000004</c:v>
                </c:pt>
                <c:pt idx="9">
                  <c:v>37.100000000000009</c:v>
                </c:pt>
                <c:pt idx="10">
                  <c:v>28.900000000000006</c:v>
                </c:pt>
                <c:pt idx="11">
                  <c:v>32.600000000000009</c:v>
                </c:pt>
                <c:pt idx="12">
                  <c:v>35.5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6-E2E0-4F10-A4EA-C6D89D74D7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73959768"/>
        <c:axId val="373960160"/>
      </c:lineChart>
      <c:catAx>
        <c:axId val="3739597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2335843139173468"/>
              <c:y val="0.925660961664945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73960160"/>
        <c:crosses val="autoZero"/>
        <c:auto val="1"/>
        <c:lblAlgn val="ctr"/>
        <c:lblOffset val="100"/>
        <c:noMultiLvlLbl val="1"/>
      </c:catAx>
      <c:valAx>
        <c:axId val="373960160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5.7798256210681472E-2"/>
              <c:y val="0.1269720387118792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73959768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2777482117953385E-2"/>
          <c:y val="2.6184962173845916E-2"/>
          <c:w val="0.98433587613424101"/>
          <c:h val="0.114612840577590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2"/>
          <c:order val="0"/>
          <c:tx>
            <c:strRef>
              <c:f>Dat_01!$A$142</c:f>
              <c:strCache>
                <c:ptCount val="1"/>
                <c:pt idx="0">
                  <c:v>Hidráulica</c:v>
                </c:pt>
              </c:strCache>
            </c:strRef>
          </c:tx>
          <c:spPr>
            <a:solidFill>
              <a:srgbClr val="5B9BD5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Dat_01!$B$142:$N$142</c:f>
              <c:numCache>
                <c:formatCode>#,##0.0</c:formatCode>
                <c:ptCount val="13"/>
                <c:pt idx="0">
                  <c:v>3522.8601173239999</c:v>
                </c:pt>
                <c:pt idx="1">
                  <c:v>3711.3022205840002</c:v>
                </c:pt>
                <c:pt idx="2">
                  <c:v>3025.6357145860002</c:v>
                </c:pt>
                <c:pt idx="3">
                  <c:v>2104.3621898920001</c:v>
                </c:pt>
                <c:pt idx="4">
                  <c:v>1926.4552017619999</c:v>
                </c:pt>
                <c:pt idx="5">
                  <c:v>1461.8891523279999</c:v>
                </c:pt>
                <c:pt idx="6">
                  <c:v>2160.9439448140001</c:v>
                </c:pt>
                <c:pt idx="7">
                  <c:v>2485.8744506439998</c:v>
                </c:pt>
                <c:pt idx="8">
                  <c:v>2126.6339542559999</c:v>
                </c:pt>
                <c:pt idx="9">
                  <c:v>2482.7010685720002</c:v>
                </c:pt>
                <c:pt idx="10">
                  <c:v>2131.4241339519999</c:v>
                </c:pt>
                <c:pt idx="11">
                  <c:v>1922.9600431880001</c:v>
                </c:pt>
                <c:pt idx="12">
                  <c:v>1933.0273067759999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2E-49E7-B2B3-B66EBA2475E3}"/>
            </c:ext>
          </c:extLst>
        </c:ser>
        <c:ser>
          <c:idx val="0"/>
          <c:order val="1"/>
          <c:tx>
            <c:strRef>
              <c:f>Dat_01!$A$147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Dat_01!$B$147:$N$147</c:f>
              <c:numCache>
                <c:formatCode>#,##0.0</c:formatCode>
                <c:ptCount val="13"/>
                <c:pt idx="0">
                  <c:v>3264.1514889999999</c:v>
                </c:pt>
                <c:pt idx="1">
                  <c:v>2574.1710560000001</c:v>
                </c:pt>
                <c:pt idx="2">
                  <c:v>2478.6215710000001</c:v>
                </c:pt>
                <c:pt idx="3">
                  <c:v>3066.01685</c:v>
                </c:pt>
                <c:pt idx="4">
                  <c:v>2404.0393210000002</c:v>
                </c:pt>
                <c:pt idx="5">
                  <c:v>4297.171472</c:v>
                </c:pt>
                <c:pt idx="6">
                  <c:v>4525.9497069999998</c:v>
                </c:pt>
                <c:pt idx="7">
                  <c:v>4319.0411860000004</c:v>
                </c:pt>
                <c:pt idx="8">
                  <c:v>5970.6598999999997</c:v>
                </c:pt>
                <c:pt idx="9">
                  <c:v>3646.4345840000001</c:v>
                </c:pt>
                <c:pt idx="10">
                  <c:v>4823.4316840000001</c:v>
                </c:pt>
                <c:pt idx="11">
                  <c:v>4594.9791249999998</c:v>
                </c:pt>
                <c:pt idx="12">
                  <c:v>4580.5968780000003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2E-49E7-B2B3-B66EBA2475E3}"/>
            </c:ext>
          </c:extLst>
        </c:ser>
        <c:ser>
          <c:idx val="1"/>
          <c:order val="2"/>
          <c:tx>
            <c:strRef>
              <c:f>Dat_01!$A$148</c:f>
              <c:strCache>
                <c:ptCount val="1"/>
                <c:pt idx="0">
                  <c:v>Solar fotovoltaica</c:v>
                </c:pt>
              </c:strCache>
            </c:strRef>
          </c:tx>
          <c:spPr>
            <a:solidFill>
              <a:srgbClr val="E485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Dat_01!$B$148:$N$148</c:f>
              <c:numCache>
                <c:formatCode>#,##0.0</c:formatCode>
                <c:ptCount val="13"/>
                <c:pt idx="0">
                  <c:v>778.63753499999996</c:v>
                </c:pt>
                <c:pt idx="1">
                  <c:v>780.73612100000003</c:v>
                </c:pt>
                <c:pt idx="2">
                  <c:v>892.04790600000001</c:v>
                </c:pt>
                <c:pt idx="3">
                  <c:v>807.36622299999999</c:v>
                </c:pt>
                <c:pt idx="4">
                  <c:v>686.52648799999997</c:v>
                </c:pt>
                <c:pt idx="5">
                  <c:v>543.23595699999998</c:v>
                </c:pt>
                <c:pt idx="6">
                  <c:v>353.619077</c:v>
                </c:pt>
                <c:pt idx="7">
                  <c:v>404.07867700000003</c:v>
                </c:pt>
                <c:pt idx="8">
                  <c:v>480.728812</c:v>
                </c:pt>
                <c:pt idx="9">
                  <c:v>601.892966</c:v>
                </c:pt>
                <c:pt idx="10">
                  <c:v>768.80490399999996</c:v>
                </c:pt>
                <c:pt idx="11">
                  <c:v>661.66676800000005</c:v>
                </c:pt>
                <c:pt idx="12">
                  <c:v>889.528772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82E-49E7-B2B3-B66EBA2475E3}"/>
            </c:ext>
          </c:extLst>
        </c:ser>
        <c:ser>
          <c:idx val="3"/>
          <c:order val="3"/>
          <c:tx>
            <c:strRef>
              <c:f>Dat_01!$A$149</c:f>
              <c:strCache>
                <c:ptCount val="1"/>
                <c:pt idx="0">
                  <c:v>Solar térmica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Dat_01!$B$149:$N$149</c:f>
              <c:numCache>
                <c:formatCode>#,##0.0</c:formatCode>
                <c:ptCount val="13"/>
                <c:pt idx="0">
                  <c:v>477.20963399999999</c:v>
                </c:pt>
                <c:pt idx="1">
                  <c:v>551.29260299999999</c:v>
                </c:pt>
                <c:pt idx="2">
                  <c:v>858.89832999999999</c:v>
                </c:pt>
                <c:pt idx="3">
                  <c:v>688.557997</c:v>
                </c:pt>
                <c:pt idx="4">
                  <c:v>465.63698499999998</c:v>
                </c:pt>
                <c:pt idx="5">
                  <c:v>292.49343099999999</c:v>
                </c:pt>
                <c:pt idx="6">
                  <c:v>78.576116999999996</c:v>
                </c:pt>
                <c:pt idx="7">
                  <c:v>109.57487399999999</c:v>
                </c:pt>
                <c:pt idx="8">
                  <c:v>166.15012899999999</c:v>
                </c:pt>
                <c:pt idx="9">
                  <c:v>261.97860300000002</c:v>
                </c:pt>
                <c:pt idx="10">
                  <c:v>477.92322799999999</c:v>
                </c:pt>
                <c:pt idx="11">
                  <c:v>379.26881700000001</c:v>
                </c:pt>
                <c:pt idx="12">
                  <c:v>740.99772700000005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82E-49E7-B2B3-B66EBA2475E3}"/>
            </c:ext>
          </c:extLst>
        </c:ser>
        <c:ser>
          <c:idx val="5"/>
          <c:order val="4"/>
          <c:tx>
            <c:strRef>
              <c:f>Dat_01!$A$150</c:f>
              <c:strCache>
                <c:ptCount val="1"/>
                <c:pt idx="0">
                  <c:v>Otras renovables</c:v>
                </c:pt>
              </c:strCache>
            </c:strRef>
          </c:tx>
          <c:spPr>
            <a:solidFill>
              <a:srgbClr val="9A5CBC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Dat_01!$B$150:$N$150</c:f>
              <c:numCache>
                <c:formatCode>#,##0.0</c:formatCode>
                <c:ptCount val="13"/>
                <c:pt idx="0">
                  <c:v>290.86737199999999</c:v>
                </c:pt>
                <c:pt idx="1">
                  <c:v>304.03843599999999</c:v>
                </c:pt>
                <c:pt idx="2">
                  <c:v>323.38476400000002</c:v>
                </c:pt>
                <c:pt idx="3">
                  <c:v>316.43947400000002</c:v>
                </c:pt>
                <c:pt idx="4">
                  <c:v>319.40942899999999</c:v>
                </c:pt>
                <c:pt idx="5">
                  <c:v>296.78028399999999</c:v>
                </c:pt>
                <c:pt idx="6">
                  <c:v>292.56805100000003</c:v>
                </c:pt>
                <c:pt idx="7">
                  <c:v>299.14763599999998</c:v>
                </c:pt>
                <c:pt idx="8">
                  <c:v>303.393978</c:v>
                </c:pt>
                <c:pt idx="9">
                  <c:v>284.70844699999998</c:v>
                </c:pt>
                <c:pt idx="10">
                  <c:v>309.30230799999998</c:v>
                </c:pt>
                <c:pt idx="11">
                  <c:v>273.97149899999999</c:v>
                </c:pt>
                <c:pt idx="12">
                  <c:v>282.06007699999998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82E-49E7-B2B3-B66EBA2475E3}"/>
            </c:ext>
          </c:extLst>
        </c:ser>
        <c:ser>
          <c:idx val="4"/>
          <c:order val="5"/>
          <c:tx>
            <c:strRef>
              <c:f>Dat_01!$A$153</c:f>
              <c:strCache>
                <c:ptCount val="1"/>
                <c:pt idx="0">
                  <c:v>Residuos renovables</c:v>
                </c:pt>
              </c:strCache>
            </c:strRef>
          </c:tx>
          <c:spPr>
            <a:solidFill>
              <a:srgbClr val="A0A0A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Dat_01!$B$153:$N$153</c:f>
              <c:numCache>
                <c:formatCode>#,##0.0</c:formatCode>
                <c:ptCount val="13"/>
                <c:pt idx="0">
                  <c:v>24.344857999999999</c:v>
                </c:pt>
                <c:pt idx="1">
                  <c:v>50.806421</c:v>
                </c:pt>
                <c:pt idx="2">
                  <c:v>64.813796999999994</c:v>
                </c:pt>
                <c:pt idx="3">
                  <c:v>65.755174499999995</c:v>
                </c:pt>
                <c:pt idx="4">
                  <c:v>64.739834999999999</c:v>
                </c:pt>
                <c:pt idx="5">
                  <c:v>66.706254000000001</c:v>
                </c:pt>
                <c:pt idx="6">
                  <c:v>61.593868999999998</c:v>
                </c:pt>
                <c:pt idx="7">
                  <c:v>69.912847999999997</c:v>
                </c:pt>
                <c:pt idx="8">
                  <c:v>63.503646000000003</c:v>
                </c:pt>
                <c:pt idx="9">
                  <c:v>61.891773000000001</c:v>
                </c:pt>
                <c:pt idx="10">
                  <c:v>67.359962499999995</c:v>
                </c:pt>
                <c:pt idx="11">
                  <c:v>64.179035999999996</c:v>
                </c:pt>
                <c:pt idx="12">
                  <c:v>36.450611000000002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2E-49E7-B2B3-B66EBA2475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062704"/>
        <c:axId val="213062312"/>
      </c:barChart>
      <c:catAx>
        <c:axId val="2130627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13062312"/>
        <c:crosses val="autoZero"/>
        <c:auto val="1"/>
        <c:lblAlgn val="ctr"/>
        <c:lblOffset val="100"/>
        <c:noMultiLvlLbl val="1"/>
      </c:catAx>
      <c:valAx>
        <c:axId val="213062312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130627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9.0443888901056632E-2"/>
          <c:y val="3.1421838177533384E-2"/>
          <c:w val="0.8999999146679288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938078019217548E-2"/>
          <c:y val="0.19852622507025586"/>
          <c:w val="0.89139096346862223"/>
          <c:h val="0.67007523509679123"/>
        </c:manualLayout>
      </c:layout>
      <c:barChart>
        <c:barDir val="col"/>
        <c:grouping val="stacked"/>
        <c:varyColors val="0"/>
        <c:ser>
          <c:idx val="4"/>
          <c:order val="0"/>
          <c:tx>
            <c:strRef>
              <c:f>Dat_01!$A$143</c:f>
              <c:strCache>
                <c:ptCount val="1"/>
                <c:pt idx="0">
                  <c:v>Turbinación bombeo</c:v>
                </c:pt>
              </c:strCache>
            </c:strRef>
          </c:tx>
          <c:spPr>
            <a:solidFill>
              <a:srgbClr val="007CF9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Dat_01!$B$143:$N$143</c:f>
              <c:numCache>
                <c:formatCode>#,##0.0</c:formatCode>
                <c:ptCount val="13"/>
                <c:pt idx="0">
                  <c:v>153.27436067599999</c:v>
                </c:pt>
                <c:pt idx="1">
                  <c:v>58.722846416000003</c:v>
                </c:pt>
                <c:pt idx="2">
                  <c:v>35.301049413999998</c:v>
                </c:pt>
                <c:pt idx="3">
                  <c:v>60.003361108</c:v>
                </c:pt>
                <c:pt idx="4">
                  <c:v>40.026753237999998</c:v>
                </c:pt>
                <c:pt idx="5">
                  <c:v>215.001508672</c:v>
                </c:pt>
                <c:pt idx="6">
                  <c:v>142.90349618600001</c:v>
                </c:pt>
                <c:pt idx="7">
                  <c:v>134.66925335600001</c:v>
                </c:pt>
                <c:pt idx="8">
                  <c:v>166.107001744</c:v>
                </c:pt>
                <c:pt idx="9">
                  <c:v>188.79902042800001</c:v>
                </c:pt>
                <c:pt idx="10">
                  <c:v>189.243035048</c:v>
                </c:pt>
                <c:pt idx="11">
                  <c:v>130.29129281199999</c:v>
                </c:pt>
                <c:pt idx="12">
                  <c:v>127.53405822400001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E70-4BE9-B18B-1E29E3BE3F83}"/>
            </c:ext>
          </c:extLst>
        </c:ser>
        <c:ser>
          <c:idx val="2"/>
          <c:order val="1"/>
          <c:tx>
            <c:strRef>
              <c:f>Dat_01!$A$144</c:f>
              <c:strCache>
                <c:ptCount val="1"/>
                <c:pt idx="0">
                  <c:v>Nuclear</c:v>
                </c:pt>
              </c:strCache>
            </c:strRef>
          </c:tx>
          <c:spPr>
            <a:solidFill>
              <a:srgbClr val="464394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Dat_01!$B$144:$N$144</c:f>
              <c:numCache>
                <c:formatCode>#,##0.0</c:formatCode>
                <c:ptCount val="13"/>
                <c:pt idx="0">
                  <c:v>3728.6750010000001</c:v>
                </c:pt>
                <c:pt idx="1">
                  <c:v>3591.591351</c:v>
                </c:pt>
                <c:pt idx="2">
                  <c:v>4471.0236880000002</c:v>
                </c:pt>
                <c:pt idx="3">
                  <c:v>5135.7248909999998</c:v>
                </c:pt>
                <c:pt idx="4">
                  <c:v>5013.0349210000004</c:v>
                </c:pt>
                <c:pt idx="5">
                  <c:v>5150.6718030000002</c:v>
                </c:pt>
                <c:pt idx="6">
                  <c:v>3829.983448</c:v>
                </c:pt>
                <c:pt idx="7">
                  <c:v>4286.7606750000004</c:v>
                </c:pt>
                <c:pt idx="8">
                  <c:v>5041.3669819999996</c:v>
                </c:pt>
                <c:pt idx="9">
                  <c:v>4766.7856579999998</c:v>
                </c:pt>
                <c:pt idx="10">
                  <c:v>5274.7472820000003</c:v>
                </c:pt>
                <c:pt idx="11">
                  <c:v>4621.6629220000004</c:v>
                </c:pt>
                <c:pt idx="12">
                  <c:v>3976.917465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70-4BE9-B18B-1E29E3BE3F83}"/>
            </c:ext>
          </c:extLst>
        </c:ser>
        <c:ser>
          <c:idx val="0"/>
          <c:order val="2"/>
          <c:tx>
            <c:strRef>
              <c:f>Dat_01!$A$145</c:f>
              <c:strCache>
                <c:ptCount val="1"/>
                <c:pt idx="0">
                  <c:v>Carbón</c:v>
                </c:pt>
              </c:strCache>
            </c:strRef>
          </c:tx>
          <c:spPr>
            <a:solidFill>
              <a:srgbClr val="993300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Dat_01!$B$145:$N$145</c:f>
              <c:numCache>
                <c:formatCode>#,##0.0</c:formatCode>
                <c:ptCount val="13"/>
                <c:pt idx="0">
                  <c:v>2254.3190730000001</c:v>
                </c:pt>
                <c:pt idx="1">
                  <c:v>2273.6508990000002</c:v>
                </c:pt>
                <c:pt idx="2">
                  <c:v>3487.5949369999998</c:v>
                </c:pt>
                <c:pt idx="3">
                  <c:v>3495.8909399999998</c:v>
                </c:pt>
                <c:pt idx="4">
                  <c:v>4104.8410020000001</c:v>
                </c:pt>
                <c:pt idx="5">
                  <c:v>3364.8328780000002</c:v>
                </c:pt>
                <c:pt idx="6">
                  <c:v>3875.2184769999999</c:v>
                </c:pt>
                <c:pt idx="7">
                  <c:v>2845.2639509999999</c:v>
                </c:pt>
                <c:pt idx="8">
                  <c:v>3075.0438380000001</c:v>
                </c:pt>
                <c:pt idx="9">
                  <c:v>2246.8140950000002</c:v>
                </c:pt>
                <c:pt idx="10">
                  <c:v>824.670028</c:v>
                </c:pt>
                <c:pt idx="11">
                  <c:v>722.95364099999995</c:v>
                </c:pt>
                <c:pt idx="12">
                  <c:v>343.03717999999998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E70-4BE9-B18B-1E29E3BE3F83}"/>
            </c:ext>
          </c:extLst>
        </c:ser>
        <c:ser>
          <c:idx val="1"/>
          <c:order val="3"/>
          <c:tx>
            <c:strRef>
              <c:f>Dat_01!$A$146</c:f>
              <c:strCache>
                <c:ptCount val="1"/>
                <c:pt idx="0">
                  <c:v>Ciclo combinado</c:v>
                </c:pt>
              </c:strCache>
            </c:strRef>
          </c:tx>
          <c:spPr>
            <a:solidFill>
              <a:srgbClr val="FFCC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Dat_01!$B$146:$N$146</c:f>
              <c:numCache>
                <c:formatCode>#,##0.0</c:formatCode>
                <c:ptCount val="13"/>
                <c:pt idx="0">
                  <c:v>1968.425332</c:v>
                </c:pt>
                <c:pt idx="1">
                  <c:v>2180.126706</c:v>
                </c:pt>
                <c:pt idx="2">
                  <c:v>2229.279387</c:v>
                </c:pt>
                <c:pt idx="3">
                  <c:v>2663.0061409999998</c:v>
                </c:pt>
                <c:pt idx="4">
                  <c:v>2148.659568</c:v>
                </c:pt>
                <c:pt idx="5">
                  <c:v>2501.819391</c:v>
                </c:pt>
                <c:pt idx="6">
                  <c:v>3160.857532</c:v>
                </c:pt>
                <c:pt idx="7">
                  <c:v>2896.6909179999998</c:v>
                </c:pt>
                <c:pt idx="8">
                  <c:v>3198.741031</c:v>
                </c:pt>
                <c:pt idx="9">
                  <c:v>2453.2148360000001</c:v>
                </c:pt>
                <c:pt idx="10">
                  <c:v>2129.3124120000002</c:v>
                </c:pt>
                <c:pt idx="11">
                  <c:v>2714.2451850000002</c:v>
                </c:pt>
                <c:pt idx="12">
                  <c:v>3896.510745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E70-4BE9-B18B-1E29E3BE3F83}"/>
            </c:ext>
          </c:extLst>
        </c:ser>
        <c:ser>
          <c:idx val="5"/>
          <c:order val="4"/>
          <c:tx>
            <c:strRef>
              <c:f>Dat_01!$A$151</c:f>
              <c:strCache>
                <c:ptCount val="1"/>
                <c:pt idx="0">
                  <c:v>Cogeneración</c:v>
                </c:pt>
              </c:strCache>
            </c:strRef>
          </c:tx>
          <c:spPr>
            <a:solidFill>
              <a:srgbClr val="CFA2CA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Dat_01!$B$151:$N$151</c:f>
              <c:numCache>
                <c:formatCode>#,##0.0</c:formatCode>
                <c:ptCount val="13"/>
                <c:pt idx="0">
                  <c:v>2418.3057220000001</c:v>
                </c:pt>
                <c:pt idx="1">
                  <c:v>2408.224995</c:v>
                </c:pt>
                <c:pt idx="2">
                  <c:v>2441.3647839999999</c:v>
                </c:pt>
                <c:pt idx="3">
                  <c:v>2361.2932569999998</c:v>
                </c:pt>
                <c:pt idx="4">
                  <c:v>2408.1177870000001</c:v>
                </c:pt>
                <c:pt idx="5">
                  <c:v>2520.0123990000002</c:v>
                </c:pt>
                <c:pt idx="6">
                  <c:v>2472.1034989999998</c:v>
                </c:pt>
                <c:pt idx="7">
                  <c:v>2529.9647150000001</c:v>
                </c:pt>
                <c:pt idx="8">
                  <c:v>2656.3842519999998</c:v>
                </c:pt>
                <c:pt idx="9">
                  <c:v>2391.1858710000001</c:v>
                </c:pt>
                <c:pt idx="10">
                  <c:v>2588.9622680000002</c:v>
                </c:pt>
                <c:pt idx="11">
                  <c:v>2488.363464</c:v>
                </c:pt>
                <c:pt idx="12">
                  <c:v>2544.1971939999999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E70-4BE9-B18B-1E29E3BE3F83}"/>
            </c:ext>
          </c:extLst>
        </c:ser>
        <c:ser>
          <c:idx val="3"/>
          <c:order val="5"/>
          <c:tx>
            <c:strRef>
              <c:f>Dat_01!$A$152</c:f>
              <c:strCache>
                <c:ptCount val="1"/>
                <c:pt idx="0">
                  <c:v>Residuos no renovables</c:v>
                </c:pt>
              </c:strCache>
            </c:strRef>
          </c:tx>
          <c:spPr>
            <a:solidFill>
              <a:srgbClr val="666666"/>
            </a:solidFill>
            <a:ln>
              <a:noFill/>
            </a:ln>
            <a:effectLst/>
          </c:spPr>
          <c:invertIfNegative val="0"/>
          <c:cat>
            <c:strRef>
              <c:f>Dat_01!$B$140:$N$140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Dat_01!$B$152:$N$152</c:f>
              <c:numCache>
                <c:formatCode>#,##0.0</c:formatCode>
                <c:ptCount val="13"/>
                <c:pt idx="0">
                  <c:v>137.027331</c:v>
                </c:pt>
                <c:pt idx="1">
                  <c:v>175.41279499999999</c:v>
                </c:pt>
                <c:pt idx="2">
                  <c:v>199.57543200000001</c:v>
                </c:pt>
                <c:pt idx="3">
                  <c:v>194.65527349999999</c:v>
                </c:pt>
                <c:pt idx="4">
                  <c:v>189.02059499999999</c:v>
                </c:pt>
                <c:pt idx="5">
                  <c:v>201.64167599999999</c:v>
                </c:pt>
                <c:pt idx="6">
                  <c:v>191.94905</c:v>
                </c:pt>
                <c:pt idx="7">
                  <c:v>190.76081500000001</c:v>
                </c:pt>
                <c:pt idx="8">
                  <c:v>196.595054</c:v>
                </c:pt>
                <c:pt idx="9">
                  <c:v>180.749244</c:v>
                </c:pt>
                <c:pt idx="10">
                  <c:v>200.77886749999999</c:v>
                </c:pt>
                <c:pt idx="11">
                  <c:v>175.342614</c:v>
                </c:pt>
                <c:pt idx="12">
                  <c:v>154.68218999999999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E70-4BE9-B18B-1E29E3BE3F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13061528"/>
        <c:axId val="213061136"/>
      </c:barChart>
      <c:catAx>
        <c:axId val="2130615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Meses</a:t>
                </a:r>
              </a:p>
            </c:rich>
          </c:tx>
          <c:layout>
            <c:manualLayout>
              <c:xMode val="edge"/>
              <c:yMode val="edge"/>
              <c:x val="0.91793984487198343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13061136"/>
        <c:crosses val="autoZero"/>
        <c:auto val="1"/>
        <c:lblAlgn val="ctr"/>
        <c:lblOffset val="100"/>
        <c:noMultiLvlLbl val="1"/>
      </c:catAx>
      <c:valAx>
        <c:axId val="213061136"/>
        <c:scaling>
          <c:orientation val="minMax"/>
          <c:max val="160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>
                    <a:solidFill>
                      <a:srgbClr val="004563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0705323611924532E-2"/>
              <c:y val="7.743627490397164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2130615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4101736308540291"/>
          <c:y val="3.1421838177533384E-2"/>
          <c:w val="0.81495555479072734"/>
          <c:h val="6.135809279264766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231300862004442E-2"/>
          <c:y val="0.18352005286750084"/>
          <c:w val="0.87861960913213566"/>
          <c:h val="0.70602926415670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Dat_01!$W$178</c:f>
              <c:strCache>
                <c:ptCount val="1"/>
                <c:pt idx="0">
                  <c:v>Generación eólica (GWh)</c:v>
                </c:pt>
              </c:strCache>
            </c:strRef>
          </c:tx>
          <c:spPr>
            <a:solidFill>
              <a:srgbClr val="44B114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C86-462B-82E6-5CB9BA0106B9}"/>
              </c:ext>
            </c:extLst>
          </c:dPt>
          <c:dPt>
            <c:idx val="5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C86-462B-82E6-5CB9BA0106B9}"/>
              </c:ext>
            </c:extLst>
          </c:dPt>
          <c:dPt>
            <c:idx val="7"/>
            <c:invertIfNegative val="0"/>
            <c:bubble3D val="0"/>
            <c:spPr>
              <a:solidFill>
                <a:srgbClr val="38572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DA66-4769-BDF5-E92B1CE694E7}"/>
              </c:ext>
            </c:extLst>
          </c:dPt>
          <c:dPt>
            <c:idx val="9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C86-462B-82E6-5CB9BA0106B9}"/>
              </c:ext>
            </c:extLst>
          </c:dPt>
          <c:dPt>
            <c:idx val="1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C86-462B-82E6-5CB9BA0106B9}"/>
              </c:ext>
            </c:extLst>
          </c:dPt>
          <c:dPt>
            <c:idx val="1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C86-462B-82E6-5CB9BA0106B9}"/>
              </c:ext>
            </c:extLst>
          </c:dPt>
          <c:dPt>
            <c:idx val="17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C86-462B-82E6-5CB9BA0106B9}"/>
              </c:ext>
            </c:extLst>
          </c:dPt>
          <c:dPt>
            <c:idx val="22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C86-462B-82E6-5CB9BA0106B9}"/>
              </c:ext>
            </c:extLst>
          </c:dPt>
          <c:dPt>
            <c:idx val="23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C86-462B-82E6-5CB9BA0106B9}"/>
              </c:ext>
            </c:extLst>
          </c:dPt>
          <c:dPt>
            <c:idx val="24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C86-462B-82E6-5CB9BA0106B9}"/>
              </c:ext>
            </c:extLst>
          </c:dPt>
          <c:dPt>
            <c:idx val="28"/>
            <c:invertIfNegative val="0"/>
            <c:bubble3D val="0"/>
            <c:spPr>
              <a:solidFill>
                <a:srgbClr val="44B11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C86-462B-82E6-5CB9BA0106B9}"/>
              </c:ext>
            </c:extLst>
          </c:dPt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[0]!Eol_Dia</c:f>
              <c:numCache>
                <c:formatCode>0_)</c:formatCode>
                <c:ptCount val="31"/>
                <c:pt idx="0">
                  <c:v>113.443163</c:v>
                </c:pt>
                <c:pt idx="1">
                  <c:v>194.80897399999998</c:v>
                </c:pt>
                <c:pt idx="2">
                  <c:v>165.68459899999999</c:v>
                </c:pt>
                <c:pt idx="3">
                  <c:v>157.027287</c:v>
                </c:pt>
                <c:pt idx="4">
                  <c:v>178.43835799999999</c:v>
                </c:pt>
                <c:pt idx="5">
                  <c:v>58.183091999999995</c:v>
                </c:pt>
                <c:pt idx="6">
                  <c:v>142.62562899999998</c:v>
                </c:pt>
                <c:pt idx="7">
                  <c:v>314.32241700000003</c:v>
                </c:pt>
                <c:pt idx="8">
                  <c:v>233.54394699999997</c:v>
                </c:pt>
                <c:pt idx="9">
                  <c:v>190.27820300000002</c:v>
                </c:pt>
                <c:pt idx="10">
                  <c:v>129.23978</c:v>
                </c:pt>
                <c:pt idx="11">
                  <c:v>191.58437000000001</c:v>
                </c:pt>
                <c:pt idx="12">
                  <c:v>186.90063500000002</c:v>
                </c:pt>
                <c:pt idx="13">
                  <c:v>104.148995</c:v>
                </c:pt>
                <c:pt idx="14">
                  <c:v>93.727097999999998</c:v>
                </c:pt>
                <c:pt idx="15">
                  <c:v>133.972037</c:v>
                </c:pt>
                <c:pt idx="16">
                  <c:v>286.71830299999999</c:v>
                </c:pt>
                <c:pt idx="17">
                  <c:v>148.617862</c:v>
                </c:pt>
                <c:pt idx="18">
                  <c:v>130.259153</c:v>
                </c:pt>
                <c:pt idx="19">
                  <c:v>67.222451000000007</c:v>
                </c:pt>
                <c:pt idx="20">
                  <c:v>50.458046000000003</c:v>
                </c:pt>
                <c:pt idx="21">
                  <c:v>41.479620000000004</c:v>
                </c:pt>
                <c:pt idx="22">
                  <c:v>59.658253999999999</c:v>
                </c:pt>
                <c:pt idx="23">
                  <c:v>170.46426</c:v>
                </c:pt>
                <c:pt idx="24">
                  <c:v>177.05541399999998</c:v>
                </c:pt>
                <c:pt idx="25">
                  <c:v>147.45237299999999</c:v>
                </c:pt>
                <c:pt idx="26">
                  <c:v>136.96283300000002</c:v>
                </c:pt>
                <c:pt idx="27">
                  <c:v>193.76041800000002</c:v>
                </c:pt>
                <c:pt idx="28">
                  <c:v>183.587085</c:v>
                </c:pt>
                <c:pt idx="29">
                  <c:v>112.74162099999999</c:v>
                </c:pt>
                <c:pt idx="30">
                  <c:v>86.230600999999993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73961336"/>
        <c:axId val="373961728"/>
      </c:barChart>
      <c:lineChart>
        <c:grouping val="standard"/>
        <c:varyColors val="0"/>
        <c:ser>
          <c:idx val="1"/>
          <c:order val="1"/>
          <c:tx>
            <c:strRef>
              <c:f>Dat_01!$V$178</c:f>
              <c:strCache>
                <c:ptCount val="1"/>
                <c:pt idx="0">
                  <c:v>Generación eólica/Generación (%)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numRef>
              <c:f>[0]!Eol_Fechas</c:f>
              <c:numCache>
                <c:formatCode>0_)</c:formatCode>
                <c:ptCount val="3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</c:numCache>
            </c:numRef>
          </c:cat>
          <c:val>
            <c:numRef>
              <c:f>[0]!Eol_Porcentaje</c:f>
              <c:numCache>
                <c:formatCode>0.0_)</c:formatCode>
                <c:ptCount val="31"/>
                <c:pt idx="0">
                  <c:v>20.382038220908459</c:v>
                </c:pt>
                <c:pt idx="1">
                  <c:v>30.184329205684758</c:v>
                </c:pt>
                <c:pt idx="2">
                  <c:v>25.675950337005236</c:v>
                </c:pt>
                <c:pt idx="3">
                  <c:v>26.034709614288644</c:v>
                </c:pt>
                <c:pt idx="4">
                  <c:v>30.2061875493408</c:v>
                </c:pt>
                <c:pt idx="5">
                  <c:v>9.6164662863898478</c:v>
                </c:pt>
                <c:pt idx="6">
                  <c:v>21.659356656542052</c:v>
                </c:pt>
                <c:pt idx="7">
                  <c:v>45.013506418424548</c:v>
                </c:pt>
                <c:pt idx="8">
                  <c:v>34.690896914312162</c:v>
                </c:pt>
                <c:pt idx="9">
                  <c:v>29.034819365485149</c:v>
                </c:pt>
                <c:pt idx="10">
                  <c:v>21.600343674019641</c:v>
                </c:pt>
                <c:pt idx="11">
                  <c:v>32.66793572967098</c:v>
                </c:pt>
                <c:pt idx="12">
                  <c:v>28.586342778130497</c:v>
                </c:pt>
                <c:pt idx="13">
                  <c:v>16.562837980473979</c:v>
                </c:pt>
                <c:pt idx="14">
                  <c:v>14.973213899353762</c:v>
                </c:pt>
                <c:pt idx="15">
                  <c:v>21.236344367952853</c:v>
                </c:pt>
                <c:pt idx="16">
                  <c:v>40.942334560956155</c:v>
                </c:pt>
                <c:pt idx="17">
                  <c:v>24.945716688329679</c:v>
                </c:pt>
                <c:pt idx="18">
                  <c:v>22.261123424725177</c:v>
                </c:pt>
                <c:pt idx="19">
                  <c:v>11.088587937975275</c:v>
                </c:pt>
                <c:pt idx="20">
                  <c:v>8.4383592699175285</c:v>
                </c:pt>
                <c:pt idx="21">
                  <c:v>6.7554023054653429</c:v>
                </c:pt>
                <c:pt idx="22">
                  <c:v>9.797542813394827</c:v>
                </c:pt>
                <c:pt idx="23">
                  <c:v>26.270435508197281</c:v>
                </c:pt>
                <c:pt idx="24">
                  <c:v>28.711185255684729</c:v>
                </c:pt>
                <c:pt idx="25">
                  <c:v>25.334188825369321</c:v>
                </c:pt>
                <c:pt idx="26">
                  <c:v>21.298870373487421</c:v>
                </c:pt>
                <c:pt idx="27">
                  <c:v>28.336637166140228</c:v>
                </c:pt>
                <c:pt idx="28">
                  <c:v>27.075678327191749</c:v>
                </c:pt>
                <c:pt idx="29">
                  <c:v>17.427608588130301</c:v>
                </c:pt>
                <c:pt idx="30">
                  <c:v>13.430183349055449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8C86-462B-82E6-5CB9BA0106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3962512"/>
        <c:axId val="373962120"/>
      </c:lineChart>
      <c:catAx>
        <c:axId val="37396133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73961728"/>
        <c:crosses val="autoZero"/>
        <c:auto val="0"/>
        <c:lblAlgn val="ctr"/>
        <c:lblOffset val="100"/>
        <c:noMultiLvlLbl val="0"/>
      </c:catAx>
      <c:valAx>
        <c:axId val="373961728"/>
        <c:scaling>
          <c:orientation val="minMax"/>
          <c:max val="50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9.0309775329189806E-3"/>
              <c:y val="7.943508249117316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73961336"/>
        <c:crosses val="autoZero"/>
        <c:crossBetween val="between"/>
        <c:majorUnit val="50"/>
      </c:valAx>
      <c:valAx>
        <c:axId val="373962120"/>
        <c:scaling>
          <c:orientation val="minMax"/>
          <c:max val="50"/>
          <c:min val="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435111644215319"/>
              <c:y val="7.151742611745978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73962512"/>
        <c:crosses val="max"/>
        <c:crossBetween val="between"/>
        <c:majorUnit val="5"/>
      </c:valAx>
      <c:catAx>
        <c:axId val="373962512"/>
        <c:scaling>
          <c:orientation val="minMax"/>
        </c:scaling>
        <c:delete val="1"/>
        <c:axPos val="b"/>
        <c:numFmt formatCode="0_)" sourceLinked="1"/>
        <c:majorTickMark val="out"/>
        <c:minorTickMark val="none"/>
        <c:tickLblPos val="nextTo"/>
        <c:crossAx val="373962120"/>
        <c:crosses val="autoZero"/>
        <c:auto val="0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36704125549645195"/>
          <c:y val="3.6949063077329113E-2"/>
          <c:w val="0.56574580087988746"/>
          <c:h val="7.83615230993987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2739267572077873E-2"/>
          <c:y val="0.16203432686097483"/>
          <c:w val="0.88055373118747826"/>
          <c:h val="0.70656704047108021"/>
        </c:manualLayout>
      </c:layout>
      <c:areaChart>
        <c:grouping val="standard"/>
        <c:varyColors val="0"/>
        <c:ser>
          <c:idx val="1"/>
          <c:order val="0"/>
          <c:tx>
            <c:v>Generación</c:v>
          </c:tx>
          <c:spPr>
            <a:solidFill>
              <a:schemeClr val="bg1">
                <a:lumMod val="85000"/>
              </a:schemeClr>
            </a:solidFill>
            <a:ln w="25400">
              <a:noFill/>
            </a:ln>
            <a:effectLst/>
          </c:spPr>
          <c:val>
            <c:numRef>
              <c:f>Dat_01!$O$220:$O$243</c:f>
              <c:numCache>
                <c:formatCode>#,##0.0</c:formatCode>
                <c:ptCount val="24"/>
                <c:pt idx="0">
                  <c:v>26.182577999999999</c:v>
                </c:pt>
                <c:pt idx="1">
                  <c:v>25.356280999999999</c:v>
                </c:pt>
                <c:pt idx="2">
                  <c:v>24.719826000000001</c:v>
                </c:pt>
                <c:pt idx="3">
                  <c:v>24.732368000000001</c:v>
                </c:pt>
                <c:pt idx="4">
                  <c:v>24.565329999999999</c:v>
                </c:pt>
                <c:pt idx="5">
                  <c:v>24.646892000000001</c:v>
                </c:pt>
                <c:pt idx="6">
                  <c:v>25.408066000000002</c:v>
                </c:pt>
                <c:pt idx="7">
                  <c:v>27.054701000000001</c:v>
                </c:pt>
                <c:pt idx="8">
                  <c:v>28.431253999999999</c:v>
                </c:pt>
                <c:pt idx="9">
                  <c:v>29.313877000000002</c:v>
                </c:pt>
                <c:pt idx="10">
                  <c:v>30.488703999999998</c:v>
                </c:pt>
                <c:pt idx="11">
                  <c:v>31.552112999999999</c:v>
                </c:pt>
                <c:pt idx="12">
                  <c:v>31.957249000000001</c:v>
                </c:pt>
                <c:pt idx="13">
                  <c:v>32.301966</c:v>
                </c:pt>
                <c:pt idx="14">
                  <c:v>32.002267000000003</c:v>
                </c:pt>
                <c:pt idx="15">
                  <c:v>32.106236000000003</c:v>
                </c:pt>
                <c:pt idx="16">
                  <c:v>32.237155000000001</c:v>
                </c:pt>
                <c:pt idx="17">
                  <c:v>32.000090999999998</c:v>
                </c:pt>
                <c:pt idx="18">
                  <c:v>31.742311999999998</c:v>
                </c:pt>
                <c:pt idx="19">
                  <c:v>31.444403000000001</c:v>
                </c:pt>
                <c:pt idx="20">
                  <c:v>30.939945999999999</c:v>
                </c:pt>
                <c:pt idx="21">
                  <c:v>30.572074000000001</c:v>
                </c:pt>
                <c:pt idx="22">
                  <c:v>29.764365000000002</c:v>
                </c:pt>
                <c:pt idx="23">
                  <c:v>28.764621000000002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D5-491D-86F4-1C3EAD5D033B}"/>
            </c:ext>
          </c:extLst>
        </c:ser>
        <c:ser>
          <c:idx val="0"/>
          <c:order val="1"/>
          <c:tx>
            <c:v>Eólica</c:v>
          </c:tx>
          <c:spPr>
            <a:solidFill>
              <a:srgbClr val="44B114"/>
            </a:solidFill>
            <a:ln w="25400">
              <a:noFill/>
            </a:ln>
            <a:effectLst/>
          </c:spPr>
          <c:val>
            <c:numRef>
              <c:f>Dat_01!$H$220:$H$243</c:f>
              <c:numCache>
                <c:formatCode>#,##0.0</c:formatCode>
                <c:ptCount val="24"/>
                <c:pt idx="0">
                  <c:v>10.165982</c:v>
                </c:pt>
                <c:pt idx="1">
                  <c:v>10.112603</c:v>
                </c:pt>
                <c:pt idx="2">
                  <c:v>9.8709659999999992</c:v>
                </c:pt>
                <c:pt idx="3">
                  <c:v>9.7527209999999993</c:v>
                </c:pt>
                <c:pt idx="4">
                  <c:v>9.9837550000000004</c:v>
                </c:pt>
                <c:pt idx="5">
                  <c:v>10.417051000000001</c:v>
                </c:pt>
                <c:pt idx="6">
                  <c:v>10.787065</c:v>
                </c:pt>
                <c:pt idx="7">
                  <c:v>11.293203999999999</c:v>
                </c:pt>
                <c:pt idx="8">
                  <c:v>11.649419999999999</c:v>
                </c:pt>
                <c:pt idx="9">
                  <c:v>12.045766</c:v>
                </c:pt>
                <c:pt idx="10">
                  <c:v>12.841854</c:v>
                </c:pt>
                <c:pt idx="11">
                  <c:v>13.728471000000001</c:v>
                </c:pt>
                <c:pt idx="12">
                  <c:v>14.63611</c:v>
                </c:pt>
                <c:pt idx="13">
                  <c:v>14.747728</c:v>
                </c:pt>
                <c:pt idx="14">
                  <c:v>15.087040999999999</c:v>
                </c:pt>
                <c:pt idx="15">
                  <c:v>15.322006</c:v>
                </c:pt>
                <c:pt idx="16">
                  <c:v>15.604463000000001</c:v>
                </c:pt>
                <c:pt idx="17">
                  <c:v>15.874993999999999</c:v>
                </c:pt>
                <c:pt idx="18">
                  <c:v>15.949736</c:v>
                </c:pt>
                <c:pt idx="19">
                  <c:v>15.856176</c:v>
                </c:pt>
                <c:pt idx="20">
                  <c:v>15.531631000000001</c:v>
                </c:pt>
                <c:pt idx="21">
                  <c:v>14.858641</c:v>
                </c:pt>
                <c:pt idx="22">
                  <c:v>14.311565999999999</c:v>
                </c:pt>
                <c:pt idx="23">
                  <c:v>13.893466999999999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D5-491D-86F4-1C3EAD5D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12368"/>
        <c:axId val="374112760"/>
      </c:areaChart>
      <c:lineChart>
        <c:grouping val="standard"/>
        <c:varyColors val="0"/>
        <c:ser>
          <c:idx val="2"/>
          <c:order val="2"/>
          <c:tx>
            <c:strRef>
              <c:f>Dat_01!$V$218</c:f>
              <c:strCache>
                <c:ptCount val="1"/>
                <c:pt idx="0">
                  <c:v>Generación eólica / total generación (%)</c:v>
                </c:pt>
              </c:strCache>
            </c:strRef>
          </c:tx>
          <c:spPr>
            <a:ln w="28575" cap="rnd">
              <a:solidFill>
                <a:srgbClr val="BE0000"/>
              </a:solidFill>
              <a:round/>
            </a:ln>
            <a:effectLst/>
          </c:spPr>
          <c:marker>
            <c:symbol val="none"/>
          </c:marker>
          <c:val>
            <c:numRef>
              <c:f>Dat_01!$V$220:$V$243</c:f>
              <c:numCache>
                <c:formatCode>0.0_)</c:formatCode>
                <c:ptCount val="24"/>
                <c:pt idx="0">
                  <c:v>38.827276672297131</c:v>
                </c:pt>
                <c:pt idx="1">
                  <c:v>39.882043427425337</c:v>
                </c:pt>
                <c:pt idx="2">
                  <c:v>39.93137330335577</c:v>
                </c:pt>
                <c:pt idx="3">
                  <c:v>39.433025580081939</c:v>
                </c:pt>
                <c:pt idx="4">
                  <c:v>40.641648209081666</c:v>
                </c:pt>
                <c:pt idx="5">
                  <c:v>42.26517079719423</c:v>
                </c:pt>
                <c:pt idx="6">
                  <c:v>42.455277784621622</c:v>
                </c:pt>
                <c:pt idx="7">
                  <c:v>41.742113505523491</c:v>
                </c:pt>
                <c:pt idx="8">
                  <c:v>40.973992916387012</c:v>
                </c:pt>
                <c:pt idx="9">
                  <c:v>41.092367277109062</c:v>
                </c:pt>
                <c:pt idx="10">
                  <c:v>42.120038949507332</c:v>
                </c:pt>
                <c:pt idx="11">
                  <c:v>43.510464734960863</c:v>
                </c:pt>
                <c:pt idx="12">
                  <c:v>45.799029822623346</c:v>
                </c:pt>
                <c:pt idx="13">
                  <c:v>45.655821692091436</c:v>
                </c:pt>
                <c:pt idx="14">
                  <c:v>47.143663291103714</c:v>
                </c:pt>
                <c:pt idx="15">
                  <c:v>47.722834903474819</c:v>
                </c:pt>
                <c:pt idx="16">
                  <c:v>48.405211315948939</c:v>
                </c:pt>
                <c:pt idx="17">
                  <c:v>49.609215173794354</c:v>
                </c:pt>
                <c:pt idx="18">
                  <c:v>50.247556006632408</c:v>
                </c:pt>
                <c:pt idx="19">
                  <c:v>50.426067876054127</c:v>
                </c:pt>
                <c:pt idx="20">
                  <c:v>50.199282830034676</c:v>
                </c:pt>
                <c:pt idx="21">
                  <c:v>48.602005215609509</c:v>
                </c:pt>
                <c:pt idx="22">
                  <c:v>48.082887036226026</c:v>
                </c:pt>
                <c:pt idx="23">
                  <c:v>48.300539054555934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F7D5-491D-86F4-1C3EAD5D03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13544"/>
        <c:axId val="374113152"/>
      </c:lineChart>
      <c:catAx>
        <c:axId val="374112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Horas</a:t>
                </a:r>
              </a:p>
            </c:rich>
          </c:tx>
          <c:layout>
            <c:manualLayout>
              <c:xMode val="edge"/>
              <c:yMode val="edge"/>
              <c:x val="0.93078630374747151"/>
              <c:y val="0.936134907724122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74112760"/>
        <c:crosses val="autoZero"/>
        <c:auto val="1"/>
        <c:lblAlgn val="ctr"/>
        <c:lblOffset val="100"/>
        <c:noMultiLvlLbl val="0"/>
      </c:catAx>
      <c:valAx>
        <c:axId val="374112760"/>
        <c:scaling>
          <c:orientation val="minMax"/>
          <c:max val="50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GWh</a:t>
                </a:r>
              </a:p>
            </c:rich>
          </c:tx>
          <c:layout>
            <c:manualLayout>
              <c:xMode val="edge"/>
              <c:yMode val="edge"/>
              <c:x val="3.2511519118508324E-2"/>
              <c:y val="5.648838278561605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74112368"/>
        <c:crosses val="autoZero"/>
        <c:crossBetween val="between"/>
      </c:valAx>
      <c:valAx>
        <c:axId val="374113152"/>
        <c:scaling>
          <c:orientation val="minMax"/>
          <c:max val="100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rgbClr val="004563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s-ES"/>
                  <a:t>%</a:t>
                </a:r>
              </a:p>
            </c:rich>
          </c:tx>
          <c:layout>
            <c:manualLayout>
              <c:xMode val="edge"/>
              <c:yMode val="edge"/>
              <c:x val="0.94976970296190466"/>
              <c:y val="7.422908851053304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rgbClr val="004563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s-ES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rgbClr val="004563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s-ES"/>
          </a:p>
        </c:txPr>
        <c:crossAx val="374113544"/>
        <c:crosses val="max"/>
        <c:crossBetween val="between"/>
      </c:valAx>
      <c:catAx>
        <c:axId val="3741135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4113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1934301700639736"/>
          <c:y val="5.5858789902571079E-2"/>
          <c:w val="0.8174401402631698"/>
          <c:h val="7.83227851387812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rgbClr val="004563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rgbClr val="F5F5F5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004563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085030247996251E-2"/>
          <c:y val="0.11902039804079609"/>
          <c:w val="0.88448972314479668"/>
          <c:h val="0.66229731126128921"/>
        </c:manualLayout>
      </c:layout>
      <c:areaChart>
        <c:grouping val="standard"/>
        <c:varyColors val="0"/>
        <c:ser>
          <c:idx val="4"/>
          <c:order val="0"/>
          <c:tx>
            <c:strRef>
              <c:f>Dat_02!$C$1</c:f>
              <c:strCache>
                <c:ptCount val="1"/>
                <c:pt idx="0">
                  <c:v>Producible diario</c:v>
                </c:pt>
              </c:strCache>
            </c:strRef>
          </c:tx>
          <c:spPr>
            <a:solidFill>
              <a:srgbClr val="00B0F0"/>
            </a:solidFill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Dat_02!$C$3:$C$398</c:f>
              <c:numCache>
                <c:formatCode>#,##0.0</c:formatCode>
                <c:ptCount val="396"/>
                <c:pt idx="0">
                  <c:v>161.72530520799984</c:v>
                </c:pt>
                <c:pt idx="1">
                  <c:v>128.14030725199848</c:v>
                </c:pt>
                <c:pt idx="2">
                  <c:v>130.10232026000128</c:v>
                </c:pt>
                <c:pt idx="3">
                  <c:v>132.97824705199886</c:v>
                </c:pt>
                <c:pt idx="4">
                  <c:v>121.63721203200132</c:v>
                </c:pt>
                <c:pt idx="5">
                  <c:v>137.34454470200009</c:v>
                </c:pt>
                <c:pt idx="6">
                  <c:v>105.71225961999892</c:v>
                </c:pt>
                <c:pt idx="7">
                  <c:v>145.71779165999999</c:v>
                </c:pt>
                <c:pt idx="8">
                  <c:v>132.12742509399988</c:v>
                </c:pt>
                <c:pt idx="9">
                  <c:v>120.99884701200124</c:v>
                </c:pt>
                <c:pt idx="10">
                  <c:v>102.25985699999903</c:v>
                </c:pt>
                <c:pt idx="11">
                  <c:v>136.62566195999943</c:v>
                </c:pt>
                <c:pt idx="12">
                  <c:v>128.66054245799978</c:v>
                </c:pt>
                <c:pt idx="13">
                  <c:v>130.08930832800002</c:v>
                </c:pt>
                <c:pt idx="14">
                  <c:v>99.303679692001751</c:v>
                </c:pt>
                <c:pt idx="15">
                  <c:v>88.95340967199833</c:v>
                </c:pt>
                <c:pt idx="16">
                  <c:v>87.102957502001004</c:v>
                </c:pt>
                <c:pt idx="17">
                  <c:v>84.90524368799916</c:v>
                </c:pt>
                <c:pt idx="18">
                  <c:v>106.68403058400047</c:v>
                </c:pt>
                <c:pt idx="19">
                  <c:v>94.50606752400013</c:v>
                </c:pt>
                <c:pt idx="20">
                  <c:v>111.65829537600005</c:v>
                </c:pt>
                <c:pt idx="21">
                  <c:v>106.2375112060008</c:v>
                </c:pt>
                <c:pt idx="22">
                  <c:v>88.031645835999271</c:v>
                </c:pt>
                <c:pt idx="23">
                  <c:v>114.12441026600068</c:v>
                </c:pt>
                <c:pt idx="24">
                  <c:v>107.27422800799881</c:v>
                </c:pt>
                <c:pt idx="25">
                  <c:v>136.31577750000025</c:v>
                </c:pt>
                <c:pt idx="26">
                  <c:v>113.51445925200046</c:v>
                </c:pt>
                <c:pt idx="27">
                  <c:v>133.85437754600059</c:v>
                </c:pt>
                <c:pt idx="28">
                  <c:v>196.8115773079987</c:v>
                </c:pt>
                <c:pt idx="29">
                  <c:v>102.41424729200045</c:v>
                </c:pt>
                <c:pt idx="30">
                  <c:v>135.24416343399946</c:v>
                </c:pt>
                <c:pt idx="31">
                  <c:v>133.4193510379998</c:v>
                </c:pt>
                <c:pt idx="32">
                  <c:v>110.18032657600038</c:v>
                </c:pt>
                <c:pt idx="33">
                  <c:v>133.15294642200035</c:v>
                </c:pt>
                <c:pt idx="34">
                  <c:v>125.17872412600038</c:v>
                </c:pt>
                <c:pt idx="35">
                  <c:v>108.23437664799874</c:v>
                </c:pt>
                <c:pt idx="36">
                  <c:v>152.09634927200131</c:v>
                </c:pt>
                <c:pt idx="37">
                  <c:v>122.25881915199908</c:v>
                </c:pt>
                <c:pt idx="38">
                  <c:v>155.68748897000077</c:v>
                </c:pt>
                <c:pt idx="39">
                  <c:v>156.4325545899992</c:v>
                </c:pt>
                <c:pt idx="40">
                  <c:v>160.33901424999965</c:v>
                </c:pt>
                <c:pt idx="41">
                  <c:v>172.07760785200099</c:v>
                </c:pt>
                <c:pt idx="42">
                  <c:v>141.57988600799985</c:v>
                </c:pt>
                <c:pt idx="43">
                  <c:v>134.07056026200041</c:v>
                </c:pt>
                <c:pt idx="44">
                  <c:v>154.59246782799877</c:v>
                </c:pt>
                <c:pt idx="45">
                  <c:v>125.90825040400162</c:v>
                </c:pt>
                <c:pt idx="46">
                  <c:v>133.9081081279995</c:v>
                </c:pt>
                <c:pt idx="47">
                  <c:v>101.51889465599892</c:v>
                </c:pt>
                <c:pt idx="48">
                  <c:v>131.62562380799994</c:v>
                </c:pt>
                <c:pt idx="49">
                  <c:v>94.112740128000382</c:v>
                </c:pt>
                <c:pt idx="50">
                  <c:v>98.465471891999769</c:v>
                </c:pt>
                <c:pt idx="51">
                  <c:v>94.196145864000982</c:v>
                </c:pt>
                <c:pt idx="52">
                  <c:v>97.591259735998847</c:v>
                </c:pt>
                <c:pt idx="53">
                  <c:v>69.968979008001455</c:v>
                </c:pt>
                <c:pt idx="54">
                  <c:v>80.501374501998754</c:v>
                </c:pt>
                <c:pt idx="55">
                  <c:v>98.954845599999828</c:v>
                </c:pt>
                <c:pt idx="56">
                  <c:v>80.246829246000971</c:v>
                </c:pt>
                <c:pt idx="57">
                  <c:v>70.490488656000196</c:v>
                </c:pt>
                <c:pt idx="58">
                  <c:v>76.580155204000334</c:v>
                </c:pt>
                <c:pt idx="59">
                  <c:v>84.080646497999098</c:v>
                </c:pt>
                <c:pt idx="60">
                  <c:v>94.433545259999349</c:v>
                </c:pt>
                <c:pt idx="61">
                  <c:v>83.330001070001217</c:v>
                </c:pt>
                <c:pt idx="62">
                  <c:v>87.416896355998901</c:v>
                </c:pt>
                <c:pt idx="63">
                  <c:v>84.809404732000431</c:v>
                </c:pt>
                <c:pt idx="64">
                  <c:v>85.798804398000115</c:v>
                </c:pt>
                <c:pt idx="65">
                  <c:v>69.064277566000456</c:v>
                </c:pt>
                <c:pt idx="66">
                  <c:v>83.773244238000345</c:v>
                </c:pt>
                <c:pt idx="67">
                  <c:v>62.496441319999867</c:v>
                </c:pt>
                <c:pt idx="68">
                  <c:v>45.635574867999559</c:v>
                </c:pt>
                <c:pt idx="69">
                  <c:v>73.313492030000404</c:v>
                </c:pt>
                <c:pt idx="70">
                  <c:v>71.796023876000206</c:v>
                </c:pt>
                <c:pt idx="71">
                  <c:v>57.793894144000298</c:v>
                </c:pt>
                <c:pt idx="72">
                  <c:v>67.746303909999796</c:v>
                </c:pt>
                <c:pt idx="73">
                  <c:v>37.334130595998765</c:v>
                </c:pt>
                <c:pt idx="74">
                  <c:v>22.40733153000058</c:v>
                </c:pt>
                <c:pt idx="75">
                  <c:v>6.4566618000008456</c:v>
                </c:pt>
                <c:pt idx="76">
                  <c:v>7.0879540679984059</c:v>
                </c:pt>
                <c:pt idx="77">
                  <c:v>5.5422092060000434</c:v>
                </c:pt>
                <c:pt idx="78">
                  <c:v>6.9238963500000974</c:v>
                </c:pt>
                <c:pt idx="79">
                  <c:v>8.0067131500002144</c:v>
                </c:pt>
                <c:pt idx="80">
                  <c:v>5.3031052739994777</c:v>
                </c:pt>
                <c:pt idx="81">
                  <c:v>4.3046902700016796</c:v>
                </c:pt>
                <c:pt idx="82">
                  <c:v>3.1078996419999458</c:v>
                </c:pt>
                <c:pt idx="83">
                  <c:v>61.243426533999852</c:v>
                </c:pt>
                <c:pt idx="84">
                  <c:v>54.403870888000235</c:v>
                </c:pt>
                <c:pt idx="85">
                  <c:v>48.696425289998736</c:v>
                </c:pt>
                <c:pt idx="86">
                  <c:v>48.202042548000477</c:v>
                </c:pt>
                <c:pt idx="87">
                  <c:v>48.637679313999165</c:v>
                </c:pt>
                <c:pt idx="88">
                  <c:v>41.126988298001699</c:v>
                </c:pt>
                <c:pt idx="89">
                  <c:v>36.661641007999229</c:v>
                </c:pt>
                <c:pt idx="90">
                  <c:v>42.795573232000386</c:v>
                </c:pt>
                <c:pt idx="91">
                  <c:v>34.617167079999312</c:v>
                </c:pt>
                <c:pt idx="92">
                  <c:v>50.117297983210477</c:v>
                </c:pt>
                <c:pt idx="93">
                  <c:v>61.398725113210475</c:v>
                </c:pt>
                <c:pt idx="94">
                  <c:v>72.914481039210472</c:v>
                </c:pt>
                <c:pt idx="95">
                  <c:v>47.732188181210468</c:v>
                </c:pt>
                <c:pt idx="96">
                  <c:v>38.136530667210479</c:v>
                </c:pt>
                <c:pt idx="97">
                  <c:v>54.820534509208606</c:v>
                </c:pt>
                <c:pt idx="98">
                  <c:v>41.030135483212334</c:v>
                </c:pt>
                <c:pt idx="99">
                  <c:v>40.920904410027099</c:v>
                </c:pt>
                <c:pt idx="100">
                  <c:v>35.865252946025237</c:v>
                </c:pt>
                <c:pt idx="101">
                  <c:v>27.261782104027102</c:v>
                </c:pt>
                <c:pt idx="102">
                  <c:v>38.508029088027101</c:v>
                </c:pt>
                <c:pt idx="103">
                  <c:v>28.973105410027099</c:v>
                </c:pt>
                <c:pt idx="104">
                  <c:v>32.684378826027093</c:v>
                </c:pt>
                <c:pt idx="105">
                  <c:v>29.522073512027099</c:v>
                </c:pt>
                <c:pt idx="106">
                  <c:v>26.663366136181466</c:v>
                </c:pt>
                <c:pt idx="107">
                  <c:v>34.920634152181464</c:v>
                </c:pt>
                <c:pt idx="108">
                  <c:v>20.845326648181466</c:v>
                </c:pt>
                <c:pt idx="109">
                  <c:v>22.25592718018147</c:v>
                </c:pt>
                <c:pt idx="110">
                  <c:v>21.562576994183328</c:v>
                </c:pt>
                <c:pt idx="111">
                  <c:v>52.049536474181473</c:v>
                </c:pt>
                <c:pt idx="112">
                  <c:v>49.615551990181473</c:v>
                </c:pt>
                <c:pt idx="113">
                  <c:v>47.516879093241599</c:v>
                </c:pt>
                <c:pt idx="114">
                  <c:v>48.318055417243464</c:v>
                </c:pt>
                <c:pt idx="115">
                  <c:v>30.095850563243467</c:v>
                </c:pt>
                <c:pt idx="116">
                  <c:v>11.079852043241605</c:v>
                </c:pt>
                <c:pt idx="117">
                  <c:v>13.51483384924347</c:v>
                </c:pt>
                <c:pt idx="118">
                  <c:v>46.487615559243466</c:v>
                </c:pt>
                <c:pt idx="119">
                  <c:v>40.74981700924161</c:v>
                </c:pt>
                <c:pt idx="120">
                  <c:v>34.859788490035747</c:v>
                </c:pt>
                <c:pt idx="121">
                  <c:v>43.858392152035741</c:v>
                </c:pt>
                <c:pt idx="122">
                  <c:v>28.651377582033877</c:v>
                </c:pt>
                <c:pt idx="123">
                  <c:v>16.292057982035747</c:v>
                </c:pt>
                <c:pt idx="124">
                  <c:v>28.81470031603574</c:v>
                </c:pt>
                <c:pt idx="125">
                  <c:v>39.482491496035742</c:v>
                </c:pt>
                <c:pt idx="126">
                  <c:v>33.947607858035745</c:v>
                </c:pt>
                <c:pt idx="127">
                  <c:v>37.366073555248455</c:v>
                </c:pt>
                <c:pt idx="128">
                  <c:v>26.666166277248458</c:v>
                </c:pt>
                <c:pt idx="129">
                  <c:v>24.865338769250318</c:v>
                </c:pt>
                <c:pt idx="130">
                  <c:v>29.209192431248454</c:v>
                </c:pt>
                <c:pt idx="131">
                  <c:v>19.454866435248455</c:v>
                </c:pt>
                <c:pt idx="132">
                  <c:v>34.97460958325032</c:v>
                </c:pt>
                <c:pt idx="133">
                  <c:v>52.271077133248461</c:v>
                </c:pt>
                <c:pt idx="134">
                  <c:v>55.014708317802551</c:v>
                </c:pt>
                <c:pt idx="135">
                  <c:v>51.861687353802552</c:v>
                </c:pt>
                <c:pt idx="136">
                  <c:v>36.703183287802545</c:v>
                </c:pt>
                <c:pt idx="137">
                  <c:v>15.31814298380255</c:v>
                </c:pt>
                <c:pt idx="138">
                  <c:v>8.5638278258025533</c:v>
                </c:pt>
                <c:pt idx="139">
                  <c:v>14.358251075802553</c:v>
                </c:pt>
                <c:pt idx="140">
                  <c:v>28.288171725802545</c:v>
                </c:pt>
                <c:pt idx="141">
                  <c:v>52.468209541696432</c:v>
                </c:pt>
                <c:pt idx="142">
                  <c:v>48.68029413969829</c:v>
                </c:pt>
                <c:pt idx="143">
                  <c:v>41.433091311696437</c:v>
                </c:pt>
                <c:pt idx="144">
                  <c:v>15.696338941696435</c:v>
                </c:pt>
                <c:pt idx="145">
                  <c:v>5.7461719036982979</c:v>
                </c:pt>
                <c:pt idx="146">
                  <c:v>18.109064911696436</c:v>
                </c:pt>
                <c:pt idx="147">
                  <c:v>18.974976891696439</c:v>
                </c:pt>
                <c:pt idx="148">
                  <c:v>10.52124702121337</c:v>
                </c:pt>
                <c:pt idx="149">
                  <c:v>10.045401815213365</c:v>
                </c:pt>
                <c:pt idx="150">
                  <c:v>10.143655751212435</c:v>
                </c:pt>
                <c:pt idx="151">
                  <c:v>8.887261627213368</c:v>
                </c:pt>
                <c:pt idx="152">
                  <c:v>8.1643874632124351</c:v>
                </c:pt>
                <c:pt idx="153">
                  <c:v>7.4252774952133693</c:v>
                </c:pt>
                <c:pt idx="154">
                  <c:v>4.6113332072124393</c:v>
                </c:pt>
                <c:pt idx="155">
                  <c:v>2.4112627607003305</c:v>
                </c:pt>
                <c:pt idx="156">
                  <c:v>7.0308852647012605</c:v>
                </c:pt>
                <c:pt idx="157">
                  <c:v>5.9319190727003299</c:v>
                </c:pt>
                <c:pt idx="158">
                  <c:v>3.946247852700326</c:v>
                </c:pt>
                <c:pt idx="159">
                  <c:v>1.9682216107003296</c:v>
                </c:pt>
                <c:pt idx="160">
                  <c:v>2.5057455447012615</c:v>
                </c:pt>
                <c:pt idx="161">
                  <c:v>4.9099687527003262</c:v>
                </c:pt>
                <c:pt idx="162">
                  <c:v>29.922283912888815</c:v>
                </c:pt>
                <c:pt idx="163">
                  <c:v>25.401274768888818</c:v>
                </c:pt>
                <c:pt idx="164">
                  <c:v>26.291245220888815</c:v>
                </c:pt>
                <c:pt idx="165">
                  <c:v>14.202770838888817</c:v>
                </c:pt>
                <c:pt idx="166">
                  <c:v>17.409148476889747</c:v>
                </c:pt>
                <c:pt idx="167">
                  <c:v>36.150228392888813</c:v>
                </c:pt>
                <c:pt idx="168">
                  <c:v>65.735409520888822</c:v>
                </c:pt>
                <c:pt idx="169">
                  <c:v>73.439336114986489</c:v>
                </c:pt>
                <c:pt idx="170">
                  <c:v>45.994974128986492</c:v>
                </c:pt>
                <c:pt idx="171">
                  <c:v>49.237889926986483</c:v>
                </c:pt>
                <c:pt idx="172">
                  <c:v>45.339922974987424</c:v>
                </c:pt>
                <c:pt idx="173">
                  <c:v>45.968826122986485</c:v>
                </c:pt>
                <c:pt idx="174">
                  <c:v>44.118682864986489</c:v>
                </c:pt>
                <c:pt idx="175">
                  <c:v>42.551666610986487</c:v>
                </c:pt>
                <c:pt idx="176">
                  <c:v>32.040779314450049</c:v>
                </c:pt>
                <c:pt idx="177">
                  <c:v>46.540701682450049</c:v>
                </c:pt>
                <c:pt idx="178">
                  <c:v>49.272894104450053</c:v>
                </c:pt>
                <c:pt idx="179">
                  <c:v>19.379339686450045</c:v>
                </c:pt>
                <c:pt idx="180">
                  <c:v>11.525720718450048</c:v>
                </c:pt>
                <c:pt idx="181">
                  <c:v>16.507644544450049</c:v>
                </c:pt>
                <c:pt idx="182">
                  <c:v>45.906121108450051</c:v>
                </c:pt>
                <c:pt idx="183">
                  <c:v>75.911397372363609</c:v>
                </c:pt>
                <c:pt idx="184">
                  <c:v>43.424325616363625</c:v>
                </c:pt>
                <c:pt idx="185">
                  <c:v>47.082433798362693</c:v>
                </c:pt>
                <c:pt idx="186">
                  <c:v>47.249854606363627</c:v>
                </c:pt>
                <c:pt idx="187">
                  <c:v>43.322870924363627</c:v>
                </c:pt>
                <c:pt idx="188">
                  <c:v>57.86399866236269</c:v>
                </c:pt>
                <c:pt idx="189">
                  <c:v>48.883623674363626</c:v>
                </c:pt>
                <c:pt idx="190">
                  <c:v>86.697215459148893</c:v>
                </c:pt>
                <c:pt idx="191">
                  <c:v>90.698029073148874</c:v>
                </c:pt>
                <c:pt idx="192">
                  <c:v>92.800830639148884</c:v>
                </c:pt>
                <c:pt idx="193">
                  <c:v>94.999431411147953</c:v>
                </c:pt>
                <c:pt idx="194">
                  <c:v>98.088628529148892</c:v>
                </c:pt>
                <c:pt idx="195">
                  <c:v>121.64598552914887</c:v>
                </c:pt>
                <c:pt idx="196">
                  <c:v>115.91468230914887</c:v>
                </c:pt>
                <c:pt idx="197">
                  <c:v>92.822247129739196</c:v>
                </c:pt>
                <c:pt idx="198">
                  <c:v>99.529775713739184</c:v>
                </c:pt>
                <c:pt idx="199">
                  <c:v>100.60126806573825</c:v>
                </c:pt>
                <c:pt idx="200">
                  <c:v>76.288862461739186</c:v>
                </c:pt>
                <c:pt idx="201">
                  <c:v>72.252963381739193</c:v>
                </c:pt>
                <c:pt idx="202">
                  <c:v>107.83111573573917</c:v>
                </c:pt>
                <c:pt idx="203">
                  <c:v>95.253191345739182</c:v>
                </c:pt>
                <c:pt idx="204">
                  <c:v>84.215728363572993</c:v>
                </c:pt>
                <c:pt idx="205">
                  <c:v>100.02718760957394</c:v>
                </c:pt>
                <c:pt idx="206">
                  <c:v>93.96939724957393</c:v>
                </c:pt>
                <c:pt idx="207">
                  <c:v>71.461598399573006</c:v>
                </c:pt>
                <c:pt idx="208">
                  <c:v>73.549878463573933</c:v>
                </c:pt>
                <c:pt idx="209">
                  <c:v>89.025708399573006</c:v>
                </c:pt>
                <c:pt idx="210">
                  <c:v>91.790635073573938</c:v>
                </c:pt>
                <c:pt idx="211">
                  <c:v>100.62520183628585</c:v>
                </c:pt>
                <c:pt idx="212">
                  <c:v>105.98470700028585</c:v>
                </c:pt>
                <c:pt idx="213">
                  <c:v>97.383650356285855</c:v>
                </c:pt>
                <c:pt idx="214">
                  <c:v>90.394212360286787</c:v>
                </c:pt>
                <c:pt idx="215">
                  <c:v>84.866914290285848</c:v>
                </c:pt>
                <c:pt idx="216">
                  <c:v>108.37415833628584</c:v>
                </c:pt>
                <c:pt idx="217">
                  <c:v>126.38090736228585</c:v>
                </c:pt>
                <c:pt idx="218">
                  <c:v>87.515008344428594</c:v>
                </c:pt>
                <c:pt idx="219">
                  <c:v>77.782506294428586</c:v>
                </c:pt>
                <c:pt idx="220">
                  <c:v>62.18230000042859</c:v>
                </c:pt>
                <c:pt idx="221">
                  <c:v>55.709332724428592</c:v>
                </c:pt>
                <c:pt idx="222">
                  <c:v>55.556556698428594</c:v>
                </c:pt>
                <c:pt idx="223">
                  <c:v>67.053807550428601</c:v>
                </c:pt>
                <c:pt idx="224">
                  <c:v>96.102252704428594</c:v>
                </c:pt>
                <c:pt idx="225">
                  <c:v>108.87868366227644</c:v>
                </c:pt>
                <c:pt idx="226">
                  <c:v>84.353938072275511</c:v>
                </c:pt>
                <c:pt idx="227">
                  <c:v>86.425479054275513</c:v>
                </c:pt>
                <c:pt idx="228">
                  <c:v>74.544494642275509</c:v>
                </c:pt>
                <c:pt idx="229">
                  <c:v>69.967279598275525</c:v>
                </c:pt>
                <c:pt idx="230">
                  <c:v>111.34327048227644</c:v>
                </c:pt>
                <c:pt idx="231">
                  <c:v>93.932545482275515</c:v>
                </c:pt>
                <c:pt idx="232">
                  <c:v>100.38242194998713</c:v>
                </c:pt>
                <c:pt idx="233">
                  <c:v>105.40698662998713</c:v>
                </c:pt>
                <c:pt idx="234">
                  <c:v>94.165243369987138</c:v>
                </c:pt>
                <c:pt idx="235">
                  <c:v>95.940931389987128</c:v>
                </c:pt>
                <c:pt idx="236">
                  <c:v>90.126315709987125</c:v>
                </c:pt>
                <c:pt idx="237">
                  <c:v>92.583022409987137</c:v>
                </c:pt>
                <c:pt idx="238">
                  <c:v>78.185484777987128</c:v>
                </c:pt>
                <c:pt idx="239">
                  <c:v>80.373116800517693</c:v>
                </c:pt>
                <c:pt idx="240">
                  <c:v>100.59527395651676</c:v>
                </c:pt>
                <c:pt idx="241">
                  <c:v>78.486777536517678</c:v>
                </c:pt>
                <c:pt idx="242">
                  <c:v>61.710580186517689</c:v>
                </c:pt>
                <c:pt idx="243">
                  <c:v>62.105505364517683</c:v>
                </c:pt>
                <c:pt idx="244">
                  <c:v>67.689349472517691</c:v>
                </c:pt>
                <c:pt idx="245">
                  <c:v>48.113297146517681</c:v>
                </c:pt>
                <c:pt idx="246">
                  <c:v>42.619816521668227</c:v>
                </c:pt>
                <c:pt idx="247">
                  <c:v>64.313447971668225</c:v>
                </c:pt>
                <c:pt idx="248">
                  <c:v>75.624265243669157</c:v>
                </c:pt>
                <c:pt idx="249">
                  <c:v>40.138169683668224</c:v>
                </c:pt>
                <c:pt idx="250">
                  <c:v>23.395089041669156</c:v>
                </c:pt>
                <c:pt idx="251">
                  <c:v>48.039766631668229</c:v>
                </c:pt>
                <c:pt idx="252">
                  <c:v>49.373965037669159</c:v>
                </c:pt>
                <c:pt idx="253">
                  <c:v>33.704585509775029</c:v>
                </c:pt>
                <c:pt idx="254">
                  <c:v>47.277197803775032</c:v>
                </c:pt>
                <c:pt idx="255">
                  <c:v>49.300718171775031</c:v>
                </c:pt>
                <c:pt idx="256">
                  <c:v>21.41234182177503</c:v>
                </c:pt>
                <c:pt idx="257">
                  <c:v>27.367468911775031</c:v>
                </c:pt>
                <c:pt idx="258">
                  <c:v>38.59618624177503</c:v>
                </c:pt>
                <c:pt idx="259">
                  <c:v>66.260391331775963</c:v>
                </c:pt>
                <c:pt idx="260">
                  <c:v>57.04045158485799</c:v>
                </c:pt>
                <c:pt idx="261">
                  <c:v>47.077626530858922</c:v>
                </c:pt>
                <c:pt idx="262">
                  <c:v>75.719266858857978</c:v>
                </c:pt>
                <c:pt idx="263">
                  <c:v>43.363908048857994</c:v>
                </c:pt>
                <c:pt idx="264">
                  <c:v>21.83003846885892</c:v>
                </c:pt>
                <c:pt idx="265">
                  <c:v>65.392766698857983</c:v>
                </c:pt>
                <c:pt idx="266">
                  <c:v>50.397212048858911</c:v>
                </c:pt>
                <c:pt idx="267">
                  <c:v>86.926067344620051</c:v>
                </c:pt>
                <c:pt idx="268">
                  <c:v>94.078569926620986</c:v>
                </c:pt>
                <c:pt idx="269">
                  <c:v>99.235658760620055</c:v>
                </c:pt>
                <c:pt idx="270">
                  <c:v>91.517316510620049</c:v>
                </c:pt>
                <c:pt idx="271">
                  <c:v>77.204728650620993</c:v>
                </c:pt>
                <c:pt idx="272">
                  <c:v>98.923464460620039</c:v>
                </c:pt>
                <c:pt idx="273">
                  <c:v>101.44524273062005</c:v>
                </c:pt>
                <c:pt idx="274">
                  <c:v>167.32214358214841</c:v>
                </c:pt>
                <c:pt idx="275">
                  <c:v>172.56405617015773</c:v>
                </c:pt>
                <c:pt idx="276">
                  <c:v>185.55380824014654</c:v>
                </c:pt>
                <c:pt idx="277">
                  <c:v>185.54341329814844</c:v>
                </c:pt>
                <c:pt idx="278">
                  <c:v>184.93688635014843</c:v>
                </c:pt>
                <c:pt idx="279">
                  <c:v>193.98394959414841</c:v>
                </c:pt>
                <c:pt idx="280">
                  <c:v>194.63379708214842</c:v>
                </c:pt>
                <c:pt idx="281">
                  <c:v>141.24407143784808</c:v>
                </c:pt>
                <c:pt idx="282">
                  <c:v>141.98757405784806</c:v>
                </c:pt>
                <c:pt idx="283">
                  <c:v>133.18402521984808</c:v>
                </c:pt>
                <c:pt idx="284">
                  <c:v>125.94839746984809</c:v>
                </c:pt>
                <c:pt idx="285">
                  <c:v>114.23968854384995</c:v>
                </c:pt>
                <c:pt idx="286">
                  <c:v>123.23415218384808</c:v>
                </c:pt>
                <c:pt idx="287">
                  <c:v>139.96216425384807</c:v>
                </c:pt>
                <c:pt idx="288">
                  <c:v>120.50735569644542</c:v>
                </c:pt>
                <c:pt idx="289">
                  <c:v>103.61933332644728</c:v>
                </c:pt>
                <c:pt idx="290">
                  <c:v>107.91993847844542</c:v>
                </c:pt>
                <c:pt idx="291">
                  <c:v>94.657826232447277</c:v>
                </c:pt>
                <c:pt idx="292">
                  <c:v>84.414197128447285</c:v>
                </c:pt>
                <c:pt idx="293">
                  <c:v>109.91337516244728</c:v>
                </c:pt>
                <c:pt idx="294">
                  <c:v>119.44001481844542</c:v>
                </c:pt>
                <c:pt idx="295">
                  <c:v>87.654566587945766</c:v>
                </c:pt>
                <c:pt idx="296">
                  <c:v>79.100640777947632</c:v>
                </c:pt>
                <c:pt idx="297">
                  <c:v>75.29656747794948</c:v>
                </c:pt>
                <c:pt idx="298">
                  <c:v>64.67373701394763</c:v>
                </c:pt>
                <c:pt idx="299">
                  <c:v>66.547907371945769</c:v>
                </c:pt>
                <c:pt idx="300">
                  <c:v>91.929126957949492</c:v>
                </c:pt>
                <c:pt idx="301">
                  <c:v>75.529221327947624</c:v>
                </c:pt>
                <c:pt idx="302">
                  <c:v>69.289263910232478</c:v>
                </c:pt>
                <c:pt idx="303">
                  <c:v>63.050286326230605</c:v>
                </c:pt>
                <c:pt idx="304">
                  <c:v>70.277278594230609</c:v>
                </c:pt>
                <c:pt idx="305">
                  <c:v>55.063279526230609</c:v>
                </c:pt>
                <c:pt idx="306">
                  <c:v>40.958432326230607</c:v>
                </c:pt>
                <c:pt idx="307">
                  <c:v>48.805438076230608</c:v>
                </c:pt>
                <c:pt idx="308">
                  <c:v>50.547411536228744</c:v>
                </c:pt>
                <c:pt idx="309">
                  <c:v>97.01271852355444</c:v>
                </c:pt>
                <c:pt idx="310">
                  <c:v>113.77196696755446</c:v>
                </c:pt>
                <c:pt idx="311">
                  <c:v>134.49824530355446</c:v>
                </c:pt>
                <c:pt idx="312">
                  <c:v>133.48379254355444</c:v>
                </c:pt>
                <c:pt idx="313">
                  <c:v>106.05562519355446</c:v>
                </c:pt>
                <c:pt idx="314">
                  <c:v>131.23816403755447</c:v>
                </c:pt>
                <c:pt idx="315">
                  <c:v>122.21529737355259</c:v>
                </c:pt>
                <c:pt idx="316">
                  <c:v>66.401825921277947</c:v>
                </c:pt>
                <c:pt idx="317">
                  <c:v>83.578813791277952</c:v>
                </c:pt>
                <c:pt idx="318">
                  <c:v>97.28867130127982</c:v>
                </c:pt>
                <c:pt idx="319">
                  <c:v>74.691771641277953</c:v>
                </c:pt>
                <c:pt idx="320">
                  <c:v>41.066370621277947</c:v>
                </c:pt>
                <c:pt idx="321">
                  <c:v>61.15964948127796</c:v>
                </c:pt>
                <c:pt idx="322">
                  <c:v>61.975206013277955</c:v>
                </c:pt>
                <c:pt idx="323">
                  <c:v>59.04501076469046</c:v>
                </c:pt>
                <c:pt idx="324">
                  <c:v>74.889885428690448</c:v>
                </c:pt>
                <c:pt idx="325">
                  <c:v>98.914973132690463</c:v>
                </c:pt>
                <c:pt idx="326">
                  <c:v>68.305593472692308</c:v>
                </c:pt>
                <c:pt idx="327">
                  <c:v>41.294560642690456</c:v>
                </c:pt>
                <c:pt idx="328">
                  <c:v>42.070215022690455</c:v>
                </c:pt>
                <c:pt idx="329">
                  <c:v>37.89081406269046</c:v>
                </c:pt>
                <c:pt idx="330">
                  <c:v>39.164603627379492</c:v>
                </c:pt>
                <c:pt idx="331">
                  <c:v>50.549527553381346</c:v>
                </c:pt>
                <c:pt idx="332">
                  <c:v>62.508611467379481</c:v>
                </c:pt>
                <c:pt idx="333">
                  <c:v>40.584141867379493</c:v>
                </c:pt>
                <c:pt idx="334">
                  <c:v>51.808680707385072</c:v>
                </c:pt>
                <c:pt idx="335">
                  <c:v>76.65771883938136</c:v>
                </c:pt>
                <c:pt idx="336">
                  <c:v>73.103140955377611</c:v>
                </c:pt>
                <c:pt idx="337">
                  <c:v>45.01858317977959</c:v>
                </c:pt>
                <c:pt idx="338">
                  <c:v>42.325144523779592</c:v>
                </c:pt>
                <c:pt idx="339">
                  <c:v>53.114143071777725</c:v>
                </c:pt>
                <c:pt idx="340">
                  <c:v>35.382675467779592</c:v>
                </c:pt>
                <c:pt idx="341">
                  <c:v>30.349885119777724</c:v>
                </c:pt>
                <c:pt idx="342">
                  <c:v>38.869087747777733</c:v>
                </c:pt>
                <c:pt idx="343">
                  <c:v>35.440293803779589</c:v>
                </c:pt>
                <c:pt idx="344">
                  <c:v>73.569345241523081</c:v>
                </c:pt>
                <c:pt idx="345">
                  <c:v>81.876537213523108</c:v>
                </c:pt>
                <c:pt idx="346">
                  <c:v>81.248949489523099</c:v>
                </c:pt>
                <c:pt idx="347">
                  <c:v>71.754454277523095</c:v>
                </c:pt>
                <c:pt idx="348">
                  <c:v>65.207499237523095</c:v>
                </c:pt>
                <c:pt idx="349">
                  <c:v>75.083972453521227</c:v>
                </c:pt>
                <c:pt idx="350">
                  <c:v>82.7277009815231</c:v>
                </c:pt>
                <c:pt idx="351">
                  <c:v>99.887771316209069</c:v>
                </c:pt>
                <c:pt idx="352">
                  <c:v>97.503805000207208</c:v>
                </c:pt>
                <c:pt idx="353">
                  <c:v>76.237347956209064</c:v>
                </c:pt>
                <c:pt idx="354">
                  <c:v>73.371422276207213</c:v>
                </c:pt>
                <c:pt idx="355">
                  <c:v>82.086943796209056</c:v>
                </c:pt>
                <c:pt idx="356">
                  <c:v>83.039042272209073</c:v>
                </c:pt>
                <c:pt idx="357">
                  <c:v>84.907127912207216</c:v>
                </c:pt>
                <c:pt idx="358">
                  <c:v>120.09120279154841</c:v>
                </c:pt>
                <c:pt idx="359">
                  <c:v>122.04502637154656</c:v>
                </c:pt>
                <c:pt idx="360">
                  <c:v>133.58304685954656</c:v>
                </c:pt>
                <c:pt idx="361">
                  <c:v>132.51193723154842</c:v>
                </c:pt>
                <c:pt idx="362">
                  <c:v>124.74557389154842</c:v>
                </c:pt>
                <c:pt idx="363">
                  <c:v>140.23924516354651</c:v>
                </c:pt>
                <c:pt idx="364">
                  <c:v>139.9016715475484</c:v>
                </c:pt>
                <c:pt idx="365">
                  <c:v>105.71601703098868</c:v>
                </c:pt>
                <c:pt idx="366">
                  <c:v>100.06853757899054</c:v>
                </c:pt>
                <c:pt idx="367">
                  <c:v>102.81004228298868</c:v>
                </c:pt>
                <c:pt idx="368">
                  <c:v>101.23971845099054</c:v>
                </c:pt>
                <c:pt idx="369">
                  <c:v>93.939445794990547</c:v>
                </c:pt>
                <c:pt idx="370">
                  <c:v>113.58412743498869</c:v>
                </c:pt>
                <c:pt idx="371">
                  <c:v>103.93047935099054</c:v>
                </c:pt>
                <c:pt idx="372">
                  <c:v>66.189202729308803</c:v>
                </c:pt>
                <c:pt idx="373">
                  <c:v>74.412695409306934</c:v>
                </c:pt>
                <c:pt idx="374">
                  <c:v>83.627382461306937</c:v>
                </c:pt>
                <c:pt idx="375">
                  <c:v>75.943218089306924</c:v>
                </c:pt>
                <c:pt idx="376">
                  <c:v>66.288154533306923</c:v>
                </c:pt>
                <c:pt idx="377">
                  <c:v>71.954015609306921</c:v>
                </c:pt>
                <c:pt idx="378">
                  <c:v>75.274204213308792</c:v>
                </c:pt>
                <c:pt idx="379">
                  <c:v>74.34173817415514</c:v>
                </c:pt>
                <c:pt idx="380">
                  <c:v>67.959188766156998</c:v>
                </c:pt>
                <c:pt idx="381">
                  <c:v>65.692982786156989</c:v>
                </c:pt>
                <c:pt idx="382">
                  <c:v>64.505841354155137</c:v>
                </c:pt>
                <c:pt idx="383">
                  <c:v>60.628721762158854</c:v>
                </c:pt>
                <c:pt idx="384">
                  <c:v>72.604453906155129</c:v>
                </c:pt>
                <c:pt idx="385">
                  <c:v>76.283293826155131</c:v>
                </c:pt>
                <c:pt idx="386">
                  <c:v>65.635779093736303</c:v>
                </c:pt>
                <c:pt idx="387">
                  <c:v>60.05188925373443</c:v>
                </c:pt>
                <c:pt idx="388">
                  <c:v>59.146729805736292</c:v>
                </c:pt>
                <c:pt idx="389">
                  <c:v>57.372487131732569</c:v>
                </c:pt>
                <c:pt idx="390">
                  <c:v>54.61047347173816</c:v>
                </c:pt>
                <c:pt idx="391">
                  <c:v>58.416215127732571</c:v>
                </c:pt>
                <c:pt idx="392">
                  <c:v>53.367108333734429</c:v>
                </c:pt>
                <c:pt idx="393">
                  <c:v>46.932252174643338</c:v>
                </c:pt>
                <c:pt idx="394">
                  <c:v>47.351127922641481</c:v>
                </c:pt>
                <c:pt idx="395">
                  <c:v>54.088175124643342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95-4141-A914-5A20A00A4C60}"/>
            </c:ext>
          </c:extLst>
        </c:ser>
        <c:ser>
          <c:idx val="0"/>
          <c:order val="1"/>
          <c:tx>
            <c:strRef>
              <c:f>Dat_02!$D$1</c:f>
              <c:strCache>
                <c:ptCount val="1"/>
                <c:pt idx="0">
                  <c:v>Producible medio</c:v>
                </c:pt>
              </c:strCache>
            </c:strRef>
          </c:tx>
          <c:spPr>
            <a:solidFill>
              <a:srgbClr val="FFFF99"/>
            </a:solidFill>
            <a:ln w="19050">
              <a:solidFill>
                <a:srgbClr val="FF0000"/>
              </a:solidFill>
            </a:ln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Dat_02!$D$3:$D$398</c:f>
              <c:numCache>
                <c:formatCode>#,##0.0</c:formatCode>
                <c:ptCount val="396"/>
                <c:pt idx="0">
                  <c:v>106.79032108965163</c:v>
                </c:pt>
                <c:pt idx="1">
                  <c:v>106.79032108965163</c:v>
                </c:pt>
                <c:pt idx="2">
                  <c:v>106.79032108965163</c:v>
                </c:pt>
                <c:pt idx="3">
                  <c:v>106.79032108965163</c:v>
                </c:pt>
                <c:pt idx="4">
                  <c:v>106.79032108965163</c:v>
                </c:pt>
                <c:pt idx="5">
                  <c:v>106.79032108965163</c:v>
                </c:pt>
                <c:pt idx="6">
                  <c:v>106.79032108965163</c:v>
                </c:pt>
                <c:pt idx="7">
                  <c:v>106.79032108965163</c:v>
                </c:pt>
                <c:pt idx="8">
                  <c:v>106.79032108965163</c:v>
                </c:pt>
                <c:pt idx="9">
                  <c:v>106.79032108965163</c:v>
                </c:pt>
                <c:pt idx="10">
                  <c:v>106.79032108965163</c:v>
                </c:pt>
                <c:pt idx="11">
                  <c:v>106.79032108965163</c:v>
                </c:pt>
                <c:pt idx="12">
                  <c:v>106.79032108965163</c:v>
                </c:pt>
                <c:pt idx="13">
                  <c:v>106.79032108965163</c:v>
                </c:pt>
                <c:pt idx="14">
                  <c:v>106.79032108965163</c:v>
                </c:pt>
                <c:pt idx="15">
                  <c:v>106.79032108965163</c:v>
                </c:pt>
                <c:pt idx="16">
                  <c:v>106.79032108965163</c:v>
                </c:pt>
                <c:pt idx="17">
                  <c:v>106.79032108965163</c:v>
                </c:pt>
                <c:pt idx="18">
                  <c:v>106.79032108965163</c:v>
                </c:pt>
                <c:pt idx="19">
                  <c:v>106.79032108965163</c:v>
                </c:pt>
                <c:pt idx="20">
                  <c:v>106.79032108965163</c:v>
                </c:pt>
                <c:pt idx="21">
                  <c:v>106.79032108965163</c:v>
                </c:pt>
                <c:pt idx="22">
                  <c:v>106.79032108965163</c:v>
                </c:pt>
                <c:pt idx="23">
                  <c:v>106.79032108965163</c:v>
                </c:pt>
                <c:pt idx="24">
                  <c:v>106.79032108965163</c:v>
                </c:pt>
                <c:pt idx="25">
                  <c:v>106.79032108965163</c:v>
                </c:pt>
                <c:pt idx="26">
                  <c:v>106.79032108965163</c:v>
                </c:pt>
                <c:pt idx="27">
                  <c:v>106.79032108965163</c:v>
                </c:pt>
                <c:pt idx="28">
                  <c:v>106.79032108965163</c:v>
                </c:pt>
                <c:pt idx="29">
                  <c:v>106.79032108965163</c:v>
                </c:pt>
                <c:pt idx="30">
                  <c:v>106.79032108965163</c:v>
                </c:pt>
                <c:pt idx="31">
                  <c:v>64.364342968573325</c:v>
                </c:pt>
                <c:pt idx="32">
                  <c:v>64.364342968573325</c:v>
                </c:pt>
                <c:pt idx="33">
                  <c:v>64.364342968573325</c:v>
                </c:pt>
                <c:pt idx="34">
                  <c:v>64.364342968573325</c:v>
                </c:pt>
                <c:pt idx="35">
                  <c:v>64.364342968573325</c:v>
                </c:pt>
                <c:pt idx="36">
                  <c:v>64.364342968573325</c:v>
                </c:pt>
                <c:pt idx="37">
                  <c:v>64.364342968573325</c:v>
                </c:pt>
                <c:pt idx="38">
                  <c:v>64.364342968573325</c:v>
                </c:pt>
                <c:pt idx="39">
                  <c:v>64.364342968573325</c:v>
                </c:pt>
                <c:pt idx="40">
                  <c:v>64.364342968573325</c:v>
                </c:pt>
                <c:pt idx="41">
                  <c:v>64.364342968573325</c:v>
                </c:pt>
                <c:pt idx="42">
                  <c:v>64.364342968573325</c:v>
                </c:pt>
                <c:pt idx="43">
                  <c:v>64.364342968573325</c:v>
                </c:pt>
                <c:pt idx="44">
                  <c:v>64.364342968573325</c:v>
                </c:pt>
                <c:pt idx="45">
                  <c:v>64.364342968573325</c:v>
                </c:pt>
                <c:pt idx="46">
                  <c:v>64.364342968573325</c:v>
                </c:pt>
                <c:pt idx="47">
                  <c:v>64.364342968573325</c:v>
                </c:pt>
                <c:pt idx="48">
                  <c:v>64.364342968573325</c:v>
                </c:pt>
                <c:pt idx="49">
                  <c:v>64.364342968573325</c:v>
                </c:pt>
                <c:pt idx="50">
                  <c:v>64.364342968573325</c:v>
                </c:pt>
                <c:pt idx="51">
                  <c:v>64.364342968573325</c:v>
                </c:pt>
                <c:pt idx="52">
                  <c:v>64.364342968573325</c:v>
                </c:pt>
                <c:pt idx="53">
                  <c:v>64.364342968573325</c:v>
                </c:pt>
                <c:pt idx="54">
                  <c:v>64.364342968573325</c:v>
                </c:pt>
                <c:pt idx="55">
                  <c:v>64.364342968573325</c:v>
                </c:pt>
                <c:pt idx="56">
                  <c:v>64.364342968573325</c:v>
                </c:pt>
                <c:pt idx="57">
                  <c:v>64.364342968573325</c:v>
                </c:pt>
                <c:pt idx="58">
                  <c:v>64.364342968573325</c:v>
                </c:pt>
                <c:pt idx="59">
                  <c:v>64.364342968573325</c:v>
                </c:pt>
                <c:pt idx="60">
                  <c:v>64.364342968573325</c:v>
                </c:pt>
                <c:pt idx="61">
                  <c:v>28.016997662909688</c:v>
                </c:pt>
                <c:pt idx="62">
                  <c:v>28.016997662909688</c:v>
                </c:pt>
                <c:pt idx="63">
                  <c:v>28.016997662909688</c:v>
                </c:pt>
                <c:pt idx="64">
                  <c:v>28.016997662909688</c:v>
                </c:pt>
                <c:pt idx="65">
                  <c:v>28.016997662909688</c:v>
                </c:pt>
                <c:pt idx="66">
                  <c:v>28.016997662909688</c:v>
                </c:pt>
                <c:pt idx="67">
                  <c:v>28.016997662909688</c:v>
                </c:pt>
                <c:pt idx="68">
                  <c:v>28.016997662909688</c:v>
                </c:pt>
                <c:pt idx="69">
                  <c:v>28.016997662909688</c:v>
                </c:pt>
                <c:pt idx="70">
                  <c:v>28.016997662909688</c:v>
                </c:pt>
                <c:pt idx="71">
                  <c:v>28.016997662909688</c:v>
                </c:pt>
                <c:pt idx="72">
                  <c:v>28.016997662909688</c:v>
                </c:pt>
                <c:pt idx="73">
                  <c:v>28.016997662909688</c:v>
                </c:pt>
                <c:pt idx="74">
                  <c:v>28.016997662909688</c:v>
                </c:pt>
                <c:pt idx="75">
                  <c:v>28.016997662909688</c:v>
                </c:pt>
                <c:pt idx="76">
                  <c:v>28.016997662909688</c:v>
                </c:pt>
                <c:pt idx="77">
                  <c:v>28.016997662909688</c:v>
                </c:pt>
                <c:pt idx="78">
                  <c:v>28.016997662909688</c:v>
                </c:pt>
                <c:pt idx="79">
                  <c:v>28.016997662909688</c:v>
                </c:pt>
                <c:pt idx="80">
                  <c:v>28.016997662909688</c:v>
                </c:pt>
                <c:pt idx="81">
                  <c:v>28.016997662909688</c:v>
                </c:pt>
                <c:pt idx="82">
                  <c:v>28.016997662909688</c:v>
                </c:pt>
                <c:pt idx="83">
                  <c:v>28.016997662909688</c:v>
                </c:pt>
                <c:pt idx="84">
                  <c:v>28.016997662909688</c:v>
                </c:pt>
                <c:pt idx="85">
                  <c:v>28.016997662909688</c:v>
                </c:pt>
                <c:pt idx="86">
                  <c:v>28.016997662909688</c:v>
                </c:pt>
                <c:pt idx="87">
                  <c:v>28.016997662909688</c:v>
                </c:pt>
                <c:pt idx="88">
                  <c:v>28.016997662909688</c:v>
                </c:pt>
                <c:pt idx="89">
                  <c:v>28.016997662909688</c:v>
                </c:pt>
                <c:pt idx="90">
                  <c:v>28.016997662909688</c:v>
                </c:pt>
                <c:pt idx="91">
                  <c:v>28.016997662909688</c:v>
                </c:pt>
                <c:pt idx="92">
                  <c:v>16.99706947525484</c:v>
                </c:pt>
                <c:pt idx="93">
                  <c:v>16.99706947525484</c:v>
                </c:pt>
                <c:pt idx="94">
                  <c:v>16.99706947525484</c:v>
                </c:pt>
                <c:pt idx="95">
                  <c:v>16.99706947525484</c:v>
                </c:pt>
                <c:pt idx="96">
                  <c:v>16.99706947525484</c:v>
                </c:pt>
                <c:pt idx="97">
                  <c:v>16.99706947525484</c:v>
                </c:pt>
                <c:pt idx="98">
                  <c:v>16.99706947525484</c:v>
                </c:pt>
                <c:pt idx="99">
                  <c:v>16.99706947525484</c:v>
                </c:pt>
                <c:pt idx="100">
                  <c:v>16.99706947525484</c:v>
                </c:pt>
                <c:pt idx="101">
                  <c:v>16.99706947525484</c:v>
                </c:pt>
                <c:pt idx="102">
                  <c:v>16.99706947525484</c:v>
                </c:pt>
                <c:pt idx="103">
                  <c:v>16.99706947525484</c:v>
                </c:pt>
                <c:pt idx="104">
                  <c:v>16.99706947525484</c:v>
                </c:pt>
                <c:pt idx="105">
                  <c:v>16.99706947525484</c:v>
                </c:pt>
                <c:pt idx="106">
                  <c:v>16.99706947525484</c:v>
                </c:pt>
                <c:pt idx="107">
                  <c:v>16.99706947525484</c:v>
                </c:pt>
                <c:pt idx="108">
                  <c:v>16.99706947525484</c:v>
                </c:pt>
                <c:pt idx="109">
                  <c:v>16.99706947525484</c:v>
                </c:pt>
                <c:pt idx="110">
                  <c:v>16.99706947525484</c:v>
                </c:pt>
                <c:pt idx="111">
                  <c:v>16.99706947525484</c:v>
                </c:pt>
                <c:pt idx="112">
                  <c:v>16.99706947525484</c:v>
                </c:pt>
                <c:pt idx="113">
                  <c:v>16.99706947525484</c:v>
                </c:pt>
                <c:pt idx="114">
                  <c:v>16.99706947525484</c:v>
                </c:pt>
                <c:pt idx="115">
                  <c:v>16.99706947525484</c:v>
                </c:pt>
                <c:pt idx="116">
                  <c:v>16.99706947525484</c:v>
                </c:pt>
                <c:pt idx="117">
                  <c:v>16.99706947525484</c:v>
                </c:pt>
                <c:pt idx="118">
                  <c:v>16.99706947525484</c:v>
                </c:pt>
                <c:pt idx="119">
                  <c:v>16.99706947525484</c:v>
                </c:pt>
                <c:pt idx="120">
                  <c:v>16.99706947525484</c:v>
                </c:pt>
                <c:pt idx="121">
                  <c:v>16.99706947525484</c:v>
                </c:pt>
                <c:pt idx="122">
                  <c:v>16.99706947525484</c:v>
                </c:pt>
                <c:pt idx="123">
                  <c:v>22.743378673520009</c:v>
                </c:pt>
                <c:pt idx="124">
                  <c:v>22.743378673520009</c:v>
                </c:pt>
                <c:pt idx="125">
                  <c:v>22.743378673520009</c:v>
                </c:pt>
                <c:pt idx="126">
                  <c:v>22.743378673520009</c:v>
                </c:pt>
                <c:pt idx="127">
                  <c:v>22.743378673520009</c:v>
                </c:pt>
                <c:pt idx="128">
                  <c:v>22.743378673520009</c:v>
                </c:pt>
                <c:pt idx="129">
                  <c:v>22.743378673520009</c:v>
                </c:pt>
                <c:pt idx="130">
                  <c:v>22.743378673520009</c:v>
                </c:pt>
                <c:pt idx="131">
                  <c:v>22.743378673520009</c:v>
                </c:pt>
                <c:pt idx="132">
                  <c:v>22.743378673520009</c:v>
                </c:pt>
                <c:pt idx="133">
                  <c:v>22.743378673520009</c:v>
                </c:pt>
                <c:pt idx="134">
                  <c:v>22.743378673520009</c:v>
                </c:pt>
                <c:pt idx="135">
                  <c:v>22.743378673520009</c:v>
                </c:pt>
                <c:pt idx="136">
                  <c:v>22.743378673520009</c:v>
                </c:pt>
                <c:pt idx="137">
                  <c:v>22.743378673520009</c:v>
                </c:pt>
                <c:pt idx="138">
                  <c:v>22.743378673520009</c:v>
                </c:pt>
                <c:pt idx="139">
                  <c:v>22.743378673520009</c:v>
                </c:pt>
                <c:pt idx="140">
                  <c:v>22.743378673520009</c:v>
                </c:pt>
                <c:pt idx="141">
                  <c:v>22.743378673520009</c:v>
                </c:pt>
                <c:pt idx="142">
                  <c:v>22.743378673520009</c:v>
                </c:pt>
                <c:pt idx="143">
                  <c:v>22.743378673520009</c:v>
                </c:pt>
                <c:pt idx="144">
                  <c:v>22.743378673520009</c:v>
                </c:pt>
                <c:pt idx="145">
                  <c:v>22.743378673520009</c:v>
                </c:pt>
                <c:pt idx="146">
                  <c:v>22.743378673520009</c:v>
                </c:pt>
                <c:pt idx="147">
                  <c:v>22.743378673520009</c:v>
                </c:pt>
                <c:pt idx="148">
                  <c:v>22.743378673520009</c:v>
                </c:pt>
                <c:pt idx="149">
                  <c:v>22.743378673520009</c:v>
                </c:pt>
                <c:pt idx="150">
                  <c:v>22.743378673520009</c:v>
                </c:pt>
                <c:pt idx="151">
                  <c:v>22.743378673520009</c:v>
                </c:pt>
                <c:pt idx="152">
                  <c:v>22.743378673520009</c:v>
                </c:pt>
                <c:pt idx="153">
                  <c:v>45.741764250654825</c:v>
                </c:pt>
                <c:pt idx="154">
                  <c:v>45.741764250654825</c:v>
                </c:pt>
                <c:pt idx="155">
                  <c:v>45.741764250654825</c:v>
                </c:pt>
                <c:pt idx="156">
                  <c:v>45.741764250654825</c:v>
                </c:pt>
                <c:pt idx="157">
                  <c:v>45.741764250654825</c:v>
                </c:pt>
                <c:pt idx="158">
                  <c:v>45.741764250654825</c:v>
                </c:pt>
                <c:pt idx="159">
                  <c:v>45.741764250654825</c:v>
                </c:pt>
                <c:pt idx="160">
                  <c:v>45.741764250654825</c:v>
                </c:pt>
                <c:pt idx="161">
                  <c:v>45.741764250654825</c:v>
                </c:pt>
                <c:pt idx="162">
                  <c:v>45.741764250654825</c:v>
                </c:pt>
                <c:pt idx="163">
                  <c:v>45.741764250654825</c:v>
                </c:pt>
                <c:pt idx="164">
                  <c:v>45.741764250654825</c:v>
                </c:pt>
                <c:pt idx="165">
                  <c:v>45.741764250654825</c:v>
                </c:pt>
                <c:pt idx="166">
                  <c:v>45.741764250654825</c:v>
                </c:pt>
                <c:pt idx="167">
                  <c:v>45.741764250654825</c:v>
                </c:pt>
                <c:pt idx="168">
                  <c:v>45.741764250654825</c:v>
                </c:pt>
                <c:pt idx="169">
                  <c:v>45.741764250654825</c:v>
                </c:pt>
                <c:pt idx="170">
                  <c:v>45.741764250654825</c:v>
                </c:pt>
                <c:pt idx="171">
                  <c:v>45.741764250654825</c:v>
                </c:pt>
                <c:pt idx="172">
                  <c:v>45.741764250654825</c:v>
                </c:pt>
                <c:pt idx="173">
                  <c:v>45.741764250654825</c:v>
                </c:pt>
                <c:pt idx="174">
                  <c:v>45.741764250654825</c:v>
                </c:pt>
                <c:pt idx="175">
                  <c:v>45.741764250654825</c:v>
                </c:pt>
                <c:pt idx="176">
                  <c:v>45.741764250654825</c:v>
                </c:pt>
                <c:pt idx="177">
                  <c:v>45.741764250654825</c:v>
                </c:pt>
                <c:pt idx="178">
                  <c:v>45.741764250654825</c:v>
                </c:pt>
                <c:pt idx="179">
                  <c:v>45.741764250654825</c:v>
                </c:pt>
                <c:pt idx="180">
                  <c:v>45.741764250654825</c:v>
                </c:pt>
                <c:pt idx="181">
                  <c:v>45.741764250654825</c:v>
                </c:pt>
                <c:pt idx="182">
                  <c:v>45.741764250654825</c:v>
                </c:pt>
                <c:pt idx="183">
                  <c:v>45.741764250654825</c:v>
                </c:pt>
                <c:pt idx="184">
                  <c:v>80.413851096189973</c:v>
                </c:pt>
                <c:pt idx="185">
                  <c:v>80.413851096189973</c:v>
                </c:pt>
                <c:pt idx="186">
                  <c:v>80.413851096189973</c:v>
                </c:pt>
                <c:pt idx="187">
                  <c:v>80.413851096189973</c:v>
                </c:pt>
                <c:pt idx="188">
                  <c:v>80.413851096189973</c:v>
                </c:pt>
                <c:pt idx="189">
                  <c:v>80.413851096189973</c:v>
                </c:pt>
                <c:pt idx="190">
                  <c:v>80.413851096189973</c:v>
                </c:pt>
                <c:pt idx="191">
                  <c:v>80.413851096189973</c:v>
                </c:pt>
                <c:pt idx="192">
                  <c:v>80.413851096189973</c:v>
                </c:pt>
                <c:pt idx="193">
                  <c:v>80.413851096189973</c:v>
                </c:pt>
                <c:pt idx="194">
                  <c:v>80.413851096189973</c:v>
                </c:pt>
                <c:pt idx="195">
                  <c:v>80.413851096189973</c:v>
                </c:pt>
                <c:pt idx="196">
                  <c:v>80.413851096189973</c:v>
                </c:pt>
                <c:pt idx="197">
                  <c:v>80.413851096189973</c:v>
                </c:pt>
                <c:pt idx="198">
                  <c:v>80.413851096189973</c:v>
                </c:pt>
                <c:pt idx="199">
                  <c:v>80.413851096189973</c:v>
                </c:pt>
                <c:pt idx="200">
                  <c:v>80.413851096189973</c:v>
                </c:pt>
                <c:pt idx="201">
                  <c:v>80.413851096189973</c:v>
                </c:pt>
                <c:pt idx="202">
                  <c:v>80.413851096189973</c:v>
                </c:pt>
                <c:pt idx="203">
                  <c:v>80.413851096189973</c:v>
                </c:pt>
                <c:pt idx="204">
                  <c:v>80.413851096189973</c:v>
                </c:pt>
                <c:pt idx="205">
                  <c:v>80.413851096189973</c:v>
                </c:pt>
                <c:pt idx="206">
                  <c:v>80.413851096189973</c:v>
                </c:pt>
                <c:pt idx="207">
                  <c:v>80.413851096189973</c:v>
                </c:pt>
                <c:pt idx="208">
                  <c:v>80.413851096189973</c:v>
                </c:pt>
                <c:pt idx="209">
                  <c:v>80.413851096189973</c:v>
                </c:pt>
                <c:pt idx="210">
                  <c:v>80.413851096189973</c:v>
                </c:pt>
                <c:pt idx="211">
                  <c:v>80.413851096189973</c:v>
                </c:pt>
                <c:pt idx="212">
                  <c:v>80.413851096189973</c:v>
                </c:pt>
                <c:pt idx="213">
                  <c:v>80.413851096189973</c:v>
                </c:pt>
                <c:pt idx="214">
                  <c:v>101.95753277636452</c:v>
                </c:pt>
                <c:pt idx="215">
                  <c:v>101.95753277636452</c:v>
                </c:pt>
                <c:pt idx="216">
                  <c:v>101.95753277636452</c:v>
                </c:pt>
                <c:pt idx="217">
                  <c:v>101.95753277636452</c:v>
                </c:pt>
                <c:pt idx="218">
                  <c:v>101.95753277636452</c:v>
                </c:pt>
                <c:pt idx="219">
                  <c:v>101.95753277636452</c:v>
                </c:pt>
                <c:pt idx="220">
                  <c:v>101.95753277636452</c:v>
                </c:pt>
                <c:pt idx="221">
                  <c:v>101.95753277636452</c:v>
                </c:pt>
                <c:pt idx="222">
                  <c:v>101.95753277636452</c:v>
                </c:pt>
                <c:pt idx="223">
                  <c:v>101.95753277636452</c:v>
                </c:pt>
                <c:pt idx="224">
                  <c:v>101.95753277636452</c:v>
                </c:pt>
                <c:pt idx="225">
                  <c:v>101.95753277636452</c:v>
                </c:pt>
                <c:pt idx="226">
                  <c:v>101.95753277636452</c:v>
                </c:pt>
                <c:pt idx="227">
                  <c:v>101.95753277636452</c:v>
                </c:pt>
                <c:pt idx="228">
                  <c:v>101.95753277636452</c:v>
                </c:pt>
                <c:pt idx="229">
                  <c:v>101.95753277636452</c:v>
                </c:pt>
                <c:pt idx="230">
                  <c:v>101.95753277636452</c:v>
                </c:pt>
                <c:pt idx="231">
                  <c:v>101.95753277636452</c:v>
                </c:pt>
                <c:pt idx="232">
                  <c:v>101.95753277636452</c:v>
                </c:pt>
                <c:pt idx="233">
                  <c:v>101.95753277636452</c:v>
                </c:pt>
                <c:pt idx="234">
                  <c:v>101.95753277636452</c:v>
                </c:pt>
                <c:pt idx="235">
                  <c:v>101.95753277636452</c:v>
                </c:pt>
                <c:pt idx="236">
                  <c:v>101.95753277636452</c:v>
                </c:pt>
                <c:pt idx="237">
                  <c:v>101.95753277636452</c:v>
                </c:pt>
                <c:pt idx="238">
                  <c:v>101.95753277636452</c:v>
                </c:pt>
                <c:pt idx="239">
                  <c:v>101.95753277636452</c:v>
                </c:pt>
                <c:pt idx="240">
                  <c:v>101.95753277636452</c:v>
                </c:pt>
                <c:pt idx="241">
                  <c:v>101.95753277636452</c:v>
                </c:pt>
                <c:pt idx="242">
                  <c:v>101.95753277636452</c:v>
                </c:pt>
                <c:pt idx="243">
                  <c:v>101.95753277636452</c:v>
                </c:pt>
                <c:pt idx="244">
                  <c:v>101.95753277636452</c:v>
                </c:pt>
                <c:pt idx="245">
                  <c:v>120.59631724353227</c:v>
                </c:pt>
                <c:pt idx="246">
                  <c:v>120.59631724353227</c:v>
                </c:pt>
                <c:pt idx="247">
                  <c:v>120.59631724353227</c:v>
                </c:pt>
                <c:pt idx="248">
                  <c:v>120.59631724353227</c:v>
                </c:pt>
                <c:pt idx="249">
                  <c:v>120.59631724353227</c:v>
                </c:pt>
                <c:pt idx="250">
                  <c:v>120.59631724353227</c:v>
                </c:pt>
                <c:pt idx="251">
                  <c:v>120.59631724353227</c:v>
                </c:pt>
                <c:pt idx="252">
                  <c:v>120.59631724353227</c:v>
                </c:pt>
                <c:pt idx="253">
                  <c:v>120.59631724353227</c:v>
                </c:pt>
                <c:pt idx="254">
                  <c:v>120.59631724353227</c:v>
                </c:pt>
                <c:pt idx="255">
                  <c:v>120.59631724353227</c:v>
                </c:pt>
                <c:pt idx="256">
                  <c:v>120.59631724353227</c:v>
                </c:pt>
                <c:pt idx="257">
                  <c:v>120.59631724353227</c:v>
                </c:pt>
                <c:pt idx="258">
                  <c:v>120.59631724353227</c:v>
                </c:pt>
                <c:pt idx="259">
                  <c:v>120.59631724353227</c:v>
                </c:pt>
                <c:pt idx="260">
                  <c:v>120.59631724353227</c:v>
                </c:pt>
                <c:pt idx="261">
                  <c:v>120.59631724353227</c:v>
                </c:pt>
                <c:pt idx="262">
                  <c:v>120.59631724353227</c:v>
                </c:pt>
                <c:pt idx="263">
                  <c:v>120.59631724353227</c:v>
                </c:pt>
                <c:pt idx="264">
                  <c:v>120.59631724353227</c:v>
                </c:pt>
                <c:pt idx="265">
                  <c:v>120.59631724353227</c:v>
                </c:pt>
                <c:pt idx="266">
                  <c:v>120.59631724353227</c:v>
                </c:pt>
                <c:pt idx="267">
                  <c:v>120.59631724353227</c:v>
                </c:pt>
                <c:pt idx="268">
                  <c:v>120.59631724353227</c:v>
                </c:pt>
                <c:pt idx="269">
                  <c:v>120.59631724353227</c:v>
                </c:pt>
                <c:pt idx="270">
                  <c:v>120.59631724353227</c:v>
                </c:pt>
                <c:pt idx="271">
                  <c:v>120.59631724353227</c:v>
                </c:pt>
                <c:pt idx="272">
                  <c:v>120.59631724353227</c:v>
                </c:pt>
                <c:pt idx="273">
                  <c:v>120.59631724353227</c:v>
                </c:pt>
                <c:pt idx="274">
                  <c:v>120.59631724353227</c:v>
                </c:pt>
                <c:pt idx="275">
                  <c:v>120.59631724353227</c:v>
                </c:pt>
                <c:pt idx="276">
                  <c:v>120.04142913099631</c:v>
                </c:pt>
                <c:pt idx="277">
                  <c:v>120.04142913099631</c:v>
                </c:pt>
                <c:pt idx="278">
                  <c:v>120.04142913099631</c:v>
                </c:pt>
                <c:pt idx="279">
                  <c:v>120.04142913099631</c:v>
                </c:pt>
                <c:pt idx="280">
                  <c:v>120.04142913099631</c:v>
                </c:pt>
                <c:pt idx="281">
                  <c:v>120.04142913099631</c:v>
                </c:pt>
                <c:pt idx="282">
                  <c:v>120.04142913099631</c:v>
                </c:pt>
                <c:pt idx="283">
                  <c:v>120.04142913099631</c:v>
                </c:pt>
                <c:pt idx="284">
                  <c:v>120.04142913099631</c:v>
                </c:pt>
                <c:pt idx="285">
                  <c:v>120.04142913099631</c:v>
                </c:pt>
                <c:pt idx="286">
                  <c:v>120.04142913099631</c:v>
                </c:pt>
                <c:pt idx="287">
                  <c:v>120.04142913099631</c:v>
                </c:pt>
                <c:pt idx="288">
                  <c:v>120.04142913099631</c:v>
                </c:pt>
                <c:pt idx="289">
                  <c:v>120.04142913099631</c:v>
                </c:pt>
                <c:pt idx="290">
                  <c:v>120.04142913099631</c:v>
                </c:pt>
                <c:pt idx="291">
                  <c:v>120.04142913099631</c:v>
                </c:pt>
                <c:pt idx="292">
                  <c:v>120.04142913099631</c:v>
                </c:pt>
                <c:pt idx="293">
                  <c:v>120.04142913099631</c:v>
                </c:pt>
                <c:pt idx="294">
                  <c:v>120.04142913099631</c:v>
                </c:pt>
                <c:pt idx="295">
                  <c:v>120.04142913099631</c:v>
                </c:pt>
                <c:pt idx="296">
                  <c:v>120.04142913099631</c:v>
                </c:pt>
                <c:pt idx="297">
                  <c:v>120.04142913099631</c:v>
                </c:pt>
                <c:pt idx="298">
                  <c:v>120.04142913099631</c:v>
                </c:pt>
                <c:pt idx="299">
                  <c:v>120.04142913099631</c:v>
                </c:pt>
                <c:pt idx="300">
                  <c:v>120.04142913099631</c:v>
                </c:pt>
                <c:pt idx="301">
                  <c:v>120.04142913099631</c:v>
                </c:pt>
                <c:pt idx="302">
                  <c:v>120.04142913099631</c:v>
                </c:pt>
                <c:pt idx="303">
                  <c:v>120.04142913099631</c:v>
                </c:pt>
                <c:pt idx="304">
                  <c:v>132.90693384979679</c:v>
                </c:pt>
                <c:pt idx="305">
                  <c:v>132.90693384979679</c:v>
                </c:pt>
                <c:pt idx="306">
                  <c:v>132.90693384979679</c:v>
                </c:pt>
                <c:pt idx="307">
                  <c:v>132.90693384979679</c:v>
                </c:pt>
                <c:pt idx="308">
                  <c:v>132.90693384979679</c:v>
                </c:pt>
                <c:pt idx="309">
                  <c:v>132.90693384979679</c:v>
                </c:pt>
                <c:pt idx="310">
                  <c:v>132.90693384979679</c:v>
                </c:pt>
                <c:pt idx="311">
                  <c:v>132.90693384979679</c:v>
                </c:pt>
                <c:pt idx="312">
                  <c:v>132.90693384979679</c:v>
                </c:pt>
                <c:pt idx="313">
                  <c:v>132.90693384979679</c:v>
                </c:pt>
                <c:pt idx="314">
                  <c:v>132.90693384979679</c:v>
                </c:pt>
                <c:pt idx="315">
                  <c:v>132.90693384979679</c:v>
                </c:pt>
                <c:pt idx="316">
                  <c:v>132.90693384979679</c:v>
                </c:pt>
                <c:pt idx="317">
                  <c:v>132.90693384979679</c:v>
                </c:pt>
                <c:pt idx="318">
                  <c:v>132.90693384979679</c:v>
                </c:pt>
                <c:pt idx="319">
                  <c:v>132.90693384979679</c:v>
                </c:pt>
                <c:pt idx="320">
                  <c:v>132.90693384979679</c:v>
                </c:pt>
                <c:pt idx="321">
                  <c:v>132.90693384979679</c:v>
                </c:pt>
                <c:pt idx="322">
                  <c:v>132.90693384979679</c:v>
                </c:pt>
                <c:pt idx="323">
                  <c:v>132.90693384979679</c:v>
                </c:pt>
                <c:pt idx="324">
                  <c:v>132.90693384979679</c:v>
                </c:pt>
                <c:pt idx="325">
                  <c:v>132.90693384979679</c:v>
                </c:pt>
                <c:pt idx="326">
                  <c:v>132.90693384979679</c:v>
                </c:pt>
                <c:pt idx="327">
                  <c:v>132.90693384979679</c:v>
                </c:pt>
                <c:pt idx="328">
                  <c:v>132.90693384979679</c:v>
                </c:pt>
                <c:pt idx="329">
                  <c:v>132.90693384979679</c:v>
                </c:pt>
                <c:pt idx="330">
                  <c:v>132.90693384979679</c:v>
                </c:pt>
                <c:pt idx="331">
                  <c:v>132.90693384979679</c:v>
                </c:pt>
                <c:pt idx="332">
                  <c:v>132.90693384979679</c:v>
                </c:pt>
                <c:pt idx="333">
                  <c:v>132.90693384979679</c:v>
                </c:pt>
                <c:pt idx="334">
                  <c:v>132.90693384979679</c:v>
                </c:pt>
                <c:pt idx="335">
                  <c:v>128.77123560535</c:v>
                </c:pt>
                <c:pt idx="336">
                  <c:v>128.77123560535</c:v>
                </c:pt>
                <c:pt idx="337">
                  <c:v>128.77123560535</c:v>
                </c:pt>
                <c:pt idx="338">
                  <c:v>128.77123560535</c:v>
                </c:pt>
                <c:pt idx="339">
                  <c:v>128.77123560535</c:v>
                </c:pt>
                <c:pt idx="340">
                  <c:v>128.77123560535</c:v>
                </c:pt>
                <c:pt idx="341">
                  <c:v>128.77123560535</c:v>
                </c:pt>
                <c:pt idx="342">
                  <c:v>128.77123560535</c:v>
                </c:pt>
                <c:pt idx="343">
                  <c:v>128.77123560535</c:v>
                </c:pt>
                <c:pt idx="344">
                  <c:v>128.77123560535</c:v>
                </c:pt>
                <c:pt idx="345">
                  <c:v>128.77123560535</c:v>
                </c:pt>
                <c:pt idx="346">
                  <c:v>128.77123560535</c:v>
                </c:pt>
                <c:pt idx="347">
                  <c:v>128.77123560535</c:v>
                </c:pt>
                <c:pt idx="348">
                  <c:v>128.77123560535</c:v>
                </c:pt>
                <c:pt idx="349">
                  <c:v>128.77123560535</c:v>
                </c:pt>
                <c:pt idx="350">
                  <c:v>128.77123560535</c:v>
                </c:pt>
                <c:pt idx="351">
                  <c:v>128.77123560535</c:v>
                </c:pt>
                <c:pt idx="352">
                  <c:v>128.77123560535</c:v>
                </c:pt>
                <c:pt idx="353">
                  <c:v>128.77123560535</c:v>
                </c:pt>
                <c:pt idx="354">
                  <c:v>128.77123560535</c:v>
                </c:pt>
                <c:pt idx="355">
                  <c:v>128.77123560535</c:v>
                </c:pt>
                <c:pt idx="356">
                  <c:v>128.77123560535</c:v>
                </c:pt>
                <c:pt idx="357">
                  <c:v>128.77123560535</c:v>
                </c:pt>
                <c:pt idx="358">
                  <c:v>128.77123560535</c:v>
                </c:pt>
                <c:pt idx="359">
                  <c:v>128.77123560535</c:v>
                </c:pt>
                <c:pt idx="360">
                  <c:v>128.77123560535</c:v>
                </c:pt>
                <c:pt idx="361">
                  <c:v>128.77123560535</c:v>
                </c:pt>
                <c:pt idx="362">
                  <c:v>128.77123560535</c:v>
                </c:pt>
                <c:pt idx="363">
                  <c:v>128.77123560535</c:v>
                </c:pt>
                <c:pt idx="364">
                  <c:v>128.77123560535</c:v>
                </c:pt>
                <c:pt idx="365">
                  <c:v>105.65373260469035</c:v>
                </c:pt>
                <c:pt idx="366">
                  <c:v>105.65373260469035</c:v>
                </c:pt>
                <c:pt idx="367">
                  <c:v>105.65373260469035</c:v>
                </c:pt>
                <c:pt idx="368">
                  <c:v>105.65373260469035</c:v>
                </c:pt>
                <c:pt idx="369">
                  <c:v>105.65373260469035</c:v>
                </c:pt>
                <c:pt idx="370">
                  <c:v>105.65373260469035</c:v>
                </c:pt>
                <c:pt idx="371">
                  <c:v>105.65373260469035</c:v>
                </c:pt>
                <c:pt idx="372">
                  <c:v>105.65373260469035</c:v>
                </c:pt>
                <c:pt idx="373">
                  <c:v>105.65373260469035</c:v>
                </c:pt>
                <c:pt idx="374">
                  <c:v>105.65373260469035</c:v>
                </c:pt>
                <c:pt idx="375">
                  <c:v>105.65373260469035</c:v>
                </c:pt>
                <c:pt idx="376">
                  <c:v>105.65373260469035</c:v>
                </c:pt>
                <c:pt idx="377">
                  <c:v>105.65373260469035</c:v>
                </c:pt>
                <c:pt idx="378">
                  <c:v>105.65373260469035</c:v>
                </c:pt>
                <c:pt idx="379">
                  <c:v>105.65373260469035</c:v>
                </c:pt>
                <c:pt idx="380">
                  <c:v>105.65373260469035</c:v>
                </c:pt>
                <c:pt idx="381">
                  <c:v>105.65373260469035</c:v>
                </c:pt>
                <c:pt idx="382">
                  <c:v>105.65373260469035</c:v>
                </c:pt>
                <c:pt idx="383">
                  <c:v>105.65373260469035</c:v>
                </c:pt>
                <c:pt idx="384">
                  <c:v>105.65373260469035</c:v>
                </c:pt>
                <c:pt idx="385">
                  <c:v>105.65373260469035</c:v>
                </c:pt>
                <c:pt idx="386">
                  <c:v>105.65373260469035</c:v>
                </c:pt>
                <c:pt idx="387">
                  <c:v>105.65373260469035</c:v>
                </c:pt>
                <c:pt idx="388">
                  <c:v>105.65373260469035</c:v>
                </c:pt>
                <c:pt idx="389">
                  <c:v>105.65373260469035</c:v>
                </c:pt>
                <c:pt idx="390">
                  <c:v>105.65373260469035</c:v>
                </c:pt>
                <c:pt idx="391">
                  <c:v>105.65373260469035</c:v>
                </c:pt>
                <c:pt idx="392">
                  <c:v>105.65373260469035</c:v>
                </c:pt>
                <c:pt idx="393">
                  <c:v>105.65373260469035</c:v>
                </c:pt>
                <c:pt idx="394">
                  <c:v>105.65373260469035</c:v>
                </c:pt>
                <c:pt idx="395">
                  <c:v>105.65373260469035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595-4141-A914-5A20A00A4C60}"/>
            </c:ext>
          </c:extLst>
        </c:ser>
        <c:ser>
          <c:idx val="1"/>
          <c:order val="2"/>
          <c:spPr>
            <a:solidFill>
              <a:schemeClr val="bg1"/>
            </a:solidFill>
          </c:spPr>
          <c:dLbls>
            <c:delete val="1"/>
          </c:dLbls>
          <c:cat>
            <c:strRef>
              <c:f>Dat_02!$F$3:$F$398</c:f>
              <c:strCache>
                <c:ptCount val="380"/>
                <c:pt idx="14">
                  <c:v>M</c:v>
                </c:pt>
                <c:pt idx="45">
                  <c:v>J</c:v>
                </c:pt>
                <c:pt idx="75">
                  <c:v>J</c:v>
                </c:pt>
                <c:pt idx="106">
                  <c:v>A</c:v>
                </c:pt>
                <c:pt idx="137">
                  <c:v>S</c:v>
                </c:pt>
                <c:pt idx="167">
                  <c:v>O</c:v>
                </c:pt>
                <c:pt idx="198">
                  <c:v>N</c:v>
                </c:pt>
                <c:pt idx="228">
                  <c:v>D</c:v>
                </c:pt>
                <c:pt idx="259">
                  <c:v>E</c:v>
                </c:pt>
                <c:pt idx="290">
                  <c:v>F</c:v>
                </c:pt>
                <c:pt idx="318">
                  <c:v>M</c:v>
                </c:pt>
                <c:pt idx="349">
                  <c:v>A</c:v>
                </c:pt>
                <c:pt idx="379">
                  <c:v>M</c:v>
                </c:pt>
              </c:strCache>
            </c:strRef>
          </c:cat>
          <c:val>
            <c:numRef>
              <c:f>Dat_02!$E$3:$E$398</c:f>
              <c:numCache>
                <c:formatCode>#,##0.0</c:formatCode>
                <c:ptCount val="396"/>
                <c:pt idx="0">
                  <c:v>106.79032108965163</c:v>
                </c:pt>
                <c:pt idx="1">
                  <c:v>106.79032108965163</c:v>
                </c:pt>
                <c:pt idx="2">
                  <c:v>106.79032108965163</c:v>
                </c:pt>
                <c:pt idx="3">
                  <c:v>106.79032108965163</c:v>
                </c:pt>
                <c:pt idx="4">
                  <c:v>106.79032108965163</c:v>
                </c:pt>
                <c:pt idx="5">
                  <c:v>106.79032108965163</c:v>
                </c:pt>
                <c:pt idx="6">
                  <c:v>105.71225961999892</c:v>
                </c:pt>
                <c:pt idx="7">
                  <c:v>106.79032108965163</c:v>
                </c:pt>
                <c:pt idx="8">
                  <c:v>106.79032108965163</c:v>
                </c:pt>
                <c:pt idx="9">
                  <c:v>106.79032108965163</c:v>
                </c:pt>
                <c:pt idx="10">
                  <c:v>102.25985699999903</c:v>
                </c:pt>
                <c:pt idx="11">
                  <c:v>106.79032108965163</c:v>
                </c:pt>
                <c:pt idx="12">
                  <c:v>106.79032108965163</c:v>
                </c:pt>
                <c:pt idx="13">
                  <c:v>106.79032108965163</c:v>
                </c:pt>
                <c:pt idx="14">
                  <c:v>99.303679692001751</c:v>
                </c:pt>
                <c:pt idx="15">
                  <c:v>88.95340967199833</c:v>
                </c:pt>
                <c:pt idx="16">
                  <c:v>87.102957502001004</c:v>
                </c:pt>
                <c:pt idx="17">
                  <c:v>84.90524368799916</c:v>
                </c:pt>
                <c:pt idx="18">
                  <c:v>106.68403058400047</c:v>
                </c:pt>
                <c:pt idx="19">
                  <c:v>94.50606752400013</c:v>
                </c:pt>
                <c:pt idx="20">
                  <c:v>106.79032108965163</c:v>
                </c:pt>
                <c:pt idx="21">
                  <c:v>106.2375112060008</c:v>
                </c:pt>
                <c:pt idx="22">
                  <c:v>88.031645835999271</c:v>
                </c:pt>
                <c:pt idx="23">
                  <c:v>106.79032108965163</c:v>
                </c:pt>
                <c:pt idx="24">
                  <c:v>106.79032108965163</c:v>
                </c:pt>
                <c:pt idx="25">
                  <c:v>106.79032108965163</c:v>
                </c:pt>
                <c:pt idx="26">
                  <c:v>106.79032108965163</c:v>
                </c:pt>
                <c:pt idx="27">
                  <c:v>106.79032108965163</c:v>
                </c:pt>
                <c:pt idx="28">
                  <c:v>106.79032108965163</c:v>
                </c:pt>
                <c:pt idx="29">
                  <c:v>102.41424729200045</c:v>
                </c:pt>
                <c:pt idx="30">
                  <c:v>106.79032108965163</c:v>
                </c:pt>
                <c:pt idx="31">
                  <c:v>64.364342968573325</c:v>
                </c:pt>
                <c:pt idx="32">
                  <c:v>64.364342968573325</c:v>
                </c:pt>
                <c:pt idx="33">
                  <c:v>64.364342968573325</c:v>
                </c:pt>
                <c:pt idx="34">
                  <c:v>64.364342968573325</c:v>
                </c:pt>
                <c:pt idx="35">
                  <c:v>64.364342968573325</c:v>
                </c:pt>
                <c:pt idx="36">
                  <c:v>64.364342968573325</c:v>
                </c:pt>
                <c:pt idx="37">
                  <c:v>64.364342968573325</c:v>
                </c:pt>
                <c:pt idx="38">
                  <c:v>64.364342968573325</c:v>
                </c:pt>
                <c:pt idx="39">
                  <c:v>64.364342968573325</c:v>
                </c:pt>
                <c:pt idx="40">
                  <c:v>64.364342968573325</c:v>
                </c:pt>
                <c:pt idx="41">
                  <c:v>64.364342968573325</c:v>
                </c:pt>
                <c:pt idx="42">
                  <c:v>64.364342968573325</c:v>
                </c:pt>
                <c:pt idx="43">
                  <c:v>64.364342968573325</c:v>
                </c:pt>
                <c:pt idx="44">
                  <c:v>64.364342968573325</c:v>
                </c:pt>
                <c:pt idx="45">
                  <c:v>64.364342968573325</c:v>
                </c:pt>
                <c:pt idx="46">
                  <c:v>64.364342968573325</c:v>
                </c:pt>
                <c:pt idx="47">
                  <c:v>64.364342968573325</c:v>
                </c:pt>
                <c:pt idx="48">
                  <c:v>64.364342968573325</c:v>
                </c:pt>
                <c:pt idx="49">
                  <c:v>64.364342968573325</c:v>
                </c:pt>
                <c:pt idx="50">
                  <c:v>64.364342968573325</c:v>
                </c:pt>
                <c:pt idx="51">
                  <c:v>64.364342968573325</c:v>
                </c:pt>
                <c:pt idx="52">
                  <c:v>64.364342968573325</c:v>
                </c:pt>
                <c:pt idx="53">
                  <c:v>64.364342968573325</c:v>
                </c:pt>
                <c:pt idx="54">
                  <c:v>64.364342968573325</c:v>
                </c:pt>
                <c:pt idx="55">
                  <c:v>64.364342968573325</c:v>
                </c:pt>
                <c:pt idx="56">
                  <c:v>64.364342968573325</c:v>
                </c:pt>
                <c:pt idx="57">
                  <c:v>64.364342968573325</c:v>
                </c:pt>
                <c:pt idx="58">
                  <c:v>64.364342968573325</c:v>
                </c:pt>
                <c:pt idx="59">
                  <c:v>64.364342968573325</c:v>
                </c:pt>
                <c:pt idx="60">
                  <c:v>64.364342968573325</c:v>
                </c:pt>
                <c:pt idx="61">
                  <c:v>28.016997662909688</c:v>
                </c:pt>
                <c:pt idx="62">
                  <c:v>28.016997662909688</c:v>
                </c:pt>
                <c:pt idx="63">
                  <c:v>28.016997662909688</c:v>
                </c:pt>
                <c:pt idx="64">
                  <c:v>28.016997662909688</c:v>
                </c:pt>
                <c:pt idx="65">
                  <c:v>28.016997662909688</c:v>
                </c:pt>
                <c:pt idx="66">
                  <c:v>28.016997662909688</c:v>
                </c:pt>
                <c:pt idx="67">
                  <c:v>28.016997662909688</c:v>
                </c:pt>
                <c:pt idx="68">
                  <c:v>28.016997662909688</c:v>
                </c:pt>
                <c:pt idx="69">
                  <c:v>28.016997662909688</c:v>
                </c:pt>
                <c:pt idx="70">
                  <c:v>28.016997662909688</c:v>
                </c:pt>
                <c:pt idx="71">
                  <c:v>28.016997662909688</c:v>
                </c:pt>
                <c:pt idx="72">
                  <c:v>28.016997662909688</c:v>
                </c:pt>
                <c:pt idx="73">
                  <c:v>28.016997662909688</c:v>
                </c:pt>
                <c:pt idx="74">
                  <c:v>22.40733153000058</c:v>
                </c:pt>
                <c:pt idx="75">
                  <c:v>6.4566618000008456</c:v>
                </c:pt>
                <c:pt idx="76">
                  <c:v>7.0879540679984059</c:v>
                </c:pt>
                <c:pt idx="77">
                  <c:v>5.5422092060000434</c:v>
                </c:pt>
                <c:pt idx="78">
                  <c:v>6.9238963500000974</c:v>
                </c:pt>
                <c:pt idx="79">
                  <c:v>8.0067131500002144</c:v>
                </c:pt>
                <c:pt idx="80">
                  <c:v>5.3031052739994777</c:v>
                </c:pt>
                <c:pt idx="81">
                  <c:v>4.3046902700016796</c:v>
                </c:pt>
                <c:pt idx="82">
                  <c:v>3.1078996419999458</c:v>
                </c:pt>
                <c:pt idx="83">
                  <c:v>28.016997662909688</c:v>
                </c:pt>
                <c:pt idx="84">
                  <c:v>28.016997662909688</c:v>
                </c:pt>
                <c:pt idx="85">
                  <c:v>28.016997662909688</c:v>
                </c:pt>
                <c:pt idx="86">
                  <c:v>28.016997662909688</c:v>
                </c:pt>
                <c:pt idx="87">
                  <c:v>28.016997662909688</c:v>
                </c:pt>
                <c:pt idx="88">
                  <c:v>28.016997662909688</c:v>
                </c:pt>
                <c:pt idx="89">
                  <c:v>28.016997662909688</c:v>
                </c:pt>
                <c:pt idx="90">
                  <c:v>28.016997662909688</c:v>
                </c:pt>
                <c:pt idx="91">
                  <c:v>28.016997662909688</c:v>
                </c:pt>
                <c:pt idx="92">
                  <c:v>16.99706947525484</c:v>
                </c:pt>
                <c:pt idx="93">
                  <c:v>16.99706947525484</c:v>
                </c:pt>
                <c:pt idx="94">
                  <c:v>16.99706947525484</c:v>
                </c:pt>
                <c:pt idx="95">
                  <c:v>16.99706947525484</c:v>
                </c:pt>
                <c:pt idx="96">
                  <c:v>16.99706947525484</c:v>
                </c:pt>
                <c:pt idx="97">
                  <c:v>16.99706947525484</c:v>
                </c:pt>
                <c:pt idx="98">
                  <c:v>16.99706947525484</c:v>
                </c:pt>
                <c:pt idx="99">
                  <c:v>16.99706947525484</c:v>
                </c:pt>
                <c:pt idx="100">
                  <c:v>16.99706947525484</c:v>
                </c:pt>
                <c:pt idx="101">
                  <c:v>16.99706947525484</c:v>
                </c:pt>
                <c:pt idx="102">
                  <c:v>16.99706947525484</c:v>
                </c:pt>
                <c:pt idx="103">
                  <c:v>16.99706947525484</c:v>
                </c:pt>
                <c:pt idx="104">
                  <c:v>16.99706947525484</c:v>
                </c:pt>
                <c:pt idx="105">
                  <c:v>16.99706947525484</c:v>
                </c:pt>
                <c:pt idx="106">
                  <c:v>16.99706947525484</c:v>
                </c:pt>
                <c:pt idx="107">
                  <c:v>16.99706947525484</c:v>
                </c:pt>
                <c:pt idx="108">
                  <c:v>16.99706947525484</c:v>
                </c:pt>
                <c:pt idx="109">
                  <c:v>16.99706947525484</c:v>
                </c:pt>
                <c:pt idx="110">
                  <c:v>16.99706947525484</c:v>
                </c:pt>
                <c:pt idx="111">
                  <c:v>16.99706947525484</c:v>
                </c:pt>
                <c:pt idx="112">
                  <c:v>16.99706947525484</c:v>
                </c:pt>
                <c:pt idx="113">
                  <c:v>16.99706947525484</c:v>
                </c:pt>
                <c:pt idx="114">
                  <c:v>16.99706947525484</c:v>
                </c:pt>
                <c:pt idx="115">
                  <c:v>16.99706947525484</c:v>
                </c:pt>
                <c:pt idx="116">
                  <c:v>11.079852043241605</c:v>
                </c:pt>
                <c:pt idx="117">
                  <c:v>13.51483384924347</c:v>
                </c:pt>
                <c:pt idx="118">
                  <c:v>16.99706947525484</c:v>
                </c:pt>
                <c:pt idx="119">
                  <c:v>16.99706947525484</c:v>
                </c:pt>
                <c:pt idx="120">
                  <c:v>16.99706947525484</c:v>
                </c:pt>
                <c:pt idx="121">
                  <c:v>16.99706947525484</c:v>
                </c:pt>
                <c:pt idx="122">
                  <c:v>16.99706947525484</c:v>
                </c:pt>
                <c:pt idx="123">
                  <c:v>16.292057982035747</c:v>
                </c:pt>
                <c:pt idx="124">
                  <c:v>22.743378673520009</c:v>
                </c:pt>
                <c:pt idx="125">
                  <c:v>22.743378673520009</c:v>
                </c:pt>
                <c:pt idx="126">
                  <c:v>22.743378673520009</c:v>
                </c:pt>
                <c:pt idx="127">
                  <c:v>22.743378673520009</c:v>
                </c:pt>
                <c:pt idx="128">
                  <c:v>22.743378673520009</c:v>
                </c:pt>
                <c:pt idx="129">
                  <c:v>22.743378673520009</c:v>
                </c:pt>
                <c:pt idx="130">
                  <c:v>22.743378673520009</c:v>
                </c:pt>
                <c:pt idx="131">
                  <c:v>19.454866435248455</c:v>
                </c:pt>
                <c:pt idx="132">
                  <c:v>22.743378673520009</c:v>
                </c:pt>
                <c:pt idx="133">
                  <c:v>22.743378673520009</c:v>
                </c:pt>
                <c:pt idx="134">
                  <c:v>22.743378673520009</c:v>
                </c:pt>
                <c:pt idx="135">
                  <c:v>22.743378673520009</c:v>
                </c:pt>
                <c:pt idx="136">
                  <c:v>22.743378673520009</c:v>
                </c:pt>
                <c:pt idx="137">
                  <c:v>15.31814298380255</c:v>
                </c:pt>
                <c:pt idx="138">
                  <c:v>8.5638278258025533</c:v>
                </c:pt>
                <c:pt idx="139">
                  <c:v>14.358251075802553</c:v>
                </c:pt>
                <c:pt idx="140">
                  <c:v>22.743378673520009</c:v>
                </c:pt>
                <c:pt idx="141">
                  <c:v>22.743378673520009</c:v>
                </c:pt>
                <c:pt idx="142">
                  <c:v>22.743378673520009</c:v>
                </c:pt>
                <c:pt idx="143">
                  <c:v>22.743378673520009</c:v>
                </c:pt>
                <c:pt idx="144">
                  <c:v>15.696338941696435</c:v>
                </c:pt>
                <c:pt idx="145">
                  <c:v>5.7461719036982979</c:v>
                </c:pt>
                <c:pt idx="146">
                  <c:v>18.109064911696436</c:v>
                </c:pt>
                <c:pt idx="147">
                  <c:v>18.974976891696439</c:v>
                </c:pt>
                <c:pt idx="148">
                  <c:v>10.52124702121337</c:v>
                </c:pt>
                <c:pt idx="149">
                  <c:v>10.045401815213365</c:v>
                </c:pt>
                <c:pt idx="150">
                  <c:v>10.143655751212435</c:v>
                </c:pt>
                <c:pt idx="151">
                  <c:v>8.887261627213368</c:v>
                </c:pt>
                <c:pt idx="152">
                  <c:v>8.1643874632124351</c:v>
                </c:pt>
                <c:pt idx="153">
                  <c:v>7.4252774952133693</c:v>
                </c:pt>
                <c:pt idx="154">
                  <c:v>4.6113332072124393</c:v>
                </c:pt>
                <c:pt idx="155">
                  <c:v>2.4112627607003305</c:v>
                </c:pt>
                <c:pt idx="156">
                  <c:v>7.0308852647012605</c:v>
                </c:pt>
                <c:pt idx="157">
                  <c:v>5.9319190727003299</c:v>
                </c:pt>
                <c:pt idx="158">
                  <c:v>3.946247852700326</c:v>
                </c:pt>
                <c:pt idx="159">
                  <c:v>1.9682216107003296</c:v>
                </c:pt>
                <c:pt idx="160">
                  <c:v>2.5057455447012615</c:v>
                </c:pt>
                <c:pt idx="161">
                  <c:v>4.9099687527003262</c:v>
                </c:pt>
                <c:pt idx="162">
                  <c:v>29.922283912888815</c:v>
                </c:pt>
                <c:pt idx="163">
                  <c:v>25.401274768888818</c:v>
                </c:pt>
                <c:pt idx="164">
                  <c:v>26.291245220888815</c:v>
                </c:pt>
                <c:pt idx="165">
                  <c:v>14.202770838888817</c:v>
                </c:pt>
                <c:pt idx="166">
                  <c:v>17.409148476889747</c:v>
                </c:pt>
                <c:pt idx="167">
                  <c:v>36.150228392888813</c:v>
                </c:pt>
                <c:pt idx="168">
                  <c:v>45.741764250654825</c:v>
                </c:pt>
                <c:pt idx="169">
                  <c:v>45.741764250654825</c:v>
                </c:pt>
                <c:pt idx="170">
                  <c:v>45.741764250654825</c:v>
                </c:pt>
                <c:pt idx="171">
                  <c:v>45.741764250654825</c:v>
                </c:pt>
                <c:pt idx="172">
                  <c:v>45.339922974987424</c:v>
                </c:pt>
                <c:pt idx="173">
                  <c:v>45.741764250654825</c:v>
                </c:pt>
                <c:pt idx="174">
                  <c:v>44.118682864986489</c:v>
                </c:pt>
                <c:pt idx="175">
                  <c:v>42.551666610986487</c:v>
                </c:pt>
                <c:pt idx="176">
                  <c:v>32.040779314450049</c:v>
                </c:pt>
                <c:pt idx="177">
                  <c:v>45.741764250654825</c:v>
                </c:pt>
                <c:pt idx="178">
                  <c:v>45.741764250654825</c:v>
                </c:pt>
                <c:pt idx="179">
                  <c:v>19.379339686450045</c:v>
                </c:pt>
                <c:pt idx="180">
                  <c:v>11.525720718450048</c:v>
                </c:pt>
                <c:pt idx="181">
                  <c:v>16.507644544450049</c:v>
                </c:pt>
                <c:pt idx="182">
                  <c:v>45.741764250654825</c:v>
                </c:pt>
                <c:pt idx="183">
                  <c:v>45.741764250654825</c:v>
                </c:pt>
                <c:pt idx="184">
                  <c:v>43.424325616363625</c:v>
                </c:pt>
                <c:pt idx="185">
                  <c:v>47.082433798362693</c:v>
                </c:pt>
                <c:pt idx="186">
                  <c:v>47.249854606363627</c:v>
                </c:pt>
                <c:pt idx="187">
                  <c:v>43.322870924363627</c:v>
                </c:pt>
                <c:pt idx="188">
                  <c:v>57.86399866236269</c:v>
                </c:pt>
                <c:pt idx="189">
                  <c:v>48.883623674363626</c:v>
                </c:pt>
                <c:pt idx="190">
                  <c:v>80.413851096189973</c:v>
                </c:pt>
                <c:pt idx="191">
                  <c:v>80.413851096189973</c:v>
                </c:pt>
                <c:pt idx="192">
                  <c:v>80.413851096189973</c:v>
                </c:pt>
                <c:pt idx="193">
                  <c:v>80.413851096189973</c:v>
                </c:pt>
                <c:pt idx="194">
                  <c:v>80.413851096189973</c:v>
                </c:pt>
                <c:pt idx="195">
                  <c:v>80.413851096189973</c:v>
                </c:pt>
                <c:pt idx="196">
                  <c:v>80.413851096189973</c:v>
                </c:pt>
                <c:pt idx="197">
                  <c:v>80.413851096189973</c:v>
                </c:pt>
                <c:pt idx="198">
                  <c:v>80.413851096189973</c:v>
                </c:pt>
                <c:pt idx="199">
                  <c:v>80.413851096189973</c:v>
                </c:pt>
                <c:pt idx="200">
                  <c:v>76.288862461739186</c:v>
                </c:pt>
                <c:pt idx="201">
                  <c:v>72.252963381739193</c:v>
                </c:pt>
                <c:pt idx="202">
                  <c:v>80.413851096189973</c:v>
                </c:pt>
                <c:pt idx="203">
                  <c:v>80.413851096189973</c:v>
                </c:pt>
                <c:pt idx="204">
                  <c:v>80.413851096189973</c:v>
                </c:pt>
                <c:pt idx="205">
                  <c:v>80.413851096189973</c:v>
                </c:pt>
                <c:pt idx="206">
                  <c:v>80.413851096189973</c:v>
                </c:pt>
                <c:pt idx="207">
                  <c:v>71.461598399573006</c:v>
                </c:pt>
                <c:pt idx="208">
                  <c:v>73.549878463573933</c:v>
                </c:pt>
                <c:pt idx="209">
                  <c:v>80.413851096189973</c:v>
                </c:pt>
                <c:pt idx="210">
                  <c:v>80.413851096189973</c:v>
                </c:pt>
                <c:pt idx="211">
                  <c:v>80.413851096189973</c:v>
                </c:pt>
                <c:pt idx="212">
                  <c:v>80.413851096189973</c:v>
                </c:pt>
                <c:pt idx="213">
                  <c:v>80.413851096189973</c:v>
                </c:pt>
                <c:pt idx="214">
                  <c:v>90.394212360286787</c:v>
                </c:pt>
                <c:pt idx="215">
                  <c:v>84.866914290285848</c:v>
                </c:pt>
                <c:pt idx="216">
                  <c:v>101.95753277636452</c:v>
                </c:pt>
                <c:pt idx="217">
                  <c:v>101.95753277636452</c:v>
                </c:pt>
                <c:pt idx="218">
                  <c:v>87.515008344428594</c:v>
                </c:pt>
                <c:pt idx="219">
                  <c:v>77.782506294428586</c:v>
                </c:pt>
                <c:pt idx="220">
                  <c:v>62.18230000042859</c:v>
                </c:pt>
                <c:pt idx="221">
                  <c:v>55.709332724428592</c:v>
                </c:pt>
                <c:pt idx="222">
                  <c:v>55.556556698428594</c:v>
                </c:pt>
                <c:pt idx="223">
                  <c:v>67.053807550428601</c:v>
                </c:pt>
                <c:pt idx="224">
                  <c:v>96.102252704428594</c:v>
                </c:pt>
                <c:pt idx="225">
                  <c:v>101.95753277636452</c:v>
                </c:pt>
                <c:pt idx="226">
                  <c:v>84.353938072275511</c:v>
                </c:pt>
                <c:pt idx="227">
                  <c:v>86.425479054275513</c:v>
                </c:pt>
                <c:pt idx="228">
                  <c:v>74.544494642275509</c:v>
                </c:pt>
                <c:pt idx="229">
                  <c:v>69.967279598275525</c:v>
                </c:pt>
                <c:pt idx="230">
                  <c:v>101.95753277636452</c:v>
                </c:pt>
                <c:pt idx="231">
                  <c:v>93.932545482275515</c:v>
                </c:pt>
                <c:pt idx="232">
                  <c:v>100.38242194998713</c:v>
                </c:pt>
                <c:pt idx="233">
                  <c:v>101.95753277636452</c:v>
                </c:pt>
                <c:pt idx="234">
                  <c:v>94.165243369987138</c:v>
                </c:pt>
                <c:pt idx="235">
                  <c:v>95.940931389987128</c:v>
                </c:pt>
                <c:pt idx="236">
                  <c:v>90.126315709987125</c:v>
                </c:pt>
                <c:pt idx="237">
                  <c:v>92.583022409987137</c:v>
                </c:pt>
                <c:pt idx="238">
                  <c:v>78.185484777987128</c:v>
                </c:pt>
                <c:pt idx="239">
                  <c:v>80.373116800517693</c:v>
                </c:pt>
                <c:pt idx="240">
                  <c:v>100.59527395651676</c:v>
                </c:pt>
                <c:pt idx="241">
                  <c:v>78.486777536517678</c:v>
                </c:pt>
                <c:pt idx="242">
                  <c:v>61.710580186517689</c:v>
                </c:pt>
                <c:pt idx="243">
                  <c:v>62.105505364517683</c:v>
                </c:pt>
                <c:pt idx="244">
                  <c:v>67.689349472517691</c:v>
                </c:pt>
                <c:pt idx="245">
                  <c:v>48.113297146517681</c:v>
                </c:pt>
                <c:pt idx="246">
                  <c:v>42.619816521668227</c:v>
                </c:pt>
                <c:pt idx="247">
                  <c:v>64.313447971668225</c:v>
                </c:pt>
                <c:pt idx="248">
                  <c:v>75.624265243669157</c:v>
                </c:pt>
                <c:pt idx="249">
                  <c:v>40.138169683668224</c:v>
                </c:pt>
                <c:pt idx="250">
                  <c:v>23.395089041669156</c:v>
                </c:pt>
                <c:pt idx="251">
                  <c:v>48.039766631668229</c:v>
                </c:pt>
                <c:pt idx="252">
                  <c:v>49.373965037669159</c:v>
                </c:pt>
                <c:pt idx="253">
                  <c:v>33.704585509775029</c:v>
                </c:pt>
                <c:pt idx="254">
                  <c:v>47.277197803775032</c:v>
                </c:pt>
                <c:pt idx="255">
                  <c:v>49.300718171775031</c:v>
                </c:pt>
                <c:pt idx="256">
                  <c:v>21.41234182177503</c:v>
                </c:pt>
                <c:pt idx="257">
                  <c:v>27.367468911775031</c:v>
                </c:pt>
                <c:pt idx="258">
                  <c:v>38.59618624177503</c:v>
                </c:pt>
                <c:pt idx="259">
                  <c:v>66.260391331775963</c:v>
                </c:pt>
                <c:pt idx="260">
                  <c:v>57.04045158485799</c:v>
                </c:pt>
                <c:pt idx="261">
                  <c:v>47.077626530858922</c:v>
                </c:pt>
                <c:pt idx="262">
                  <c:v>75.719266858857978</c:v>
                </c:pt>
                <c:pt idx="263">
                  <c:v>43.363908048857994</c:v>
                </c:pt>
                <c:pt idx="264">
                  <c:v>21.83003846885892</c:v>
                </c:pt>
                <c:pt idx="265">
                  <c:v>65.392766698857983</c:v>
                </c:pt>
                <c:pt idx="266">
                  <c:v>50.397212048858911</c:v>
                </c:pt>
                <c:pt idx="267">
                  <c:v>86.926067344620051</c:v>
                </c:pt>
                <c:pt idx="268">
                  <c:v>94.078569926620986</c:v>
                </c:pt>
                <c:pt idx="269">
                  <c:v>99.235658760620055</c:v>
                </c:pt>
                <c:pt idx="270">
                  <c:v>91.517316510620049</c:v>
                </c:pt>
                <c:pt idx="271">
                  <c:v>77.204728650620993</c:v>
                </c:pt>
                <c:pt idx="272">
                  <c:v>98.923464460620039</c:v>
                </c:pt>
                <c:pt idx="273">
                  <c:v>101.44524273062005</c:v>
                </c:pt>
                <c:pt idx="274">
                  <c:v>120.59631724353227</c:v>
                </c:pt>
                <c:pt idx="275">
                  <c:v>120.59631724353227</c:v>
                </c:pt>
                <c:pt idx="276">
                  <c:v>120.04142913099631</c:v>
                </c:pt>
                <c:pt idx="277">
                  <c:v>120.04142913099631</c:v>
                </c:pt>
                <c:pt idx="278">
                  <c:v>120.04142913099631</c:v>
                </c:pt>
                <c:pt idx="279">
                  <c:v>120.04142913099631</c:v>
                </c:pt>
                <c:pt idx="280">
                  <c:v>120.04142913099631</c:v>
                </c:pt>
                <c:pt idx="281">
                  <c:v>120.04142913099631</c:v>
                </c:pt>
                <c:pt idx="282">
                  <c:v>120.04142913099631</c:v>
                </c:pt>
                <c:pt idx="283">
                  <c:v>120.04142913099631</c:v>
                </c:pt>
                <c:pt idx="284">
                  <c:v>120.04142913099631</c:v>
                </c:pt>
                <c:pt idx="285">
                  <c:v>114.23968854384995</c:v>
                </c:pt>
                <c:pt idx="286">
                  <c:v>120.04142913099631</c:v>
                </c:pt>
                <c:pt idx="287">
                  <c:v>120.04142913099631</c:v>
                </c:pt>
                <c:pt idx="288">
                  <c:v>120.04142913099631</c:v>
                </c:pt>
                <c:pt idx="289">
                  <c:v>103.61933332644728</c:v>
                </c:pt>
                <c:pt idx="290">
                  <c:v>107.91993847844542</c:v>
                </c:pt>
                <c:pt idx="291">
                  <c:v>94.657826232447277</c:v>
                </c:pt>
                <c:pt idx="292">
                  <c:v>84.414197128447285</c:v>
                </c:pt>
                <c:pt idx="293">
                  <c:v>109.91337516244728</c:v>
                </c:pt>
                <c:pt idx="294">
                  <c:v>119.44001481844542</c:v>
                </c:pt>
                <c:pt idx="295">
                  <c:v>87.654566587945766</c:v>
                </c:pt>
                <c:pt idx="296">
                  <c:v>79.100640777947632</c:v>
                </c:pt>
                <c:pt idx="297">
                  <c:v>75.29656747794948</c:v>
                </c:pt>
                <c:pt idx="298">
                  <c:v>64.67373701394763</c:v>
                </c:pt>
                <c:pt idx="299">
                  <c:v>66.547907371945769</c:v>
                </c:pt>
                <c:pt idx="300">
                  <c:v>91.929126957949492</c:v>
                </c:pt>
                <c:pt idx="301">
                  <c:v>75.529221327947624</c:v>
                </c:pt>
                <c:pt idx="302">
                  <c:v>69.289263910232478</c:v>
                </c:pt>
                <c:pt idx="303">
                  <c:v>63.050286326230605</c:v>
                </c:pt>
                <c:pt idx="304">
                  <c:v>70.277278594230609</c:v>
                </c:pt>
                <c:pt idx="305">
                  <c:v>55.063279526230609</c:v>
                </c:pt>
                <c:pt idx="306">
                  <c:v>40.958432326230607</c:v>
                </c:pt>
                <c:pt idx="307">
                  <c:v>48.805438076230608</c:v>
                </c:pt>
                <c:pt idx="308">
                  <c:v>50.547411536228744</c:v>
                </c:pt>
                <c:pt idx="309">
                  <c:v>97.01271852355444</c:v>
                </c:pt>
                <c:pt idx="310">
                  <c:v>113.77196696755446</c:v>
                </c:pt>
                <c:pt idx="311">
                  <c:v>132.90693384979679</c:v>
                </c:pt>
                <c:pt idx="312">
                  <c:v>132.90693384979679</c:v>
                </c:pt>
                <c:pt idx="313">
                  <c:v>106.05562519355446</c:v>
                </c:pt>
                <c:pt idx="314">
                  <c:v>131.23816403755447</c:v>
                </c:pt>
                <c:pt idx="315">
                  <c:v>122.21529737355259</c:v>
                </c:pt>
                <c:pt idx="316">
                  <c:v>66.401825921277947</c:v>
                </c:pt>
                <c:pt idx="317">
                  <c:v>83.578813791277952</c:v>
                </c:pt>
                <c:pt idx="318">
                  <c:v>97.28867130127982</c:v>
                </c:pt>
                <c:pt idx="319">
                  <c:v>74.691771641277953</c:v>
                </c:pt>
                <c:pt idx="320">
                  <c:v>41.066370621277947</c:v>
                </c:pt>
                <c:pt idx="321">
                  <c:v>61.15964948127796</c:v>
                </c:pt>
                <c:pt idx="322">
                  <c:v>61.975206013277955</c:v>
                </c:pt>
                <c:pt idx="323">
                  <c:v>59.04501076469046</c:v>
                </c:pt>
                <c:pt idx="324">
                  <c:v>74.889885428690448</c:v>
                </c:pt>
                <c:pt idx="325">
                  <c:v>98.914973132690463</c:v>
                </c:pt>
                <c:pt idx="326">
                  <c:v>68.305593472692308</c:v>
                </c:pt>
                <c:pt idx="327">
                  <c:v>41.294560642690456</c:v>
                </c:pt>
                <c:pt idx="328">
                  <c:v>42.070215022690455</c:v>
                </c:pt>
                <c:pt idx="329">
                  <c:v>37.89081406269046</c:v>
                </c:pt>
                <c:pt idx="330">
                  <c:v>39.164603627379492</c:v>
                </c:pt>
                <c:pt idx="331">
                  <c:v>50.549527553381346</c:v>
                </c:pt>
                <c:pt idx="332">
                  <c:v>62.508611467379481</c:v>
                </c:pt>
                <c:pt idx="333">
                  <c:v>40.584141867379493</c:v>
                </c:pt>
                <c:pt idx="334">
                  <c:v>51.808680707385072</c:v>
                </c:pt>
                <c:pt idx="335">
                  <c:v>76.65771883938136</c:v>
                </c:pt>
                <c:pt idx="336">
                  <c:v>73.103140955377611</c:v>
                </c:pt>
                <c:pt idx="337">
                  <c:v>45.01858317977959</c:v>
                </c:pt>
                <c:pt idx="338">
                  <c:v>42.325144523779592</c:v>
                </c:pt>
                <c:pt idx="339">
                  <c:v>53.114143071777725</c:v>
                </c:pt>
                <c:pt idx="340">
                  <c:v>35.382675467779592</c:v>
                </c:pt>
                <c:pt idx="341">
                  <c:v>30.349885119777724</c:v>
                </c:pt>
                <c:pt idx="342">
                  <c:v>38.869087747777733</c:v>
                </c:pt>
                <c:pt idx="343">
                  <c:v>35.440293803779589</c:v>
                </c:pt>
                <c:pt idx="344">
                  <c:v>73.569345241523081</c:v>
                </c:pt>
                <c:pt idx="345">
                  <c:v>81.876537213523108</c:v>
                </c:pt>
                <c:pt idx="346">
                  <c:v>81.248949489523099</c:v>
                </c:pt>
                <c:pt idx="347">
                  <c:v>71.754454277523095</c:v>
                </c:pt>
                <c:pt idx="348">
                  <c:v>65.207499237523095</c:v>
                </c:pt>
                <c:pt idx="349">
                  <c:v>75.083972453521227</c:v>
                </c:pt>
                <c:pt idx="350">
                  <c:v>82.7277009815231</c:v>
                </c:pt>
                <c:pt idx="351">
                  <c:v>99.887771316209069</c:v>
                </c:pt>
                <c:pt idx="352">
                  <c:v>97.503805000207208</c:v>
                </c:pt>
                <c:pt idx="353">
                  <c:v>76.237347956209064</c:v>
                </c:pt>
                <c:pt idx="354">
                  <c:v>73.371422276207213</c:v>
                </c:pt>
                <c:pt idx="355">
                  <c:v>82.086943796209056</c:v>
                </c:pt>
                <c:pt idx="356">
                  <c:v>83.039042272209073</c:v>
                </c:pt>
                <c:pt idx="357">
                  <c:v>84.907127912207216</c:v>
                </c:pt>
                <c:pt idx="358">
                  <c:v>120.09120279154841</c:v>
                </c:pt>
                <c:pt idx="359">
                  <c:v>122.04502637154656</c:v>
                </c:pt>
                <c:pt idx="360">
                  <c:v>128.77123560535</c:v>
                </c:pt>
                <c:pt idx="361">
                  <c:v>128.77123560535</c:v>
                </c:pt>
                <c:pt idx="362">
                  <c:v>124.74557389154842</c:v>
                </c:pt>
                <c:pt idx="363">
                  <c:v>128.77123560535</c:v>
                </c:pt>
                <c:pt idx="364">
                  <c:v>128.77123560535</c:v>
                </c:pt>
                <c:pt idx="365">
                  <c:v>105.65373260469035</c:v>
                </c:pt>
                <c:pt idx="366">
                  <c:v>100.06853757899054</c:v>
                </c:pt>
                <c:pt idx="367">
                  <c:v>102.81004228298868</c:v>
                </c:pt>
                <c:pt idx="368">
                  <c:v>101.23971845099054</c:v>
                </c:pt>
                <c:pt idx="369">
                  <c:v>93.939445794990547</c:v>
                </c:pt>
                <c:pt idx="370">
                  <c:v>105.65373260469035</c:v>
                </c:pt>
                <c:pt idx="371">
                  <c:v>103.93047935099054</c:v>
                </c:pt>
                <c:pt idx="372">
                  <c:v>66.189202729308803</c:v>
                </c:pt>
                <c:pt idx="373">
                  <c:v>74.412695409306934</c:v>
                </c:pt>
                <c:pt idx="374">
                  <c:v>83.627382461306937</c:v>
                </c:pt>
                <c:pt idx="375">
                  <c:v>75.943218089306924</c:v>
                </c:pt>
                <c:pt idx="376">
                  <c:v>66.288154533306923</c:v>
                </c:pt>
                <c:pt idx="377">
                  <c:v>71.954015609306921</c:v>
                </c:pt>
                <c:pt idx="378">
                  <c:v>75.274204213308792</c:v>
                </c:pt>
                <c:pt idx="379">
                  <c:v>74.34173817415514</c:v>
                </c:pt>
                <c:pt idx="380">
                  <c:v>67.959188766156998</c:v>
                </c:pt>
                <c:pt idx="381">
                  <c:v>65.692982786156989</c:v>
                </c:pt>
                <c:pt idx="382">
                  <c:v>64.505841354155137</c:v>
                </c:pt>
                <c:pt idx="383">
                  <c:v>60.628721762158854</c:v>
                </c:pt>
                <c:pt idx="384">
                  <c:v>72.604453906155129</c:v>
                </c:pt>
                <c:pt idx="385">
                  <c:v>76.283293826155131</c:v>
                </c:pt>
                <c:pt idx="386">
                  <c:v>65.635779093736303</c:v>
                </c:pt>
                <c:pt idx="387">
                  <c:v>60.05188925373443</c:v>
                </c:pt>
                <c:pt idx="388">
                  <c:v>59.146729805736292</c:v>
                </c:pt>
                <c:pt idx="389">
                  <c:v>57.372487131732569</c:v>
                </c:pt>
                <c:pt idx="390">
                  <c:v>54.61047347173816</c:v>
                </c:pt>
                <c:pt idx="391">
                  <c:v>58.416215127732571</c:v>
                </c:pt>
                <c:pt idx="392">
                  <c:v>53.367108333734429</c:v>
                </c:pt>
                <c:pt idx="393">
                  <c:v>46.932252174643338</c:v>
                </c:pt>
                <c:pt idx="394">
                  <c:v>47.351127922641481</c:v>
                </c:pt>
                <c:pt idx="395">
                  <c:v>54.088175124643342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595-4141-A914-5A20A00A4C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374111584"/>
        <c:axId val="374111192"/>
      </c:areaChart>
      <c:barChart>
        <c:barDir val="col"/>
        <c:grouping val="clustered"/>
        <c:varyColors val="0"/>
        <c:ser>
          <c:idx val="3"/>
          <c:order val="3"/>
          <c:spPr>
            <a:solidFill>
              <a:schemeClr val="bg1">
                <a:alpha val="0"/>
              </a:schemeClr>
            </a:solidFill>
          </c:spPr>
          <c:invertIfNegative val="0"/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EE-4F90-848E-8FD15B7EB186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EE-4F90-848E-8FD15B7EB186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EE-4F90-848E-8FD15B7EB186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EE-4F90-848E-8FD15B7EB186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EE-4F90-848E-8FD15B7EB186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EE-4F90-848E-8FD15B7EB186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EE-4F90-848E-8FD15B7EB186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7EE-4F90-848E-8FD15B7EB186}"/>
                </c:ext>
              </c:extLst>
            </c:dLbl>
            <c:dLbl>
              <c:idx val="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EE-4F90-848E-8FD15B7EB186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EE-4F90-848E-8FD15B7EB186}"/>
                </c:ext>
              </c:extLst>
            </c:dLbl>
            <c:dLbl>
              <c:idx val="1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EE-4F90-848E-8FD15B7EB186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EE-4F90-848E-8FD15B7EB186}"/>
                </c:ext>
              </c:extLst>
            </c:dLbl>
            <c:dLbl>
              <c:idx val="1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595-4141-A914-5A20A00A4C60}"/>
                </c:ext>
              </c:extLst>
            </c:dLbl>
            <c:dLbl>
              <c:idx val="14"/>
              <c:layout>
                <c:manualLayout>
                  <c:x val="0"/>
                  <c:y val="-1.57480314960629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595-4141-A914-5A20A00A4C60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EE-4F90-848E-8FD15B7EB186}"/>
                </c:ext>
              </c:extLst>
            </c:dLbl>
            <c:dLbl>
              <c:idx val="1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EE-4F90-848E-8FD15B7EB186}"/>
                </c:ext>
              </c:extLst>
            </c:dLbl>
            <c:dLbl>
              <c:idx val="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EE-4F90-848E-8FD15B7EB186}"/>
                </c:ext>
              </c:extLst>
            </c:dLbl>
            <c:dLbl>
              <c:idx val="1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EE-4F90-848E-8FD15B7EB186}"/>
                </c:ext>
              </c:extLst>
            </c:dLbl>
            <c:dLbl>
              <c:idx val="1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EE-4F90-848E-8FD15B7EB186}"/>
                </c:ext>
              </c:extLst>
            </c:dLbl>
            <c:dLbl>
              <c:idx val="2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EE-4F90-848E-8FD15B7EB186}"/>
                </c:ext>
              </c:extLst>
            </c:dLbl>
            <c:dLbl>
              <c:idx val="2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EE-4F90-848E-8FD15B7EB186}"/>
                </c:ext>
              </c:extLst>
            </c:dLbl>
            <c:dLbl>
              <c:idx val="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EE-4F90-848E-8FD15B7EB186}"/>
                </c:ext>
              </c:extLst>
            </c:dLbl>
            <c:dLbl>
              <c:idx val="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EE-4F90-848E-8FD15B7EB186}"/>
                </c:ext>
              </c:extLst>
            </c:dLbl>
            <c:dLbl>
              <c:idx val="2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EE-4F90-848E-8FD15B7EB186}"/>
                </c:ext>
              </c:extLst>
            </c:dLbl>
            <c:dLbl>
              <c:idx val="2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EE-4F90-848E-8FD15B7EB186}"/>
                </c:ext>
              </c:extLst>
            </c:dLbl>
            <c:dLbl>
              <c:idx val="3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A7EE-4F90-848E-8FD15B7EB186}"/>
                </c:ext>
              </c:extLst>
            </c:dLbl>
            <c:dLbl>
              <c:idx val="3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EE-4F90-848E-8FD15B7EB186}"/>
                </c:ext>
              </c:extLst>
            </c:dLbl>
            <c:dLbl>
              <c:idx val="4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E-4F90-848E-8FD15B7EB186}"/>
                </c:ext>
              </c:extLst>
            </c:dLbl>
            <c:dLbl>
              <c:idx val="4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595-4141-A914-5A20A00A4C60}"/>
                </c:ext>
              </c:extLst>
            </c:dLbl>
            <c:dLbl>
              <c:idx val="4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A7EE-4F90-848E-8FD15B7EB186}"/>
                </c:ext>
              </c:extLst>
            </c:dLbl>
            <c:dLbl>
              <c:idx val="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12-4C36-B694-A5F454277396}"/>
                </c:ext>
              </c:extLst>
            </c:dLbl>
            <c:dLbl>
              <c:idx val="45"/>
              <c:layout>
                <c:manualLayout>
                  <c:x val="-1.8091361374943465E-3"/>
                  <c:y val="-0.1212858542742780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A7EE-4F90-848E-8FD15B7EB186}"/>
                </c:ext>
              </c:extLst>
            </c:dLbl>
            <c:dLbl>
              <c:idx val="4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A7EE-4F90-848E-8FD15B7EB186}"/>
                </c:ext>
              </c:extLst>
            </c:dLbl>
            <c:dLbl>
              <c:idx val="4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A7EE-4F90-848E-8FD15B7EB186}"/>
                </c:ext>
              </c:extLst>
            </c:dLbl>
            <c:dLbl>
              <c:idx val="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A7EE-4F90-848E-8FD15B7EB186}"/>
                </c:ext>
              </c:extLst>
            </c:dLbl>
            <c:dLbl>
              <c:idx val="4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A7EE-4F90-848E-8FD15B7EB186}"/>
                </c:ext>
              </c:extLst>
            </c:dLbl>
            <c:dLbl>
              <c:idx val="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A7EE-4F90-848E-8FD15B7EB186}"/>
                </c:ext>
              </c:extLst>
            </c:dLbl>
            <c:dLbl>
              <c:idx val="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4-A7EE-4F90-848E-8FD15B7EB186}"/>
                </c:ext>
              </c:extLst>
            </c:dLbl>
            <c:dLbl>
              <c:idx val="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A7EE-4F90-848E-8FD15B7EB186}"/>
                </c:ext>
              </c:extLst>
            </c:dLbl>
            <c:dLbl>
              <c:idx val="5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A7EE-4F90-848E-8FD15B7EB186}"/>
                </c:ext>
              </c:extLst>
            </c:dLbl>
            <c:dLbl>
              <c:idx val="5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A7EE-4F90-848E-8FD15B7EB186}"/>
                </c:ext>
              </c:extLst>
            </c:dLbl>
            <c:dLbl>
              <c:idx val="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A7EE-4F90-848E-8FD15B7EB186}"/>
                </c:ext>
              </c:extLst>
            </c:dLbl>
            <c:dLbl>
              <c:idx val="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A7EE-4F90-848E-8FD15B7EB186}"/>
                </c:ext>
              </c:extLst>
            </c:dLbl>
            <c:dLbl>
              <c:idx val="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EE-4F90-848E-8FD15B7EB186}"/>
                </c:ext>
              </c:extLst>
            </c:dLbl>
            <c:dLbl>
              <c:idx val="6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EE-4F90-848E-8FD15B7EB186}"/>
                </c:ext>
              </c:extLst>
            </c:dLbl>
            <c:dLbl>
              <c:idx val="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595-4141-A914-5A20A00A4C60}"/>
                </c:ext>
              </c:extLst>
            </c:dLbl>
            <c:dLbl>
              <c:idx val="75"/>
              <c:layout>
                <c:manualLayout>
                  <c:x val="0"/>
                  <c:y val="-3.149606299212598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595-4141-A914-5A20A00A4C60}"/>
                </c:ext>
              </c:extLst>
            </c:dLbl>
            <c:dLbl>
              <c:idx val="7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595-4141-A914-5A20A00A4C60}"/>
                </c:ext>
              </c:extLst>
            </c:dLbl>
            <c:dLbl>
              <c:idx val="10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595-4141-A914-5A20A00A4C60}"/>
                </c:ext>
              </c:extLst>
            </c:dLbl>
            <c:dLbl>
              <c:idx val="10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595-4141-A914-5A20A00A4C60}"/>
                </c:ext>
              </c:extLst>
            </c:dLbl>
            <c:dLbl>
              <c:idx val="1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595-4141-A914-5A20A00A4C60}"/>
                </c:ext>
              </c:extLst>
            </c:dLbl>
            <c:dLbl>
              <c:idx val="106"/>
              <c:layout>
                <c:manualLayout>
                  <c:x val="3.6182722749886929E-3"/>
                  <c:y val="-2.109319204770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595-4141-A914-5A20A00A4C60}"/>
                </c:ext>
              </c:extLst>
            </c:dLbl>
            <c:dLbl>
              <c:idx val="13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595-4141-A914-5A20A00A4C60}"/>
                </c:ext>
              </c:extLst>
            </c:dLbl>
            <c:dLbl>
              <c:idx val="13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595-4141-A914-5A20A00A4C60}"/>
                </c:ext>
              </c:extLst>
            </c:dLbl>
            <c:dLbl>
              <c:idx val="13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595-4141-A914-5A20A00A4C60}"/>
                </c:ext>
              </c:extLst>
            </c:dLbl>
            <c:dLbl>
              <c:idx val="137"/>
              <c:layout>
                <c:manualLayout>
                  <c:x val="0"/>
                  <c:y val="-2.1093192047700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A7EE-4F90-848E-8FD15B7EB186}"/>
                </c:ext>
              </c:extLst>
            </c:dLbl>
            <c:dLbl>
              <c:idx val="16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595-4141-A914-5A20A00A4C60}"/>
                </c:ext>
              </c:extLst>
            </c:dLbl>
            <c:dLbl>
              <c:idx val="16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595-4141-A914-5A20A00A4C60}"/>
                </c:ext>
              </c:extLst>
            </c:dLbl>
            <c:dLbl>
              <c:idx val="167"/>
              <c:layout>
                <c:manualLayout>
                  <c:x val="-5.4274084124831057E-3"/>
                  <c:y val="-5.7886694680197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595-4141-A914-5A20A00A4C60}"/>
                </c:ext>
              </c:extLst>
            </c:dLbl>
            <c:dLbl>
              <c:idx val="18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A7EE-4F90-848E-8FD15B7EB186}"/>
                </c:ext>
              </c:extLst>
            </c:dLbl>
            <c:dLbl>
              <c:idx val="19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A7EE-4F90-848E-8FD15B7EB186}"/>
                </c:ext>
              </c:extLst>
            </c:dLbl>
            <c:dLbl>
              <c:idx val="19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F595-4141-A914-5A20A00A4C60}"/>
                </c:ext>
              </c:extLst>
            </c:dLbl>
            <c:dLbl>
              <c:idx val="19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F595-4141-A914-5A20A00A4C60}"/>
                </c:ext>
              </c:extLst>
            </c:dLbl>
            <c:dLbl>
              <c:idx val="19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F595-4141-A914-5A20A00A4C60}"/>
                </c:ext>
              </c:extLst>
            </c:dLbl>
            <c:dLbl>
              <c:idx val="198"/>
              <c:layout>
                <c:manualLayout>
                  <c:x val="1.8091361374942801E-3"/>
                  <c:y val="-4.21863840954010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F595-4141-A914-5A20A00A4C60}"/>
                </c:ext>
              </c:extLst>
            </c:dLbl>
            <c:dLbl>
              <c:idx val="22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F595-4141-A914-5A20A00A4C60}"/>
                </c:ext>
              </c:extLst>
            </c:dLbl>
            <c:dLbl>
              <c:idx val="228"/>
              <c:layout>
                <c:manualLayout>
                  <c:x val="1.8091361374943465E-3"/>
                  <c:y val="-3.6529837731900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F595-4141-A914-5A20A00A4C60}"/>
                </c:ext>
              </c:extLst>
            </c:dLbl>
            <c:dLbl>
              <c:idx val="23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A7EE-4F90-848E-8FD15B7EB186}"/>
                </c:ext>
              </c:extLst>
            </c:dLbl>
            <c:dLbl>
              <c:idx val="25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A7EE-4F90-848E-8FD15B7EB186}"/>
                </c:ext>
              </c:extLst>
            </c:dLbl>
            <c:dLbl>
              <c:idx val="2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F595-4141-A914-5A20A00A4C60}"/>
                </c:ext>
              </c:extLst>
            </c:dLbl>
            <c:dLbl>
              <c:idx val="2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F595-4141-A914-5A20A00A4C60}"/>
                </c:ext>
              </c:extLst>
            </c:dLbl>
            <c:dLbl>
              <c:idx val="2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F595-4141-A914-5A20A00A4C60}"/>
                </c:ext>
              </c:extLst>
            </c:dLbl>
            <c:dLbl>
              <c:idx val="27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A7EE-4F90-848E-8FD15B7EB186}"/>
                </c:ext>
              </c:extLst>
            </c:dLbl>
            <c:dLbl>
              <c:idx val="27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A7EE-4F90-848E-8FD15B7EB186}"/>
                </c:ext>
              </c:extLst>
            </c:dLbl>
            <c:dLbl>
              <c:idx val="28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A7EE-4F90-848E-8FD15B7EB186}"/>
                </c:ext>
              </c:extLst>
            </c:dLbl>
            <c:dLbl>
              <c:idx val="28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F595-4141-A914-5A20A00A4C60}"/>
                </c:ext>
              </c:extLst>
            </c:dLbl>
            <c:dLbl>
              <c:idx val="28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F595-4141-A914-5A20A00A4C60}"/>
                </c:ext>
              </c:extLst>
            </c:dLbl>
            <c:dLbl>
              <c:idx val="28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12-4C36-B694-A5F454277396}"/>
                </c:ext>
              </c:extLst>
            </c:dLbl>
            <c:dLbl>
              <c:idx val="299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A7EE-4F90-848E-8FD15B7EB186}"/>
                </c:ext>
              </c:extLst>
            </c:dLbl>
            <c:dLbl>
              <c:idx val="30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A7EE-4F90-848E-8FD15B7EB186}"/>
                </c:ext>
              </c:extLst>
            </c:dLbl>
            <c:dLbl>
              <c:idx val="31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A7EE-4F90-848E-8FD15B7EB186}"/>
                </c:ext>
              </c:extLst>
            </c:dLbl>
            <c:dLbl>
              <c:idx val="31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F595-4141-A914-5A20A00A4C60}"/>
                </c:ext>
              </c:extLst>
            </c:dLbl>
            <c:dLbl>
              <c:idx val="32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B12-4C36-B694-A5F454277396}"/>
                </c:ext>
              </c:extLst>
            </c:dLbl>
            <c:dLbl>
              <c:idx val="32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A7EE-4F90-848E-8FD15B7EB186}"/>
                </c:ext>
              </c:extLst>
            </c:dLbl>
            <c:dLbl>
              <c:idx val="33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A7EE-4F90-848E-8FD15B7EB186}"/>
                </c:ext>
              </c:extLst>
            </c:dLbl>
            <c:dLbl>
              <c:idx val="34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7EE-4F90-848E-8FD15B7EB186}"/>
                </c:ext>
              </c:extLst>
            </c:dLbl>
            <c:dLbl>
              <c:idx val="34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B12-4C36-B694-A5F454277396}"/>
                </c:ext>
              </c:extLst>
            </c:dLbl>
            <c:dLbl>
              <c:idx val="35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A7EE-4F90-848E-8FD15B7EB186}"/>
                </c:ext>
              </c:extLst>
            </c:dLbl>
            <c:dLbl>
              <c:idx val="35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F595-4141-A914-5A20A00A4C60}"/>
                </c:ext>
              </c:extLst>
            </c:dLbl>
            <c:dLbl>
              <c:idx val="35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A7EE-4F90-848E-8FD15B7EB186}"/>
                </c:ext>
              </c:extLst>
            </c:dLbl>
            <c:dLbl>
              <c:idx val="35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7EE-4F90-848E-8FD15B7EB186}"/>
                </c:ext>
              </c:extLst>
            </c:dLbl>
            <c:dLbl>
              <c:idx val="35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A7EE-4F90-848E-8FD15B7EB186}"/>
                </c:ext>
              </c:extLst>
            </c:dLbl>
            <c:dLbl>
              <c:idx val="35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A7EE-4F90-848E-8FD15B7EB186}"/>
                </c:ext>
              </c:extLst>
            </c:dLbl>
            <c:dLbl>
              <c:idx val="36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A7EE-4F90-848E-8FD15B7EB186}"/>
                </c:ext>
              </c:extLst>
            </c:dLbl>
            <c:dLbl>
              <c:idx val="37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A7EE-4F90-848E-8FD15B7EB186}"/>
                </c:ext>
              </c:extLst>
            </c:dLbl>
            <c:dLbl>
              <c:idx val="379"/>
              <c:layout>
                <c:manualLayout>
                  <c:x val="5.4274084124830389E-3"/>
                  <c:y val="-5.24934383202109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F595-4141-A914-5A20A00A4C6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700" b="0" i="0" u="none" strike="noStrike" kern="1200" baseline="0">
                    <a:solidFill>
                      <a:srgbClr val="004563"/>
                    </a:solidFill>
                    <a:latin typeface="Arial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Dat_02!$F$4:$F$400</c:f>
              <c:strCache>
                <c:ptCount val="379"/>
                <c:pt idx="13">
                  <c:v>M</c:v>
                </c:pt>
                <c:pt idx="44">
                  <c:v>J</c:v>
                </c:pt>
                <c:pt idx="74">
                  <c:v>J</c:v>
                </c:pt>
                <c:pt idx="105">
                  <c:v>A</c:v>
                </c:pt>
                <c:pt idx="136">
                  <c:v>S</c:v>
                </c:pt>
                <c:pt idx="166">
                  <c:v>O</c:v>
                </c:pt>
                <c:pt idx="197">
                  <c:v>N</c:v>
                </c:pt>
                <c:pt idx="227">
                  <c:v>D</c:v>
                </c:pt>
                <c:pt idx="258">
                  <c:v>E</c:v>
                </c:pt>
                <c:pt idx="289">
                  <c:v>F</c:v>
                </c:pt>
                <c:pt idx="317">
                  <c:v>M</c:v>
                </c:pt>
                <c:pt idx="348">
                  <c:v>A</c:v>
                </c:pt>
                <c:pt idx="378">
                  <c:v>M</c:v>
                </c:pt>
              </c:strCache>
              <c:extLst xmlns:c15="http://schemas.microsoft.com/office/drawing/2012/chart"/>
            </c:strRef>
          </c:cat>
          <c:val>
            <c:numRef>
              <c:f>Dat_02!$G$3:$G$398</c:f>
              <c:numCache>
                <c:formatCode>0</c:formatCode>
                <c:ptCount val="396"/>
                <c:pt idx="14">
                  <c:v>106.79032108965163</c:v>
                </c:pt>
                <c:pt idx="45">
                  <c:v>64.364342968573325</c:v>
                </c:pt>
                <c:pt idx="75">
                  <c:v>28.016997662909688</c:v>
                </c:pt>
                <c:pt idx="106">
                  <c:v>16.99706947525484</c:v>
                </c:pt>
                <c:pt idx="137">
                  <c:v>22.743378673520009</c:v>
                </c:pt>
                <c:pt idx="167">
                  <c:v>45.741764250654825</c:v>
                </c:pt>
                <c:pt idx="198">
                  <c:v>80.413851096189973</c:v>
                </c:pt>
                <c:pt idx="228">
                  <c:v>101.95753277636452</c:v>
                </c:pt>
                <c:pt idx="259">
                  <c:v>120.59631724353227</c:v>
                </c:pt>
                <c:pt idx="290">
                  <c:v>120.04142913099631</c:v>
                </c:pt>
                <c:pt idx="318">
                  <c:v>132.90693384979679</c:v>
                </c:pt>
                <c:pt idx="349">
                  <c:v>128.77123560535</c:v>
                </c:pt>
                <c:pt idx="379">
                  <c:v>105.65373260469035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6-F595-4141-A914-5A20A00A4C6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74111584"/>
        <c:axId val="374111192"/>
        <c:extLst/>
      </c:barChart>
      <c:catAx>
        <c:axId val="374111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7411119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4111192"/>
        <c:scaling>
          <c:orientation val="minMax"/>
          <c:max val="500"/>
        </c:scaling>
        <c:delete val="0"/>
        <c:axPos val="l"/>
        <c:majorGridlines>
          <c:spPr>
            <a:ln w="3175">
              <a:solidFill>
                <a:srgbClr val="006699"/>
              </a:solidFill>
              <a:prstDash val="sysDot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3.6580732700135683E-2"/>
              <c:y val="6.9175605017876701E-3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 w="9525">
            <a:solidFill>
              <a:srgbClr val="006699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74111584"/>
        <c:crosses val="autoZero"/>
        <c:crossBetween val="midCat"/>
        <c:majorUnit val="100"/>
      </c:valAx>
      <c:spPr>
        <a:solidFill>
          <a:srgbClr val="F5F5F5"/>
        </a:solidFill>
        <a:ln>
          <a:noFill/>
        </a:ln>
      </c:spPr>
    </c:plotArea>
    <c:legend>
      <c:legendPos val="t"/>
      <c:layout>
        <c:manualLayout>
          <c:xMode val="edge"/>
          <c:yMode val="edge"/>
          <c:x val="0.31693273076279305"/>
          <c:y val="1.5748031496062992E-2"/>
          <c:w val="0.33357008799951565"/>
          <c:h val="8.5205117076900816E-2"/>
        </c:manualLayout>
      </c:layout>
      <c:overlay val="0"/>
    </c:legend>
    <c:plotVisOnly val="1"/>
    <c:dispBlanksAs val="gap"/>
    <c:showDLblsOverMax val="0"/>
  </c:chart>
  <c:spPr>
    <a:solidFill>
      <a:srgbClr val="F5F5F5"/>
    </a:solidFill>
    <a:ln w="3175">
      <a:noFill/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 verticalDpi="1200"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19246025102119E-2"/>
          <c:y val="9.9541875447387268E-2"/>
          <c:w val="0.88296348670701863"/>
          <c:h val="0.65684680256901473"/>
        </c:manualLayout>
      </c:layout>
      <c:areaChart>
        <c:grouping val="standard"/>
        <c:varyColors val="0"/>
        <c:ser>
          <c:idx val="3"/>
          <c:order val="0"/>
          <c:tx>
            <c:strRef>
              <c:f>'Data 3'!$F$4</c:f>
              <c:strCache>
                <c:ptCount val="1"/>
                <c:pt idx="0">
                  <c:v>Máximo</c:v>
                </c:pt>
              </c:strCache>
            </c:strRef>
          </c:tx>
          <c:spPr>
            <a:solidFill>
              <a:srgbClr val="CCCCFF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3'!$F$41:$F$53</c:f>
              <c:numCache>
                <c:formatCode>#,##0\ _)</c:formatCode>
                <c:ptCount val="13"/>
                <c:pt idx="0">
                  <c:v>14103.7</c:v>
                </c:pt>
                <c:pt idx="1">
                  <c:v>13746.7</c:v>
                </c:pt>
                <c:pt idx="2">
                  <c:v>12258.4</c:v>
                </c:pt>
                <c:pt idx="3">
                  <c:v>10935.4</c:v>
                </c:pt>
                <c:pt idx="4">
                  <c:v>10117.5</c:v>
                </c:pt>
                <c:pt idx="5">
                  <c:v>9737.2663309</c:v>
                </c:pt>
                <c:pt idx="6">
                  <c:v>11146.955049999997</c:v>
                </c:pt>
                <c:pt idx="7">
                  <c:v>13456.058434449991</c:v>
                </c:pt>
                <c:pt idx="8">
                  <c:v>13020.290870750003</c:v>
                </c:pt>
                <c:pt idx="9">
                  <c:v>13213.723010049996</c:v>
                </c:pt>
                <c:pt idx="10">
                  <c:v>13690.625142599998</c:v>
                </c:pt>
                <c:pt idx="11">
                  <c:v>13853.30312085</c:v>
                </c:pt>
                <c:pt idx="12">
                  <c:v>14075.916087449999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2-4E51-A4A1-E66A27061152}"/>
            </c:ext>
          </c:extLst>
        </c:ser>
        <c:ser>
          <c:idx val="4"/>
          <c:order val="1"/>
          <c:tx>
            <c:strRef>
              <c:f>'Data 3'!$G$4</c:f>
              <c:strCache>
                <c:ptCount val="1"/>
                <c:pt idx="0">
                  <c:v>Mínimo</c:v>
                </c:pt>
              </c:strCache>
            </c:strRef>
          </c:tx>
          <c:spPr>
            <a:solidFill>
              <a:srgbClr val="F5F5F5"/>
            </a:solidFill>
            <a:ln w="25400">
              <a:noFill/>
            </a:ln>
          </c:spPr>
          <c:cat>
            <c:strRef>
              <c:f>'Data 3'!$C$41:$C$53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3'!$G$41:$G$53</c:f>
              <c:numCache>
                <c:formatCode>#,##0\ _)</c:formatCode>
                <c:ptCount val="13"/>
                <c:pt idx="0">
                  <c:v>6966.1</c:v>
                </c:pt>
                <c:pt idx="1">
                  <c:v>6477.8</c:v>
                </c:pt>
                <c:pt idx="2">
                  <c:v>5616.1</c:v>
                </c:pt>
                <c:pt idx="3">
                  <c:v>4910</c:v>
                </c:pt>
                <c:pt idx="4">
                  <c:v>4649.6000000000004</c:v>
                </c:pt>
                <c:pt idx="5">
                  <c:v>4395.4606318624037</c:v>
                </c:pt>
                <c:pt idx="6">
                  <c:v>4794.2765906499999</c:v>
                </c:pt>
                <c:pt idx="7">
                  <c:v>5331.3250531999984</c:v>
                </c:pt>
                <c:pt idx="8">
                  <c:v>5449.8113076999989</c:v>
                </c:pt>
                <c:pt idx="9">
                  <c:v>5542.2838559499978</c:v>
                </c:pt>
                <c:pt idx="10">
                  <c:v>5759.1679040999989</c:v>
                </c:pt>
                <c:pt idx="11">
                  <c:v>7055.2102049999985</c:v>
                </c:pt>
                <c:pt idx="12">
                  <c:v>7043.3783189999976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74114328"/>
        <c:axId val="374114720"/>
      </c:areaChart>
      <c:lineChart>
        <c:grouping val="standard"/>
        <c:varyColors val="0"/>
        <c:ser>
          <c:idx val="0"/>
          <c:order val="2"/>
          <c:tx>
            <c:strRef>
              <c:f>'Data 3'!$H$4</c:f>
              <c:strCache>
                <c:ptCount val="1"/>
                <c:pt idx="0">
                  <c:v>Media estadística (GWh)</c:v>
                </c:pt>
              </c:strCache>
            </c:strRef>
          </c:tx>
          <c:spPr>
            <a:ln w="254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3'!$H$41:$H$53</c:f>
              <c:numCache>
                <c:formatCode>#,##0\ _)</c:formatCode>
                <c:ptCount val="13"/>
                <c:pt idx="0">
                  <c:v>11479.8</c:v>
                </c:pt>
                <c:pt idx="1">
                  <c:v>10910.4</c:v>
                </c:pt>
                <c:pt idx="2">
                  <c:v>9805.5</c:v>
                </c:pt>
                <c:pt idx="3">
                  <c:v>8722.1</c:v>
                </c:pt>
                <c:pt idx="4">
                  <c:v>7980</c:v>
                </c:pt>
                <c:pt idx="5">
                  <c:v>7851.3065504312008</c:v>
                </c:pt>
                <c:pt idx="6">
                  <c:v>8185.911173848619</c:v>
                </c:pt>
                <c:pt idx="7">
                  <c:v>8645.3592049681756</c:v>
                </c:pt>
                <c:pt idx="8">
                  <c:v>9388.9296029958969</c:v>
                </c:pt>
                <c:pt idx="9">
                  <c:v>9889.1240943879329</c:v>
                </c:pt>
                <c:pt idx="10">
                  <c:v>10570.14772097053</c:v>
                </c:pt>
                <c:pt idx="11">
                  <c:v>11183.148309133439</c:v>
                </c:pt>
                <c:pt idx="12">
                  <c:v>11397.034267874862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32-4E51-A4A1-E66A27061152}"/>
            </c:ext>
          </c:extLst>
        </c:ser>
        <c:ser>
          <c:idx val="1"/>
          <c:order val="3"/>
          <c:tx>
            <c:strRef>
              <c:f>'Data 3'!$E$3:$E$4</c:f>
              <c:strCache>
                <c:ptCount val="2"/>
                <c:pt idx="0">
                  <c:v>Capacidad </c:v>
                </c:pt>
                <c:pt idx="1">
                  <c:v>máxima (GWh)</c:v>
                </c:pt>
              </c:strCache>
            </c:strRef>
          </c:tx>
          <c:spPr>
            <a:ln w="25400">
              <a:solidFill>
                <a:srgbClr val="92D05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3'!$E$41:$E$53</c:f>
              <c:numCache>
                <c:formatCode>#,##0\ _)</c:formatCode>
                <c:ptCount val="13"/>
                <c:pt idx="0">
                  <c:v>18538.071</c:v>
                </c:pt>
                <c:pt idx="1">
                  <c:v>18538.071</c:v>
                </c:pt>
                <c:pt idx="2">
                  <c:v>18538.071</c:v>
                </c:pt>
                <c:pt idx="3">
                  <c:v>18538.071</c:v>
                </c:pt>
                <c:pt idx="4">
                  <c:v>18538.071</c:v>
                </c:pt>
                <c:pt idx="5">
                  <c:v>18538.071</c:v>
                </c:pt>
                <c:pt idx="6">
                  <c:v>18538.071</c:v>
                </c:pt>
                <c:pt idx="7">
                  <c:v>18538.071</c:v>
                </c:pt>
                <c:pt idx="8">
                  <c:v>18538.071</c:v>
                </c:pt>
                <c:pt idx="9">
                  <c:v>18538.071</c:v>
                </c:pt>
                <c:pt idx="10">
                  <c:v>18538.071</c:v>
                </c:pt>
                <c:pt idx="11">
                  <c:v>18538.071</c:v>
                </c:pt>
                <c:pt idx="12">
                  <c:v>18538.071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32-4E51-A4A1-E66A27061152}"/>
            </c:ext>
          </c:extLst>
        </c:ser>
        <c:ser>
          <c:idx val="2"/>
          <c:order val="4"/>
          <c:tx>
            <c:strRef>
              <c:f>'Data 3'!$D$4</c:f>
              <c:strCache>
                <c:ptCount val="1"/>
                <c:pt idx="0">
                  <c:v>Reservas (GWh)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'Data 3'!$C$41:$C$53</c:f>
              <c:strCache>
                <c:ptCount val="13"/>
                <c:pt idx="0">
                  <c:v>M</c:v>
                </c:pt>
                <c:pt idx="1">
                  <c:v>J</c:v>
                </c:pt>
                <c:pt idx="2">
                  <c:v>J</c:v>
                </c:pt>
                <c:pt idx="3">
                  <c:v>A</c:v>
                </c:pt>
                <c:pt idx="4">
                  <c:v>S</c:v>
                </c:pt>
                <c:pt idx="5">
                  <c:v>O</c:v>
                </c:pt>
                <c:pt idx="6">
                  <c:v>N</c:v>
                </c:pt>
                <c:pt idx="7">
                  <c:v>D</c:v>
                </c:pt>
                <c:pt idx="8">
                  <c:v>E</c:v>
                </c:pt>
                <c:pt idx="9">
                  <c:v>F</c:v>
                </c:pt>
                <c:pt idx="10">
                  <c:v>M</c:v>
                </c:pt>
                <c:pt idx="11">
                  <c:v>A</c:v>
                </c:pt>
                <c:pt idx="12">
                  <c:v>M</c:v>
                </c:pt>
              </c:strCache>
            </c:strRef>
          </c:cat>
          <c:val>
            <c:numRef>
              <c:f>'Data 3'!$D$41:$D$53</c:f>
              <c:numCache>
                <c:formatCode>#,##0</c:formatCode>
                <c:ptCount val="13"/>
                <c:pt idx="0">
                  <c:v>12095.723247</c:v>
                </c:pt>
                <c:pt idx="1">
                  <c:v>11876.304858</c:v>
                </c:pt>
                <c:pt idx="2">
                  <c:v>10246.502908</c:v>
                </c:pt>
                <c:pt idx="3">
                  <c:v>9315.071518714738</c:v>
                </c:pt>
                <c:pt idx="4">
                  <c:v>8192.9385726801847</c:v>
                </c:pt>
                <c:pt idx="5">
                  <c:v>7628.6385403221575</c:v>
                </c:pt>
                <c:pt idx="6">
                  <c:v>8008.98</c:v>
                </c:pt>
                <c:pt idx="7">
                  <c:v>8172.2198288975142</c:v>
                </c:pt>
                <c:pt idx="8">
                  <c:v>8071.161100088786</c:v>
                </c:pt>
                <c:pt idx="9">
                  <c:v>8866.4553178436945</c:v>
                </c:pt>
                <c:pt idx="10">
                  <c:v>8992.1477604144093</c:v>
                </c:pt>
                <c:pt idx="11">
                  <c:v>9541.0680132165635</c:v>
                </c:pt>
                <c:pt idx="12">
                  <c:v>9882.0064054258182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632-4E51-A4A1-E66A270611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74114328"/>
        <c:axId val="374114720"/>
      </c:lineChart>
      <c:catAx>
        <c:axId val="374114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4F81BD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74114720"/>
        <c:crossesAt val="0"/>
        <c:auto val="0"/>
        <c:lblAlgn val="ctr"/>
        <c:lblOffset val="100"/>
        <c:tickLblSkip val="1"/>
        <c:tickMarkSkip val="1"/>
        <c:noMultiLvlLbl val="0"/>
      </c:catAx>
      <c:valAx>
        <c:axId val="3741147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4563"/>
                    </a:solidFill>
                    <a:latin typeface="Arial" panose="020B0604020202020204" pitchFamily="34" charset="0"/>
                    <a:ea typeface="Arial"/>
                    <a:cs typeface="Arial" panose="020B0604020202020204" pitchFamily="34" charset="0"/>
                  </a:defRPr>
                </a:pPr>
                <a:r>
                  <a:rPr lang="es-ES" b="0" i="0">
                    <a:solidFill>
                      <a:srgbClr val="004563"/>
                    </a:solidFill>
                    <a:latin typeface="Arial" panose="020B0604020202020204" pitchFamily="34" charset="0"/>
                    <a:cs typeface="Arial" panose="020B0604020202020204" pitchFamily="34" charset="0"/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9133446015583127E-2"/>
              <c:y val="2.098749735402305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chemeClr val="accent1"/>
            </a:solidFill>
            <a:prstDash val="sysDot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4563"/>
                </a:solidFill>
                <a:latin typeface="Arial" panose="020B0604020202020204" pitchFamily="34" charset="0"/>
                <a:ea typeface="Arial"/>
                <a:cs typeface="Arial" panose="020B0604020202020204" pitchFamily="34" charset="0"/>
              </a:defRPr>
            </a:pPr>
            <a:endParaRPr lang="es-ES"/>
          </a:p>
        </c:txPr>
        <c:crossAx val="37411432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6.4706340278893715E-2"/>
          <c:y val="2.3175760273782032E-2"/>
          <c:w val="0.85638161721932471"/>
          <c:h val="6.2259966001965407E-2"/>
        </c:manualLayout>
      </c:layout>
      <c:overlay val="0"/>
      <c:spPr>
        <a:solidFill>
          <a:srgbClr val="F5F5F5"/>
        </a:solidFill>
        <a:ln w="25400">
          <a:noFill/>
        </a:ln>
      </c:spPr>
      <c:txPr>
        <a:bodyPr/>
        <a:lstStyle/>
        <a:p>
          <a:pPr>
            <a:defRPr sz="700" b="0" i="0" u="none" strike="noStrike" baseline="0">
              <a:solidFill>
                <a:srgbClr val="004563"/>
              </a:solidFill>
              <a:latin typeface="Arial" panose="020B0604020202020204" pitchFamily="34" charset="0"/>
              <a:ea typeface="Geneva"/>
              <a:cs typeface="Arial" panose="020B0604020202020204" pitchFamily="34" charset="0"/>
            </a:defRPr>
          </a:pPr>
          <a:endParaRPr lang="es-ES"/>
        </a:p>
      </c:txPr>
    </c:legend>
    <c:plotVisOnly val="0"/>
    <c:dispBlanksAs val="gap"/>
    <c:showDLblsOverMax val="0"/>
  </c:chart>
  <c:spPr>
    <a:solidFill>
      <a:srgbClr val="F5F5F5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9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0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4.xml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167640</xdr:rowOff>
    </xdr:from>
    <xdr:to>
      <xdr:col>2</xdr:col>
      <xdr:colOff>895125</xdr:colOff>
      <xdr:row>2</xdr:row>
      <xdr:rowOff>176502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7165"/>
          <a:ext cx="885600" cy="275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26670</xdr:rowOff>
    </xdr:from>
    <xdr:to>
      <xdr:col>4</xdr:col>
      <xdr:colOff>6380369</xdr:colOff>
      <xdr:row>3</xdr:row>
      <xdr:rowOff>26670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 flipH="1">
          <a:off x="198119" y="493395"/>
          <a:ext cx="778245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16510</xdr:colOff>
      <xdr:row>5</xdr:row>
      <xdr:rowOff>38097</xdr:rowOff>
    </xdr:from>
    <xdr:to>
      <xdr:col>2</xdr:col>
      <xdr:colOff>1060510</xdr:colOff>
      <xdr:row>22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2">
          <a:grayscl/>
          <a:lum bright="4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7010" y="866772"/>
          <a:ext cx="1044000" cy="23241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11</xdr:col>
      <xdr:colOff>525</xdr:colOff>
      <xdr:row>3</xdr:row>
      <xdr:rowOff>28575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779197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4</xdr:col>
      <xdr:colOff>3922649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558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3914775</xdr:colOff>
      <xdr:row>21</xdr:row>
      <xdr:rowOff>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21</xdr:row>
      <xdr:rowOff>152400</xdr:rowOff>
    </xdr:from>
    <xdr:to>
      <xdr:col>4</xdr:col>
      <xdr:colOff>3905250</xdr:colOff>
      <xdr:row>37</xdr:row>
      <xdr:rowOff>152400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1504949</xdr:colOff>
      <xdr:row>10</xdr:row>
      <xdr:rowOff>114300</xdr:rowOff>
    </xdr:from>
    <xdr:to>
      <xdr:col>4</xdr:col>
      <xdr:colOff>2590798</xdr:colOff>
      <xdr:row>16</xdr:row>
      <xdr:rowOff>114300</xdr:rowOff>
    </xdr:to>
    <xdr:graphicFrame macro="">
      <xdr:nvGraphicFramePr>
        <xdr:cNvPr id="6" name="Graf3_and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1485900</xdr:colOff>
      <xdr:row>27</xdr:row>
      <xdr:rowOff>0</xdr:rowOff>
    </xdr:from>
    <xdr:to>
      <xdr:col>4</xdr:col>
      <xdr:colOff>2571749</xdr:colOff>
      <xdr:row>33</xdr:row>
      <xdr:rowOff>0</xdr:rowOff>
    </xdr:to>
    <xdr:graphicFrame macro="">
      <xdr:nvGraphicFramePr>
        <xdr:cNvPr id="9" name="Graf3_and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9524</xdr:colOff>
      <xdr:row>3</xdr:row>
      <xdr:rowOff>28575</xdr:rowOff>
    </xdr:from>
    <xdr:to>
      <xdr:col>7</xdr:col>
      <xdr:colOff>668324</xdr:colOff>
      <xdr:row>3</xdr:row>
      <xdr:rowOff>28575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ShapeType="1"/>
        </xdr:cNvSpPr>
      </xdr:nvSpPr>
      <xdr:spPr bwMode="auto">
        <a:xfrm flipH="1">
          <a:off x="200024" y="495300"/>
          <a:ext cx="102600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5</xdr:row>
      <xdr:rowOff>161925</xdr:rowOff>
    </xdr:from>
    <xdr:to>
      <xdr:col>4</xdr:col>
      <xdr:colOff>3914775</xdr:colOff>
      <xdr:row>20</xdr:row>
      <xdr:rowOff>152400</xdr:rowOff>
    </xdr:to>
    <xdr:graphicFrame macro="">
      <xdr:nvGraphicFramePr>
        <xdr:cNvPr id="4" name="Graf3_and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6</xdr:row>
      <xdr:rowOff>0</xdr:rowOff>
    </xdr:from>
    <xdr:to>
      <xdr:col>6</xdr:col>
      <xdr:colOff>3905250</xdr:colOff>
      <xdr:row>21</xdr:row>
      <xdr:rowOff>0</xdr:rowOff>
    </xdr:to>
    <xdr:graphicFrame macro="">
      <xdr:nvGraphicFramePr>
        <xdr:cNvPr id="5" name="Graf3_and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0</xdr:rowOff>
    </xdr:from>
    <xdr:to>
      <xdr:col>4</xdr:col>
      <xdr:colOff>7040879</xdr:colOff>
      <xdr:row>25</xdr:row>
      <xdr:rowOff>9525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25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25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6</xdr:row>
      <xdr:rowOff>9525</xdr:rowOff>
    </xdr:from>
    <xdr:to>
      <xdr:col>4</xdr:col>
      <xdr:colOff>7040879</xdr:colOff>
      <xdr:row>24</xdr:row>
      <xdr:rowOff>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7619</xdr:colOff>
      <xdr:row>3</xdr:row>
      <xdr:rowOff>19050</xdr:rowOff>
    </xdr:from>
    <xdr:to>
      <xdr:col>8</xdr:col>
      <xdr:colOff>1647824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>
          <a:spLocks noChangeShapeType="1"/>
        </xdr:cNvSpPr>
      </xdr:nvSpPr>
      <xdr:spPr bwMode="auto">
        <a:xfrm flipH="1">
          <a:off x="198119" y="476250"/>
          <a:ext cx="7431405" cy="762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7621</xdr:colOff>
      <xdr:row>6</xdr:row>
      <xdr:rowOff>3810</xdr:rowOff>
    </xdr:from>
    <xdr:to>
      <xdr:col>4</xdr:col>
      <xdr:colOff>7038975</xdr:colOff>
      <xdr:row>24</xdr:row>
      <xdr:rowOff>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2</xdr:col>
      <xdr:colOff>7620</xdr:colOff>
      <xdr:row>1</xdr:row>
      <xdr:rowOff>160020</xdr:rowOff>
    </xdr:from>
    <xdr:to>
      <xdr:col>2</xdr:col>
      <xdr:colOff>893445</xdr:colOff>
      <xdr:row>2</xdr:row>
      <xdr:rowOff>169545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120" y="16002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7620</xdr:colOff>
      <xdr:row>3</xdr:row>
      <xdr:rowOff>26670</xdr:rowOff>
    </xdr:from>
    <xdr:to>
      <xdr:col>5</xdr:col>
      <xdr:colOff>2880</xdr:colOff>
      <xdr:row>3</xdr:row>
      <xdr:rowOff>26670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 noChangeShapeType="1"/>
        </xdr:cNvSpPr>
      </xdr:nvSpPr>
      <xdr:spPr bwMode="auto">
        <a:xfrm flipH="1">
          <a:off x="198120" y="48387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9525</xdr:colOff>
      <xdr:row>3</xdr:row>
      <xdr:rowOff>0</xdr:rowOff>
    </xdr:from>
    <xdr:to>
      <xdr:col>4</xdr:col>
      <xdr:colOff>4785</xdr:colOff>
      <xdr:row>3</xdr:row>
      <xdr:rowOff>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>
          <a:spLocks noChangeShapeType="1"/>
        </xdr:cNvSpPr>
      </xdr:nvSpPr>
      <xdr:spPr bwMode="auto">
        <a:xfrm flipH="1">
          <a:off x="190500" y="485775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104775</xdr:rowOff>
    </xdr:from>
    <xdr:to>
      <xdr:col>4</xdr:col>
      <xdr:colOff>9525</xdr:colOff>
      <xdr:row>19</xdr:row>
      <xdr:rowOff>95250</xdr:rowOff>
    </xdr:to>
    <xdr:graphicFrame macro="">
      <xdr:nvGraphicFramePr>
        <xdr:cNvPr id="5" name="Chart 1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0.08654</cdr:x>
      <cdr:y>0.03846</cdr:y>
    </cdr:from>
    <cdr:to>
      <cdr:x>0.134</cdr:x>
      <cdr:y>0.07081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7484" y="93041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FFFF99"/>
        </a:solidFill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0.13785</cdr:x>
      <cdr:y>0.02854</cdr:y>
    </cdr:from>
    <cdr:to>
      <cdr:x>0.19745</cdr:x>
      <cdr:y>0.07467</cdr:y>
    </cdr:to>
    <cdr:sp macro="" textlink="">
      <cdr:nvSpPr>
        <cdr:cNvPr id="5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967676" y="69041"/>
          <a:ext cx="418388" cy="1116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Seco</a:t>
          </a:r>
        </a:p>
      </cdr:txBody>
    </cdr:sp>
  </cdr:relSizeAnchor>
  <cdr:relSizeAnchor xmlns:cdr="http://schemas.openxmlformats.org/drawingml/2006/chartDrawing">
    <cdr:from>
      <cdr:x>0.2067</cdr:x>
      <cdr:y>0.03523</cdr:y>
    </cdr:from>
    <cdr:to>
      <cdr:x>0.25416</cdr:x>
      <cdr:y>0.06758</cdr:y>
    </cdr:to>
    <cdr:sp macro="" textlink="">
      <cdr:nvSpPr>
        <cdr:cNvPr id="7" name="Texto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50998" y="85226"/>
          <a:ext cx="333166" cy="78266"/>
        </a:xfrm>
        <a:prstGeom xmlns:a="http://schemas.openxmlformats.org/drawingml/2006/main" prst="rect">
          <a:avLst/>
        </a:prstGeom>
        <a:solidFill xmlns:a="http://schemas.openxmlformats.org/drawingml/2006/main">
          <a:srgbClr val="00B0F0"/>
        </a:solidFill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0.25611</cdr:x>
      <cdr:y>0.03113</cdr:y>
    </cdr:from>
    <cdr:to>
      <cdr:x>0.35852</cdr:x>
      <cdr:y>0.08033</cdr:y>
    </cdr:to>
    <cdr:sp macro="" textlink="">
      <cdr:nvSpPr>
        <cdr:cNvPr id="8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797899" y="75317"/>
          <a:ext cx="718911" cy="1190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27432" bIns="18288" anchor="ctr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Húmedo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</xdr:row>
      <xdr:rowOff>0</xdr:rowOff>
    </xdr:from>
    <xdr:to>
      <xdr:col>1</xdr:col>
      <xdr:colOff>885825</xdr:colOff>
      <xdr:row>2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975" y="161925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3</xdr:row>
      <xdr:rowOff>28575</xdr:rowOff>
    </xdr:from>
    <xdr:to>
      <xdr:col>3</xdr:col>
      <xdr:colOff>7043760</xdr:colOff>
      <xdr:row>3</xdr:row>
      <xdr:rowOff>28575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>
          <a:spLocks noChangeShapeType="1"/>
        </xdr:cNvSpPr>
      </xdr:nvSpPr>
      <xdr:spPr bwMode="auto">
        <a:xfrm flipH="1">
          <a:off x="180975" y="514350"/>
          <a:ext cx="8710635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7938</xdr:colOff>
      <xdr:row>5</xdr:row>
      <xdr:rowOff>152400</xdr:rowOff>
    </xdr:from>
    <xdr:to>
      <xdr:col>3</xdr:col>
      <xdr:colOff>7008813</xdr:colOff>
      <xdr:row>24</xdr:row>
      <xdr:rowOff>161924</xdr:rowOff>
    </xdr:to>
    <xdr:graphicFrame macro="">
      <xdr:nvGraphicFramePr>
        <xdr:cNvPr id="5" name="Chart 2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0.61332</cdr:x>
      <cdr:y>0.08818</cdr:y>
    </cdr:from>
    <cdr:to>
      <cdr:x>0.6134</cdr:x>
      <cdr:y>0.75082</cdr:y>
    </cdr:to>
    <cdr:sp macro="" textlink="">
      <cdr:nvSpPr>
        <cdr:cNvPr id="41989" name="Line 5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4293796" y="270449"/>
          <a:ext cx="560" cy="2032349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 cap="rnd">
          <a:solidFill>
            <a:srgbClr val="006699"/>
          </a:solidFill>
          <a:prstDash val="sysDot"/>
          <a:round/>
          <a:headEnd/>
          <a:tailEnd type="none" w="med" len="sm"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0.13071</cdr:x>
      <cdr:y>0.84994</cdr:y>
    </cdr:from>
    <cdr:to>
      <cdr:x>0.98586</cdr:x>
      <cdr:y>0.92462</cdr:y>
    </cdr:to>
    <cdr:sp macro="" textlink="">
      <cdr:nvSpPr>
        <cdr:cNvPr id="8" name="7 CuadroTexto"/>
        <cdr:cNvSpPr txBox="1"/>
      </cdr:nvSpPr>
      <cdr:spPr>
        <a:xfrm xmlns:a="http://schemas.openxmlformats.org/drawingml/2006/main">
          <a:off x="915103" y="2606812"/>
          <a:ext cx="5986799" cy="2290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r>
            <a:rPr lang="es-ES" sz="800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y mínimo estadístico: media de los valores máximos y mínimos de los últimos 20 años.</a:t>
          </a:r>
        </a:p>
      </cdr:txBody>
    </cdr:sp>
  </cdr:relSizeAnchor>
  <cdr:relSizeAnchor xmlns:cdr="http://schemas.openxmlformats.org/drawingml/2006/chartDrawing">
    <cdr:from>
      <cdr:x>0.38775</cdr:x>
      <cdr:y>0.60858</cdr:y>
    </cdr:from>
    <cdr:to>
      <cdr:x>0.51837</cdr:x>
      <cdr:y>0.70334</cdr:y>
    </cdr:to>
    <cdr:sp macro="" textlink="">
      <cdr:nvSpPr>
        <cdr:cNvPr id="2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714591" y="1866545"/>
          <a:ext cx="914454" cy="29063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Mínimo estadístico</a:t>
          </a:r>
        </a:p>
      </cdr:txBody>
    </cdr:sp>
  </cdr:relSizeAnchor>
  <cdr:relSizeAnchor xmlns:cdr="http://schemas.openxmlformats.org/drawingml/2006/chartDrawing">
    <cdr:from>
      <cdr:x>0.46667</cdr:x>
      <cdr:y>0.22175</cdr:y>
    </cdr:from>
    <cdr:to>
      <cdr:x>0.60526</cdr:x>
      <cdr:y>0.29531</cdr:y>
    </cdr:to>
    <cdr:sp macro="" textlink="">
      <cdr:nvSpPr>
        <cdr:cNvPr id="4" name="Texto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267129" y="680126"/>
          <a:ext cx="970252" cy="22561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</cdr:spPr>
      <cdr:txBody>
        <a:bodyPr xmlns:a="http://schemas.openxmlformats.org/drawingml/2006/main" wrap="square" lIns="18288" tIns="22860" rIns="18288" bIns="22860" anchor="ctr" upright="1">
          <a:no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rgbClr val="004563"/>
              </a:solidFill>
              <a:latin typeface="Arial" panose="020B0604020202020204" pitchFamily="34" charset="0"/>
              <a:cs typeface="Arial" panose="020B0604020202020204" pitchFamily="34" charset="0"/>
            </a:rPr>
            <a:t>Máximo estadístico</a:t>
          </a:r>
        </a:p>
      </cdr:txBody>
    </cdr:sp>
  </cdr:relSizeAnchor>
  <cdr:relSizeAnchor xmlns:cdr="http://schemas.openxmlformats.org/drawingml/2006/chartDrawing">
    <cdr:from>
      <cdr:x>0.08145</cdr:x>
      <cdr:y>0.87483</cdr:y>
    </cdr:from>
    <cdr:to>
      <cdr:x>0.12436</cdr:x>
      <cdr:y>0.89481</cdr:y>
    </cdr:to>
    <cdr:sp macro="" textlink="">
      <cdr:nvSpPr>
        <cdr:cNvPr id="9" name="Rectángulo 8"/>
        <cdr:cNvSpPr/>
      </cdr:nvSpPr>
      <cdr:spPr>
        <a:xfrm xmlns:a="http://schemas.openxmlformats.org/drawingml/2006/main" flipH="1" flipV="1">
          <a:off x="570233" y="2683157"/>
          <a:ext cx="300407" cy="61280"/>
        </a:xfrm>
        <a:prstGeom xmlns:a="http://schemas.openxmlformats.org/drawingml/2006/main" prst="rect">
          <a:avLst/>
        </a:prstGeom>
        <a:solidFill xmlns:a="http://schemas.openxmlformats.org/drawingml/2006/main">
          <a:srgbClr val="CCCCFF"/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</xdr:colOff>
      <xdr:row>1</xdr:row>
      <xdr:rowOff>161925</xdr:rowOff>
    </xdr:from>
    <xdr:to>
      <xdr:col>2</xdr:col>
      <xdr:colOff>895350</xdr:colOff>
      <xdr:row>2</xdr:row>
      <xdr:rowOff>171450</xdr:rowOff>
    </xdr:to>
    <xdr:pic>
      <xdr:nvPicPr>
        <xdr:cNvPr id="2" name="Picture 35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71450"/>
          <a:ext cx="8858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2</xdr:col>
      <xdr:colOff>9525</xdr:colOff>
      <xdr:row>3</xdr:row>
      <xdr:rowOff>28575</xdr:rowOff>
    </xdr:from>
    <xdr:to>
      <xdr:col>4</xdr:col>
      <xdr:colOff>3986250</xdr:colOff>
      <xdr:row>3</xdr:row>
      <xdr:rowOff>28575</xdr:rowOff>
    </xdr:to>
    <xdr:sp macro="" textlink="">
      <xdr:nvSpPr>
        <xdr:cNvPr id="3" name="Line 36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 noChangeShapeType="1"/>
        </xdr:cNvSpPr>
      </xdr:nvSpPr>
      <xdr:spPr bwMode="auto">
        <a:xfrm flipH="1">
          <a:off x="200025" y="495300"/>
          <a:ext cx="5643600" cy="0"/>
        </a:xfrm>
        <a:prstGeom prst="line">
          <a:avLst/>
        </a:prstGeom>
        <a:noFill/>
        <a:ln w="3175">
          <a:solidFill>
            <a:srgbClr val="C0C0C0"/>
          </a:solidFill>
          <a:round/>
          <a:headEnd/>
          <a:tailEnd/>
        </a:ln>
        <a:effectLst>
          <a:prstShdw prst="shdw17" dist="17961" dir="2700000">
            <a:srgbClr val="737373"/>
          </a:prstShdw>
        </a:effectLst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116205</xdr:colOff>
      <xdr:row>6</xdr:row>
      <xdr:rowOff>133350</xdr:rowOff>
    </xdr:from>
    <xdr:to>
      <xdr:col>4</xdr:col>
      <xdr:colOff>3954780</xdr:colOff>
      <xdr:row>23</xdr:row>
      <xdr:rowOff>95250</xdr:rowOff>
    </xdr:to>
    <xdr:sp macro="" textlink="">
      <xdr:nvSpPr>
        <xdr:cNvPr id="4" name="Dibujo 299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/>
        </xdr:cNvSpPr>
      </xdr:nvSpPr>
      <xdr:spPr bwMode="auto">
        <a:xfrm>
          <a:off x="1973580" y="1190625"/>
          <a:ext cx="3838575" cy="2714625"/>
        </a:xfrm>
        <a:custGeom>
          <a:avLst/>
          <a:gdLst>
            <a:gd name="T0" fmla="*/ 12797 w 16384"/>
            <a:gd name="T1" fmla="*/ 1740 h 16384"/>
            <a:gd name="T2" fmla="*/ 12797 w 16384"/>
            <a:gd name="T3" fmla="*/ 2221 h 16384"/>
            <a:gd name="T4" fmla="*/ 9743 w 16384"/>
            <a:gd name="T5" fmla="*/ 900 h 16384"/>
            <a:gd name="T6" fmla="*/ 6205 w 16384"/>
            <a:gd name="T7" fmla="*/ 900 h 16384"/>
            <a:gd name="T8" fmla="*/ 4266 w 16384"/>
            <a:gd name="T9" fmla="*/ 420 h 16384"/>
            <a:gd name="T10" fmla="*/ 2569 w 16384"/>
            <a:gd name="T11" fmla="*/ 420 h 16384"/>
            <a:gd name="T12" fmla="*/ 1794 w 16384"/>
            <a:gd name="T13" fmla="*/ 0 h 16384"/>
            <a:gd name="T14" fmla="*/ 0 w 16384"/>
            <a:gd name="T15" fmla="*/ 1500 h 16384"/>
            <a:gd name="T16" fmla="*/ 533 w 16384"/>
            <a:gd name="T17" fmla="*/ 3961 h 16384"/>
            <a:gd name="T18" fmla="*/ 1551 w 16384"/>
            <a:gd name="T19" fmla="*/ 3481 h 16384"/>
            <a:gd name="T20" fmla="*/ 1939 w 16384"/>
            <a:gd name="T21" fmla="*/ 4021 h 16384"/>
            <a:gd name="T22" fmla="*/ 2618 w 16384"/>
            <a:gd name="T23" fmla="*/ 3841 h 16384"/>
            <a:gd name="T24" fmla="*/ 3442 w 16384"/>
            <a:gd name="T25" fmla="*/ 3901 h 16384"/>
            <a:gd name="T26" fmla="*/ 3296 w 16384"/>
            <a:gd name="T27" fmla="*/ 4381 h 16384"/>
            <a:gd name="T28" fmla="*/ 3781 w 16384"/>
            <a:gd name="T29" fmla="*/ 4441 h 16384"/>
            <a:gd name="T30" fmla="*/ 2908 w 16384"/>
            <a:gd name="T31" fmla="*/ 5461 h 16384"/>
            <a:gd name="T32" fmla="*/ 2666 w 16384"/>
            <a:gd name="T33" fmla="*/ 8402 h 16384"/>
            <a:gd name="T34" fmla="*/ 2230 w 16384"/>
            <a:gd name="T35" fmla="*/ 8402 h 16384"/>
            <a:gd name="T36" fmla="*/ 2908 w 16384"/>
            <a:gd name="T37" fmla="*/ 9722 h 16384"/>
            <a:gd name="T38" fmla="*/ 2908 w 16384"/>
            <a:gd name="T39" fmla="*/ 9782 h 16384"/>
            <a:gd name="T40" fmla="*/ 2860 w 16384"/>
            <a:gd name="T41" fmla="*/ 9842 h 16384"/>
            <a:gd name="T42" fmla="*/ 2811 w 16384"/>
            <a:gd name="T43" fmla="*/ 10082 h 16384"/>
            <a:gd name="T44" fmla="*/ 2811 w 16384"/>
            <a:gd name="T45" fmla="*/ 10323 h 16384"/>
            <a:gd name="T46" fmla="*/ 2472 w 16384"/>
            <a:gd name="T47" fmla="*/ 10863 h 16384"/>
            <a:gd name="T48" fmla="*/ 2908 w 16384"/>
            <a:gd name="T49" fmla="*/ 11643 h 16384"/>
            <a:gd name="T50" fmla="*/ 2278 w 16384"/>
            <a:gd name="T51" fmla="*/ 12723 h 16384"/>
            <a:gd name="T52" fmla="*/ 2327 w 16384"/>
            <a:gd name="T53" fmla="*/ 13683 h 16384"/>
            <a:gd name="T54" fmla="*/ 3102 w 16384"/>
            <a:gd name="T55" fmla="*/ 13743 h 16384"/>
            <a:gd name="T56" fmla="*/ 3539 w 16384"/>
            <a:gd name="T57" fmla="*/ 14344 h 16384"/>
            <a:gd name="T58" fmla="*/ 3539 w 16384"/>
            <a:gd name="T59" fmla="*/ 15184 h 16384"/>
            <a:gd name="T60" fmla="*/ 4847 w 16384"/>
            <a:gd name="T61" fmla="*/ 16384 h 16384"/>
            <a:gd name="T62" fmla="*/ 6544 w 16384"/>
            <a:gd name="T63" fmla="*/ 14824 h 16384"/>
            <a:gd name="T64" fmla="*/ 8968 w 16384"/>
            <a:gd name="T65" fmla="*/ 14764 h 16384"/>
            <a:gd name="T66" fmla="*/ 9258 w 16384"/>
            <a:gd name="T67" fmla="*/ 14464 h 16384"/>
            <a:gd name="T68" fmla="*/ 9598 w 16384"/>
            <a:gd name="T69" fmla="*/ 14824 h 16384"/>
            <a:gd name="T70" fmla="*/ 9937 w 16384"/>
            <a:gd name="T71" fmla="*/ 13803 h 16384"/>
            <a:gd name="T72" fmla="*/ 10519 w 16384"/>
            <a:gd name="T73" fmla="*/ 13203 h 16384"/>
            <a:gd name="T74" fmla="*/ 11585 w 16384"/>
            <a:gd name="T75" fmla="*/ 13083 h 16384"/>
            <a:gd name="T76" fmla="*/ 11973 w 16384"/>
            <a:gd name="T77" fmla="*/ 11103 h 16384"/>
            <a:gd name="T78" fmla="*/ 12845 w 16384"/>
            <a:gd name="T79" fmla="*/ 10443 h 16384"/>
            <a:gd name="T80" fmla="*/ 11876 w 16384"/>
            <a:gd name="T81" fmla="*/ 8882 h 16384"/>
            <a:gd name="T82" fmla="*/ 12942 w 16384"/>
            <a:gd name="T83" fmla="*/ 6662 h 16384"/>
            <a:gd name="T84" fmla="*/ 13330 w 16384"/>
            <a:gd name="T85" fmla="*/ 6482 h 16384"/>
            <a:gd name="T86" fmla="*/ 13282 w 16384"/>
            <a:gd name="T87" fmla="*/ 5941 h 16384"/>
            <a:gd name="T88" fmla="*/ 15124 w 16384"/>
            <a:gd name="T89" fmla="*/ 4861 h 16384"/>
            <a:gd name="T90" fmla="*/ 16384 w 16384"/>
            <a:gd name="T91" fmla="*/ 3361 h 16384"/>
            <a:gd name="T92" fmla="*/ 16190 w 16384"/>
            <a:gd name="T93" fmla="*/ 2401 h 16384"/>
            <a:gd name="T94" fmla="*/ 14348 w 16384"/>
            <a:gd name="T95" fmla="*/ 2401 h 16384"/>
            <a:gd name="T96" fmla="*/ 14009 w 16384"/>
            <a:gd name="T97" fmla="*/ 2641 h 16384"/>
            <a:gd name="T98" fmla="*/ 13912 w 16384"/>
            <a:gd name="T99" fmla="*/ 2101 h 16384"/>
            <a:gd name="T100" fmla="*/ 12797 w 16384"/>
            <a:gd name="T101" fmla="*/ 174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0" t="0" r="r" b="b"/>
          <a:pathLst>
            <a:path w="16384" h="16384">
              <a:moveTo>
                <a:pt x="12797" y="1740"/>
              </a:moveTo>
              <a:lnTo>
                <a:pt x="12797" y="2221"/>
              </a:lnTo>
              <a:lnTo>
                <a:pt x="9743" y="900"/>
              </a:lnTo>
              <a:lnTo>
                <a:pt x="6205" y="900"/>
              </a:lnTo>
              <a:lnTo>
                <a:pt x="4266" y="420"/>
              </a:lnTo>
              <a:lnTo>
                <a:pt x="2569" y="420"/>
              </a:lnTo>
              <a:lnTo>
                <a:pt x="1794" y="0"/>
              </a:lnTo>
              <a:lnTo>
                <a:pt x="0" y="1500"/>
              </a:lnTo>
              <a:lnTo>
                <a:pt x="533" y="3961"/>
              </a:lnTo>
              <a:lnTo>
                <a:pt x="1551" y="3481"/>
              </a:lnTo>
              <a:lnTo>
                <a:pt x="1939" y="4021"/>
              </a:lnTo>
              <a:lnTo>
                <a:pt x="2618" y="3841"/>
              </a:lnTo>
              <a:lnTo>
                <a:pt x="3442" y="3901"/>
              </a:lnTo>
              <a:lnTo>
                <a:pt x="3296" y="4381"/>
              </a:lnTo>
              <a:lnTo>
                <a:pt x="3781" y="4441"/>
              </a:lnTo>
              <a:lnTo>
                <a:pt x="2908" y="5461"/>
              </a:lnTo>
              <a:lnTo>
                <a:pt x="2666" y="8402"/>
              </a:lnTo>
              <a:lnTo>
                <a:pt x="2230" y="8402"/>
              </a:lnTo>
              <a:lnTo>
                <a:pt x="2908" y="9722"/>
              </a:lnTo>
              <a:lnTo>
                <a:pt x="2908" y="9782"/>
              </a:lnTo>
              <a:lnTo>
                <a:pt x="2860" y="9842"/>
              </a:lnTo>
              <a:lnTo>
                <a:pt x="2811" y="10082"/>
              </a:lnTo>
              <a:lnTo>
                <a:pt x="2811" y="10323"/>
              </a:lnTo>
              <a:lnTo>
                <a:pt x="2472" y="10863"/>
              </a:lnTo>
              <a:lnTo>
                <a:pt x="2908" y="11643"/>
              </a:lnTo>
              <a:lnTo>
                <a:pt x="2278" y="12723"/>
              </a:lnTo>
              <a:lnTo>
                <a:pt x="2327" y="13683"/>
              </a:lnTo>
              <a:lnTo>
                <a:pt x="3102" y="13743"/>
              </a:lnTo>
              <a:lnTo>
                <a:pt x="3539" y="14344"/>
              </a:lnTo>
              <a:lnTo>
                <a:pt x="3539" y="15184"/>
              </a:lnTo>
              <a:lnTo>
                <a:pt x="4847" y="16384"/>
              </a:lnTo>
              <a:lnTo>
                <a:pt x="6544" y="14824"/>
              </a:lnTo>
              <a:lnTo>
                <a:pt x="8968" y="14764"/>
              </a:lnTo>
              <a:lnTo>
                <a:pt x="9258" y="14464"/>
              </a:lnTo>
              <a:lnTo>
                <a:pt x="9598" y="14824"/>
              </a:lnTo>
              <a:lnTo>
                <a:pt x="9937" y="13803"/>
              </a:lnTo>
              <a:lnTo>
                <a:pt x="10519" y="13203"/>
              </a:lnTo>
              <a:lnTo>
                <a:pt x="11585" y="13083"/>
              </a:lnTo>
              <a:lnTo>
                <a:pt x="11973" y="11103"/>
              </a:lnTo>
              <a:lnTo>
                <a:pt x="12845" y="10443"/>
              </a:lnTo>
              <a:lnTo>
                <a:pt x="11876" y="8882"/>
              </a:lnTo>
              <a:lnTo>
                <a:pt x="12942" y="6662"/>
              </a:lnTo>
              <a:lnTo>
                <a:pt x="13330" y="6482"/>
              </a:lnTo>
              <a:lnTo>
                <a:pt x="13282" y="5941"/>
              </a:lnTo>
              <a:lnTo>
                <a:pt x="15124" y="4861"/>
              </a:lnTo>
              <a:lnTo>
                <a:pt x="16384" y="3361"/>
              </a:lnTo>
              <a:lnTo>
                <a:pt x="16190" y="2401"/>
              </a:lnTo>
              <a:lnTo>
                <a:pt x="14348" y="2401"/>
              </a:lnTo>
              <a:lnTo>
                <a:pt x="14009" y="2641"/>
              </a:lnTo>
              <a:lnTo>
                <a:pt x="13912" y="2101"/>
              </a:lnTo>
              <a:lnTo>
                <a:pt x="12797" y="1740"/>
              </a:lnTo>
              <a:close/>
            </a:path>
          </a:pathLst>
        </a:custGeom>
        <a:solidFill>
          <a:schemeClr val="accent1">
            <a:lumMod val="60000"/>
            <a:lumOff val="40000"/>
          </a:schemeClr>
        </a:solidFill>
        <a:ln>
          <a:noFill/>
        </a:ln>
        <a:effectLst>
          <a:outerShdw dist="35921" dir="2700000" algn="ctr" rotWithShape="0">
            <a:srgbClr val="624FAC"/>
          </a:outerShdw>
        </a:effectLst>
        <a:extLst/>
      </xdr:spPr>
    </xdr:sp>
    <xdr:clientData/>
  </xdr:twoCellAnchor>
  <xdr:twoCellAnchor>
    <xdr:from>
      <xdr:col>4</xdr:col>
      <xdr:colOff>782955</xdr:colOff>
      <xdr:row>7</xdr:row>
      <xdr:rowOff>114300</xdr:rowOff>
    </xdr:from>
    <xdr:to>
      <xdr:col>4</xdr:col>
      <xdr:colOff>2383155</xdr:colOff>
      <xdr:row>10</xdr:row>
      <xdr:rowOff>133350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 noChangeShapeType="1"/>
        </xdr:cNvSpPr>
      </xdr:nvSpPr>
      <xdr:spPr bwMode="auto">
        <a:xfrm flipV="1">
          <a:off x="2640330" y="1333500"/>
          <a:ext cx="1600200" cy="5048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1821180</xdr:colOff>
      <xdr:row>8</xdr:row>
      <xdr:rowOff>123825</xdr:rowOff>
    </xdr:from>
    <xdr:to>
      <xdr:col>4</xdr:col>
      <xdr:colOff>2154555</xdr:colOff>
      <xdr:row>12</xdr:row>
      <xdr:rowOff>123825</xdr:rowOff>
    </xdr:to>
    <xdr:sp macro="" textlink="">
      <xdr:nvSpPr>
        <xdr:cNvPr id="6" name="Line 4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>
          <a:spLocks noChangeShapeType="1"/>
        </xdr:cNvSpPr>
      </xdr:nvSpPr>
      <xdr:spPr bwMode="auto">
        <a:xfrm>
          <a:off x="3678555" y="1504950"/>
          <a:ext cx="333375" cy="6477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12</xdr:row>
      <xdr:rowOff>114300</xdr:rowOff>
    </xdr:from>
    <xdr:to>
      <xdr:col>4</xdr:col>
      <xdr:colOff>2173605</xdr:colOff>
      <xdr:row>14</xdr:row>
      <xdr:rowOff>104775</xdr:rowOff>
    </xdr:to>
    <xdr:sp macro="" textlink="">
      <xdr:nvSpPr>
        <xdr:cNvPr id="7" name="Line 5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>
          <a:spLocks noChangeShapeType="1"/>
        </xdr:cNvSpPr>
      </xdr:nvSpPr>
      <xdr:spPr bwMode="auto">
        <a:xfrm flipH="1">
          <a:off x="2630805" y="2143125"/>
          <a:ext cx="1400175" cy="314325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773430</xdr:colOff>
      <xdr:row>17</xdr:row>
      <xdr:rowOff>20955</xdr:rowOff>
    </xdr:from>
    <xdr:to>
      <xdr:col>4</xdr:col>
      <xdr:colOff>2030730</xdr:colOff>
      <xdr:row>17</xdr:row>
      <xdr:rowOff>20955</xdr:rowOff>
    </xdr:to>
    <xdr:sp macro="" textlink="">
      <xdr:nvSpPr>
        <xdr:cNvPr id="8" name="Line 6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>
          <a:spLocks noChangeShapeType="1"/>
        </xdr:cNvSpPr>
      </xdr:nvSpPr>
      <xdr:spPr bwMode="auto">
        <a:xfrm flipH="1">
          <a:off x="2630805" y="2859405"/>
          <a:ext cx="1257300" cy="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925830</xdr:colOff>
      <xdr:row>17</xdr:row>
      <xdr:rowOff>20955</xdr:rowOff>
    </xdr:from>
    <xdr:to>
      <xdr:col>4</xdr:col>
      <xdr:colOff>2040255</xdr:colOff>
      <xdr:row>21</xdr:row>
      <xdr:rowOff>59055</xdr:rowOff>
    </xdr:to>
    <xdr:sp macro="" textlink="">
      <xdr:nvSpPr>
        <xdr:cNvPr id="9" name="Line 7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>
          <a:spLocks noChangeShapeType="1"/>
        </xdr:cNvSpPr>
      </xdr:nvSpPr>
      <xdr:spPr bwMode="auto">
        <a:xfrm flipH="1">
          <a:off x="2783205" y="2859405"/>
          <a:ext cx="1114425" cy="68580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2145030</xdr:colOff>
      <xdr:row>12</xdr:row>
      <xdr:rowOff>114300</xdr:rowOff>
    </xdr:from>
    <xdr:to>
      <xdr:col>4</xdr:col>
      <xdr:colOff>3145155</xdr:colOff>
      <xdr:row>13</xdr:row>
      <xdr:rowOff>123825</xdr:rowOff>
    </xdr:to>
    <xdr:sp macro="" textlink="">
      <xdr:nvSpPr>
        <xdr:cNvPr id="10" name="Line 8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>
          <a:spLocks noChangeShapeType="1"/>
        </xdr:cNvSpPr>
      </xdr:nvSpPr>
      <xdr:spPr bwMode="auto">
        <a:xfrm>
          <a:off x="4002405" y="2143125"/>
          <a:ext cx="1000125" cy="1714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2040255</xdr:colOff>
      <xdr:row>17</xdr:row>
      <xdr:rowOff>30480</xdr:rowOff>
    </xdr:from>
    <xdr:to>
      <xdr:col>4</xdr:col>
      <xdr:colOff>2573655</xdr:colOff>
      <xdr:row>20</xdr:row>
      <xdr:rowOff>59055</xdr:rowOff>
    </xdr:to>
    <xdr:sp macro="" textlink="">
      <xdr:nvSpPr>
        <xdr:cNvPr id="11" name="Line 9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>
          <a:spLocks noChangeShapeType="1"/>
        </xdr:cNvSpPr>
      </xdr:nvSpPr>
      <xdr:spPr bwMode="auto">
        <a:xfrm>
          <a:off x="3897630" y="2868930"/>
          <a:ext cx="533400" cy="514350"/>
        </a:xfrm>
        <a:prstGeom prst="line">
          <a:avLst/>
        </a:prstGeom>
        <a:noFill/>
        <a:ln w="12700">
          <a:solidFill>
            <a:srgbClr val="FFFFFF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oneCellAnchor>
    <xdr:from>
      <xdr:col>4</xdr:col>
      <xdr:colOff>906780</xdr:colOff>
      <xdr:row>17</xdr:row>
      <xdr:rowOff>30480</xdr:rowOff>
    </xdr:from>
    <xdr:ext cx="485967" cy="141001"/>
    <xdr:sp macro="" textlink="">
      <xdr:nvSpPr>
        <xdr:cNvPr id="13" name="Texto 14">
          <a:extLst>
            <a:ext uri="{FF2B5EF4-FFF2-40B4-BE49-F238E27FC236}">
              <a16:creationId xmlns:a16="http://schemas.microsoft.com/office/drawing/2014/main" id="{00000000-0008-0000-0E00-00000D000000}"/>
            </a:ext>
          </a:extLst>
        </xdr:cNvPr>
        <xdr:cNvSpPr txBox="1">
          <a:spLocks noChangeArrowheads="1"/>
        </xdr:cNvSpPr>
      </xdr:nvSpPr>
      <xdr:spPr bwMode="auto">
        <a:xfrm>
          <a:off x="2764155" y="2868930"/>
          <a:ext cx="485967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Guadiana</a:t>
          </a:r>
        </a:p>
      </xdr:txBody>
    </xdr:sp>
    <xdr:clientData/>
  </xdr:oneCellAnchor>
  <xdr:oneCellAnchor>
    <xdr:from>
      <xdr:col>4</xdr:col>
      <xdr:colOff>1192530</xdr:colOff>
      <xdr:row>7</xdr:row>
      <xdr:rowOff>114300</xdr:rowOff>
    </xdr:from>
    <xdr:ext cx="286360" cy="141001"/>
    <xdr:sp macro="" textlink="">
      <xdr:nvSpPr>
        <xdr:cNvPr id="15" name="Texto 11">
          <a:extLst>
            <a:ext uri="{FF2B5EF4-FFF2-40B4-BE49-F238E27FC236}">
              <a16:creationId xmlns:a16="http://schemas.microsoft.com/office/drawing/2014/main" id="{00000000-0008-0000-0E00-00000F000000}"/>
            </a:ext>
          </a:extLst>
        </xdr:cNvPr>
        <xdr:cNvSpPr txBox="1">
          <a:spLocks noChangeArrowheads="1"/>
        </xdr:cNvSpPr>
      </xdr:nvSpPr>
      <xdr:spPr bwMode="auto">
        <a:xfrm>
          <a:off x="3049905" y="1333500"/>
          <a:ext cx="28636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Norte</a:t>
          </a:r>
        </a:p>
      </xdr:txBody>
    </xdr:sp>
    <xdr:clientData/>
  </xdr:oneCellAnchor>
  <xdr:twoCellAnchor>
    <xdr:from>
      <xdr:col>4</xdr:col>
      <xdr:colOff>226841</xdr:colOff>
      <xdr:row>8</xdr:row>
      <xdr:rowOff>20955</xdr:rowOff>
    </xdr:from>
    <xdr:to>
      <xdr:col>4</xdr:col>
      <xdr:colOff>255416</xdr:colOff>
      <xdr:row>10</xdr:row>
      <xdr:rowOff>59055</xdr:rowOff>
    </xdr:to>
    <xdr:sp macro="" textlink="">
      <xdr:nvSpPr>
        <xdr:cNvPr id="20" name="Rectangle 42">
          <a:extLst>
            <a:ext uri="{FF2B5EF4-FFF2-40B4-BE49-F238E27FC236}">
              <a16:creationId xmlns:a16="http://schemas.microsoft.com/office/drawing/2014/main" id="{00000000-0008-0000-0E00-000014000000}"/>
            </a:ext>
          </a:extLst>
        </xdr:cNvPr>
        <xdr:cNvSpPr>
          <a:spLocks noChangeArrowheads="1"/>
        </xdr:cNvSpPr>
      </xdr:nvSpPr>
      <xdr:spPr bwMode="auto">
        <a:xfrm>
          <a:off x="2087879" y="1391090"/>
          <a:ext cx="28575" cy="360484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527244</xdr:colOff>
      <xdr:row>8</xdr:row>
      <xdr:rowOff>30480</xdr:rowOff>
    </xdr:from>
    <xdr:to>
      <xdr:col>4</xdr:col>
      <xdr:colOff>555819</xdr:colOff>
      <xdr:row>10</xdr:row>
      <xdr:rowOff>59055</xdr:rowOff>
    </xdr:to>
    <xdr:sp macro="" textlink="">
      <xdr:nvSpPr>
        <xdr:cNvPr id="23" name="Rectangle 51">
          <a:extLst>
            <a:ext uri="{FF2B5EF4-FFF2-40B4-BE49-F238E27FC236}">
              <a16:creationId xmlns:a16="http://schemas.microsoft.com/office/drawing/2014/main" id="{00000000-0008-0000-0E00-000017000000}"/>
            </a:ext>
          </a:extLst>
        </xdr:cNvPr>
        <xdr:cNvSpPr>
          <a:spLocks noChangeArrowheads="1"/>
        </xdr:cNvSpPr>
      </xdr:nvSpPr>
      <xdr:spPr bwMode="auto">
        <a:xfrm>
          <a:off x="2388282" y="1400615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2240280</xdr:colOff>
      <xdr:row>10</xdr:row>
      <xdr:rowOff>68580</xdr:rowOff>
    </xdr:from>
    <xdr:to>
      <xdr:col>4</xdr:col>
      <xdr:colOff>2268855</xdr:colOff>
      <xdr:row>12</xdr:row>
      <xdr:rowOff>97155</xdr:rowOff>
    </xdr:to>
    <xdr:sp macro="" textlink="">
      <xdr:nvSpPr>
        <xdr:cNvPr id="26" name="Rectangle 56">
          <a:extLst>
            <a:ext uri="{FF2B5EF4-FFF2-40B4-BE49-F238E27FC236}">
              <a16:creationId xmlns:a16="http://schemas.microsoft.com/office/drawing/2014/main" id="{00000000-0008-0000-0E00-00001A000000}"/>
            </a:ext>
          </a:extLst>
        </xdr:cNvPr>
        <xdr:cNvSpPr>
          <a:spLocks noChangeArrowheads="1"/>
        </xdr:cNvSpPr>
      </xdr:nvSpPr>
      <xdr:spPr bwMode="auto">
        <a:xfrm>
          <a:off x="4097655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2554605</xdr:colOff>
      <xdr:row>10</xdr:row>
      <xdr:rowOff>68580</xdr:rowOff>
    </xdr:from>
    <xdr:to>
      <xdr:col>4</xdr:col>
      <xdr:colOff>2583180</xdr:colOff>
      <xdr:row>12</xdr:row>
      <xdr:rowOff>97155</xdr:rowOff>
    </xdr:to>
    <xdr:sp macro="" textlink="">
      <xdr:nvSpPr>
        <xdr:cNvPr id="29" name="Rectangle 61">
          <a:extLst>
            <a:ext uri="{FF2B5EF4-FFF2-40B4-BE49-F238E27FC236}">
              <a16:creationId xmlns:a16="http://schemas.microsoft.com/office/drawing/2014/main" id="{00000000-0008-0000-0E00-00001D000000}"/>
            </a:ext>
          </a:extLst>
        </xdr:cNvPr>
        <xdr:cNvSpPr>
          <a:spLocks noChangeArrowheads="1"/>
        </xdr:cNvSpPr>
      </xdr:nvSpPr>
      <xdr:spPr bwMode="auto">
        <a:xfrm>
          <a:off x="4411980" y="177355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2106930</xdr:colOff>
      <xdr:row>15</xdr:row>
      <xdr:rowOff>38100</xdr:rowOff>
    </xdr:from>
    <xdr:to>
      <xdr:col>4</xdr:col>
      <xdr:colOff>2135505</xdr:colOff>
      <xdr:row>17</xdr:row>
      <xdr:rowOff>66675</xdr:rowOff>
    </xdr:to>
    <xdr:sp macro="" textlink="">
      <xdr:nvSpPr>
        <xdr:cNvPr id="32" name="Rectangle 66">
          <a:extLst>
            <a:ext uri="{FF2B5EF4-FFF2-40B4-BE49-F238E27FC236}">
              <a16:creationId xmlns:a16="http://schemas.microsoft.com/office/drawing/2014/main" id="{00000000-0008-0000-0E00-000020000000}"/>
            </a:ext>
          </a:extLst>
        </xdr:cNvPr>
        <xdr:cNvSpPr>
          <a:spLocks noChangeArrowheads="1"/>
        </xdr:cNvSpPr>
      </xdr:nvSpPr>
      <xdr:spPr bwMode="auto">
        <a:xfrm>
          <a:off x="3964305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2402205</xdr:colOff>
      <xdr:row>15</xdr:row>
      <xdr:rowOff>38100</xdr:rowOff>
    </xdr:from>
    <xdr:to>
      <xdr:col>4</xdr:col>
      <xdr:colOff>2430780</xdr:colOff>
      <xdr:row>17</xdr:row>
      <xdr:rowOff>66675</xdr:rowOff>
    </xdr:to>
    <xdr:sp macro="" textlink="">
      <xdr:nvSpPr>
        <xdr:cNvPr id="34" name="Rectangle 71">
          <a:extLst>
            <a:ext uri="{FF2B5EF4-FFF2-40B4-BE49-F238E27FC236}">
              <a16:creationId xmlns:a16="http://schemas.microsoft.com/office/drawing/2014/main" id="{00000000-0008-0000-0E00-000022000000}"/>
            </a:ext>
          </a:extLst>
        </xdr:cNvPr>
        <xdr:cNvSpPr>
          <a:spLocks noChangeArrowheads="1"/>
        </xdr:cNvSpPr>
      </xdr:nvSpPr>
      <xdr:spPr bwMode="auto">
        <a:xfrm>
          <a:off x="42595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18</xdr:row>
      <xdr:rowOff>123825</xdr:rowOff>
    </xdr:from>
    <xdr:to>
      <xdr:col>4</xdr:col>
      <xdr:colOff>1516380</xdr:colOff>
      <xdr:row>20</xdr:row>
      <xdr:rowOff>152400</xdr:rowOff>
    </xdr:to>
    <xdr:sp macro="" textlink="">
      <xdr:nvSpPr>
        <xdr:cNvPr id="37" name="Rectangle 76">
          <a:extLst>
            <a:ext uri="{FF2B5EF4-FFF2-40B4-BE49-F238E27FC236}">
              <a16:creationId xmlns:a16="http://schemas.microsoft.com/office/drawing/2014/main" id="{00000000-0008-0000-0E00-000025000000}"/>
            </a:ext>
          </a:extLst>
        </xdr:cNvPr>
        <xdr:cNvSpPr>
          <a:spLocks noChangeArrowheads="1"/>
        </xdr:cNvSpPr>
      </xdr:nvSpPr>
      <xdr:spPr bwMode="auto">
        <a:xfrm>
          <a:off x="33451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1792605</xdr:colOff>
      <xdr:row>18</xdr:row>
      <xdr:rowOff>123825</xdr:rowOff>
    </xdr:from>
    <xdr:to>
      <xdr:col>4</xdr:col>
      <xdr:colOff>1821180</xdr:colOff>
      <xdr:row>20</xdr:row>
      <xdr:rowOff>152400</xdr:rowOff>
    </xdr:to>
    <xdr:sp macro="" textlink="">
      <xdr:nvSpPr>
        <xdr:cNvPr id="39" name="Rectangle 81">
          <a:extLst>
            <a:ext uri="{FF2B5EF4-FFF2-40B4-BE49-F238E27FC236}">
              <a16:creationId xmlns:a16="http://schemas.microsoft.com/office/drawing/2014/main" id="{00000000-0008-0000-0E00-000027000000}"/>
            </a:ext>
          </a:extLst>
        </xdr:cNvPr>
        <xdr:cNvSpPr>
          <a:spLocks noChangeArrowheads="1"/>
        </xdr:cNvSpPr>
      </xdr:nvSpPr>
      <xdr:spPr bwMode="auto">
        <a:xfrm>
          <a:off x="3649980" y="31242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811530</xdr:colOff>
      <xdr:row>18</xdr:row>
      <xdr:rowOff>59055</xdr:rowOff>
    </xdr:from>
    <xdr:to>
      <xdr:col>4</xdr:col>
      <xdr:colOff>840105</xdr:colOff>
      <xdr:row>20</xdr:row>
      <xdr:rowOff>87630</xdr:rowOff>
    </xdr:to>
    <xdr:sp macro="" textlink="">
      <xdr:nvSpPr>
        <xdr:cNvPr id="41" name="Rectangle 86">
          <a:extLst>
            <a:ext uri="{FF2B5EF4-FFF2-40B4-BE49-F238E27FC236}">
              <a16:creationId xmlns:a16="http://schemas.microsoft.com/office/drawing/2014/main" id="{00000000-0008-0000-0E00-000029000000}"/>
            </a:ext>
          </a:extLst>
        </xdr:cNvPr>
        <xdr:cNvSpPr>
          <a:spLocks noChangeArrowheads="1"/>
        </xdr:cNvSpPr>
      </xdr:nvSpPr>
      <xdr:spPr bwMode="auto">
        <a:xfrm>
          <a:off x="2668905" y="305943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3028950</xdr:colOff>
      <xdr:row>24</xdr:row>
      <xdr:rowOff>28575</xdr:rowOff>
    </xdr:from>
    <xdr:to>
      <xdr:col>4</xdr:col>
      <xdr:colOff>3057525</xdr:colOff>
      <xdr:row>26</xdr:row>
      <xdr:rowOff>57150</xdr:rowOff>
    </xdr:to>
    <xdr:sp macro="" textlink="">
      <xdr:nvSpPr>
        <xdr:cNvPr id="44" name="Rectangle 91">
          <a:extLst>
            <a:ext uri="{FF2B5EF4-FFF2-40B4-BE49-F238E27FC236}">
              <a16:creationId xmlns:a16="http://schemas.microsoft.com/office/drawing/2014/main" id="{00000000-0008-0000-0E00-00002C000000}"/>
            </a:ext>
          </a:extLst>
        </xdr:cNvPr>
        <xdr:cNvSpPr>
          <a:spLocks noChangeArrowheads="1"/>
        </xdr:cNvSpPr>
      </xdr:nvSpPr>
      <xdr:spPr bwMode="auto">
        <a:xfrm>
          <a:off x="48863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2533650</xdr:colOff>
      <xdr:row>24</xdr:row>
      <xdr:rowOff>28575</xdr:rowOff>
    </xdr:from>
    <xdr:to>
      <xdr:col>4</xdr:col>
      <xdr:colOff>2562225</xdr:colOff>
      <xdr:row>26</xdr:row>
      <xdr:rowOff>57150</xdr:rowOff>
    </xdr:to>
    <xdr:sp macro="" textlink="">
      <xdr:nvSpPr>
        <xdr:cNvPr id="47" name="Rectangle 96">
          <a:extLst>
            <a:ext uri="{FF2B5EF4-FFF2-40B4-BE49-F238E27FC236}">
              <a16:creationId xmlns:a16="http://schemas.microsoft.com/office/drawing/2014/main" id="{00000000-0008-0000-0E00-00002F000000}"/>
            </a:ext>
          </a:extLst>
        </xdr:cNvPr>
        <xdr:cNvSpPr>
          <a:spLocks noChangeArrowheads="1"/>
        </xdr:cNvSpPr>
      </xdr:nvSpPr>
      <xdr:spPr bwMode="auto">
        <a:xfrm>
          <a:off x="439102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868680</xdr:colOff>
      <xdr:row>11</xdr:row>
      <xdr:rowOff>106680</xdr:rowOff>
    </xdr:from>
    <xdr:to>
      <xdr:col>4</xdr:col>
      <xdr:colOff>897255</xdr:colOff>
      <xdr:row>13</xdr:row>
      <xdr:rowOff>135255</xdr:rowOff>
    </xdr:to>
    <xdr:sp macro="" textlink="">
      <xdr:nvSpPr>
        <xdr:cNvPr id="50" name="Rectangle 101">
          <a:extLst>
            <a:ext uri="{FF2B5EF4-FFF2-40B4-BE49-F238E27FC236}">
              <a16:creationId xmlns:a16="http://schemas.microsoft.com/office/drawing/2014/main" id="{00000000-0008-0000-0E00-000032000000}"/>
            </a:ext>
          </a:extLst>
        </xdr:cNvPr>
        <xdr:cNvSpPr>
          <a:spLocks noChangeArrowheads="1"/>
        </xdr:cNvSpPr>
      </xdr:nvSpPr>
      <xdr:spPr bwMode="auto">
        <a:xfrm>
          <a:off x="27260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1173480</xdr:colOff>
      <xdr:row>11</xdr:row>
      <xdr:rowOff>106680</xdr:rowOff>
    </xdr:from>
    <xdr:to>
      <xdr:col>4</xdr:col>
      <xdr:colOff>1202055</xdr:colOff>
      <xdr:row>13</xdr:row>
      <xdr:rowOff>135255</xdr:rowOff>
    </xdr:to>
    <xdr:sp macro="" textlink="">
      <xdr:nvSpPr>
        <xdr:cNvPr id="53" name="Rectangle 106">
          <a:extLst>
            <a:ext uri="{FF2B5EF4-FFF2-40B4-BE49-F238E27FC236}">
              <a16:creationId xmlns:a16="http://schemas.microsoft.com/office/drawing/2014/main" id="{00000000-0008-0000-0E00-000035000000}"/>
            </a:ext>
          </a:extLst>
        </xdr:cNvPr>
        <xdr:cNvSpPr>
          <a:spLocks noChangeArrowheads="1"/>
        </xdr:cNvSpPr>
      </xdr:nvSpPr>
      <xdr:spPr bwMode="auto">
        <a:xfrm>
          <a:off x="3030855" y="197358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3505200</xdr:colOff>
      <xdr:row>24</xdr:row>
      <xdr:rowOff>28575</xdr:rowOff>
    </xdr:from>
    <xdr:to>
      <xdr:col>4</xdr:col>
      <xdr:colOff>3533775</xdr:colOff>
      <xdr:row>26</xdr:row>
      <xdr:rowOff>57150</xdr:rowOff>
    </xdr:to>
    <xdr:sp macro="" textlink="">
      <xdr:nvSpPr>
        <xdr:cNvPr id="56" name="Rectangle 111">
          <a:extLst>
            <a:ext uri="{FF2B5EF4-FFF2-40B4-BE49-F238E27FC236}">
              <a16:creationId xmlns:a16="http://schemas.microsoft.com/office/drawing/2014/main" id="{00000000-0008-0000-0E00-000038000000}"/>
            </a:ext>
          </a:extLst>
        </xdr:cNvPr>
        <xdr:cNvSpPr>
          <a:spLocks noChangeArrowheads="1"/>
        </xdr:cNvSpPr>
      </xdr:nvSpPr>
      <xdr:spPr bwMode="auto">
        <a:xfrm>
          <a:off x="5362575" y="395287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1647825</xdr:colOff>
      <xdr:row>24</xdr:row>
      <xdr:rowOff>0</xdr:rowOff>
    </xdr:from>
    <xdr:to>
      <xdr:col>4</xdr:col>
      <xdr:colOff>2543175</xdr:colOff>
      <xdr:row>25</xdr:row>
      <xdr:rowOff>19050</xdr:rowOff>
    </xdr:to>
    <xdr:sp macro="" textlink="">
      <xdr:nvSpPr>
        <xdr:cNvPr id="57" name="Texto 239">
          <a:extLst>
            <a:ext uri="{FF2B5EF4-FFF2-40B4-BE49-F238E27FC236}">
              <a16:creationId xmlns:a16="http://schemas.microsoft.com/office/drawing/2014/main" id="{00000000-0008-0000-0E00-000039000000}"/>
            </a:ext>
          </a:extLst>
        </xdr:cNvPr>
        <xdr:cNvSpPr txBox="1">
          <a:spLocks noChangeArrowheads="1"/>
        </xdr:cNvSpPr>
      </xdr:nvSpPr>
      <xdr:spPr bwMode="auto">
        <a:xfrm>
          <a:off x="3505200" y="3924300"/>
          <a:ext cx="895350" cy="1809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Reservas (GWh)</a:t>
          </a:r>
        </a:p>
      </xdr:txBody>
    </xdr:sp>
    <xdr:clientData/>
  </xdr:twoCellAnchor>
  <xdr:twoCellAnchor>
    <xdr:from>
      <xdr:col>4</xdr:col>
      <xdr:colOff>1647825</xdr:colOff>
      <xdr:row>25</xdr:row>
      <xdr:rowOff>66675</xdr:rowOff>
    </xdr:from>
    <xdr:to>
      <xdr:col>4</xdr:col>
      <xdr:colOff>2543175</xdr:colOff>
      <xdr:row>26</xdr:row>
      <xdr:rowOff>76200</xdr:rowOff>
    </xdr:to>
    <xdr:sp macro="" textlink="">
      <xdr:nvSpPr>
        <xdr:cNvPr id="58" name="Texto 239">
          <a:extLst>
            <a:ext uri="{FF2B5EF4-FFF2-40B4-BE49-F238E27FC236}">
              <a16:creationId xmlns:a16="http://schemas.microsoft.com/office/drawing/2014/main" id="{00000000-0008-0000-0E00-00003A000000}"/>
            </a:ext>
          </a:extLst>
        </xdr:cNvPr>
        <xdr:cNvSpPr txBox="1">
          <a:spLocks noChangeArrowheads="1"/>
        </xdr:cNvSpPr>
      </xdr:nvSpPr>
      <xdr:spPr bwMode="auto">
        <a:xfrm>
          <a:off x="3505200" y="4152900"/>
          <a:ext cx="895350" cy="1714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0" tIns="22860" rIns="27432" bIns="0" anchor="t" upright="1"/>
        <a:lstStyle/>
        <a:p>
          <a:pPr algn="r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Llenado (%)</a:t>
          </a:r>
        </a:p>
      </xdr:txBody>
    </xdr:sp>
    <xdr:clientData/>
  </xdr:twoCellAnchor>
  <xdr:twoCellAnchor>
    <xdr:from>
      <xdr:col>4</xdr:col>
      <xdr:colOff>2495550</xdr:colOff>
      <xdr:row>21</xdr:row>
      <xdr:rowOff>123825</xdr:rowOff>
    </xdr:from>
    <xdr:to>
      <xdr:col>4</xdr:col>
      <xdr:colOff>3886200</xdr:colOff>
      <xdr:row>24</xdr:row>
      <xdr:rowOff>9525</xdr:rowOff>
    </xdr:to>
    <xdr:sp macro="" textlink="">
      <xdr:nvSpPr>
        <xdr:cNvPr id="59" name="Texto 239">
          <a:extLst>
            <a:ext uri="{FF2B5EF4-FFF2-40B4-BE49-F238E27FC236}">
              <a16:creationId xmlns:a16="http://schemas.microsoft.com/office/drawing/2014/main" id="{00000000-0008-0000-0E00-00003B000000}"/>
            </a:ext>
          </a:extLst>
        </xdr:cNvPr>
        <xdr:cNvSpPr txBox="1">
          <a:spLocks noChangeArrowheads="1"/>
        </xdr:cNvSpPr>
      </xdr:nvSpPr>
      <xdr:spPr bwMode="auto">
        <a:xfrm>
          <a:off x="4352925" y="3609975"/>
          <a:ext cx="1390650" cy="3238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Régimen   Régimen                   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4563"/>
              </a:solidFill>
              <a:latin typeface="Arial"/>
              <a:cs typeface="Arial"/>
            </a:rPr>
            <a:t>anual         hiperanual  Total     </a:t>
          </a:r>
        </a:p>
      </xdr:txBody>
    </xdr:sp>
    <xdr:clientData/>
  </xdr:twoCellAnchor>
  <xdr:twoCellAnchor>
    <xdr:from>
      <xdr:col>4</xdr:col>
      <xdr:colOff>845233</xdr:colOff>
      <xdr:row>8</xdr:row>
      <xdr:rowOff>25644</xdr:rowOff>
    </xdr:from>
    <xdr:to>
      <xdr:col>4</xdr:col>
      <xdr:colOff>873808</xdr:colOff>
      <xdr:row>10</xdr:row>
      <xdr:rowOff>54219</xdr:rowOff>
    </xdr:to>
    <xdr:sp macro="" textlink="">
      <xdr:nvSpPr>
        <xdr:cNvPr id="63" name="Rectangle 51">
          <a:extLst>
            <a:ext uri="{FF2B5EF4-FFF2-40B4-BE49-F238E27FC236}">
              <a16:creationId xmlns:a16="http://schemas.microsoft.com/office/drawing/2014/main" id="{00000000-0008-0000-0E00-00003F000000}"/>
            </a:ext>
          </a:extLst>
        </xdr:cNvPr>
        <xdr:cNvSpPr>
          <a:spLocks noChangeArrowheads="1"/>
        </xdr:cNvSpPr>
      </xdr:nvSpPr>
      <xdr:spPr bwMode="auto">
        <a:xfrm>
          <a:off x="2706271" y="1395779"/>
          <a:ext cx="28575" cy="350959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1487805</xdr:colOff>
      <xdr:row>11</xdr:row>
      <xdr:rowOff>95250</xdr:rowOff>
    </xdr:from>
    <xdr:to>
      <xdr:col>4</xdr:col>
      <xdr:colOff>1516380</xdr:colOff>
      <xdr:row>13</xdr:row>
      <xdr:rowOff>123825</xdr:rowOff>
    </xdr:to>
    <xdr:sp macro="" textlink="">
      <xdr:nvSpPr>
        <xdr:cNvPr id="66" name="Rectangle 51">
          <a:extLst>
            <a:ext uri="{FF2B5EF4-FFF2-40B4-BE49-F238E27FC236}">
              <a16:creationId xmlns:a16="http://schemas.microsoft.com/office/drawing/2014/main" id="{00000000-0008-0000-0E00-000042000000}"/>
            </a:ext>
          </a:extLst>
        </xdr:cNvPr>
        <xdr:cNvSpPr>
          <a:spLocks noChangeArrowheads="1"/>
        </xdr:cNvSpPr>
      </xdr:nvSpPr>
      <xdr:spPr bwMode="auto">
        <a:xfrm>
          <a:off x="3345180" y="19621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2859405</xdr:colOff>
      <xdr:row>10</xdr:row>
      <xdr:rowOff>66675</xdr:rowOff>
    </xdr:from>
    <xdr:to>
      <xdr:col>4</xdr:col>
      <xdr:colOff>2887980</xdr:colOff>
      <xdr:row>12</xdr:row>
      <xdr:rowOff>95250</xdr:rowOff>
    </xdr:to>
    <xdr:sp macro="" textlink="">
      <xdr:nvSpPr>
        <xdr:cNvPr id="69" name="Rectangle 61">
          <a:extLst>
            <a:ext uri="{FF2B5EF4-FFF2-40B4-BE49-F238E27FC236}">
              <a16:creationId xmlns:a16="http://schemas.microsoft.com/office/drawing/2014/main" id="{00000000-0008-0000-0E00-000045000000}"/>
            </a:ext>
          </a:extLst>
        </xdr:cNvPr>
        <xdr:cNvSpPr>
          <a:spLocks noChangeArrowheads="1"/>
        </xdr:cNvSpPr>
      </xdr:nvSpPr>
      <xdr:spPr bwMode="auto">
        <a:xfrm>
          <a:off x="4716780" y="177165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2707005</xdr:colOff>
      <xdr:row>15</xdr:row>
      <xdr:rowOff>38100</xdr:rowOff>
    </xdr:from>
    <xdr:to>
      <xdr:col>4</xdr:col>
      <xdr:colOff>2735580</xdr:colOff>
      <xdr:row>17</xdr:row>
      <xdr:rowOff>66675</xdr:rowOff>
    </xdr:to>
    <xdr:sp macro="" textlink="">
      <xdr:nvSpPr>
        <xdr:cNvPr id="72" name="Rectangle 71">
          <a:extLst>
            <a:ext uri="{FF2B5EF4-FFF2-40B4-BE49-F238E27FC236}">
              <a16:creationId xmlns:a16="http://schemas.microsoft.com/office/drawing/2014/main" id="{00000000-0008-0000-0E00-000048000000}"/>
            </a:ext>
          </a:extLst>
        </xdr:cNvPr>
        <xdr:cNvSpPr>
          <a:spLocks noChangeArrowheads="1"/>
        </xdr:cNvSpPr>
      </xdr:nvSpPr>
      <xdr:spPr bwMode="auto">
        <a:xfrm>
          <a:off x="4564380" y="2552700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2097405</xdr:colOff>
      <xdr:row>18</xdr:row>
      <xdr:rowOff>125730</xdr:rowOff>
    </xdr:from>
    <xdr:to>
      <xdr:col>4</xdr:col>
      <xdr:colOff>2125980</xdr:colOff>
      <xdr:row>20</xdr:row>
      <xdr:rowOff>154305</xdr:rowOff>
    </xdr:to>
    <xdr:sp macro="" textlink="">
      <xdr:nvSpPr>
        <xdr:cNvPr id="75" name="Rectangle 81">
          <a:extLst>
            <a:ext uri="{FF2B5EF4-FFF2-40B4-BE49-F238E27FC236}">
              <a16:creationId xmlns:a16="http://schemas.microsoft.com/office/drawing/2014/main" id="{00000000-0008-0000-0E00-00004B000000}"/>
            </a:ext>
          </a:extLst>
        </xdr:cNvPr>
        <xdr:cNvSpPr>
          <a:spLocks noChangeArrowheads="1"/>
        </xdr:cNvSpPr>
      </xdr:nvSpPr>
      <xdr:spPr bwMode="auto">
        <a:xfrm>
          <a:off x="3954780" y="3126105"/>
          <a:ext cx="28575" cy="352425"/>
        </a:xfrm>
        <a:prstGeom prst="rect">
          <a:avLst/>
        </a:prstGeom>
        <a:solidFill>
          <a:srgbClr val="969696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259080</xdr:colOff>
      <xdr:row>9</xdr:row>
      <xdr:rowOff>9525</xdr:rowOff>
    </xdr:from>
    <xdr:to>
      <xdr:col>4</xdr:col>
      <xdr:colOff>533400</xdr:colOff>
      <xdr:row>10</xdr:row>
      <xdr:rowOff>27199</xdr:rowOff>
    </xdr:to>
    <xdr:sp macro="" textlink="'Data 3'!F70">
      <xdr:nvSpPr>
        <xdr:cNvPr id="100" name="Text Box 45">
          <a:extLst>
            <a:ext uri="{FF2B5EF4-FFF2-40B4-BE49-F238E27FC236}">
              <a16:creationId xmlns:a16="http://schemas.microsoft.com/office/drawing/2014/main" id="{00000000-0008-0000-0E00-00006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116455" y="1552575"/>
          <a:ext cx="274320" cy="179599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7F4F971-DEA8-4716-8C9B-4D424A1CDFE2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73,3%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573405</xdr:colOff>
      <xdr:row>9</xdr:row>
      <xdr:rowOff>47625</xdr:rowOff>
    </xdr:from>
    <xdr:to>
      <xdr:col>4</xdr:col>
      <xdr:colOff>828675</xdr:colOff>
      <xdr:row>10</xdr:row>
      <xdr:rowOff>35925</xdr:rowOff>
    </xdr:to>
    <xdr:sp macro="" textlink="'Data 3'!H70">
      <xdr:nvSpPr>
        <xdr:cNvPr id="103" name="Text Box 49">
          <a:extLst>
            <a:ext uri="{FF2B5EF4-FFF2-40B4-BE49-F238E27FC236}">
              <a16:creationId xmlns:a16="http://schemas.microsoft.com/office/drawing/2014/main" id="{00000000-0008-0000-0E00-00006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30780" y="1590675"/>
          <a:ext cx="255270" cy="150225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B5FEBE96-A646-4C6F-A3A0-BA76EB9748A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890905</xdr:colOff>
      <xdr:row>9</xdr:row>
      <xdr:rowOff>47626</xdr:rowOff>
    </xdr:from>
    <xdr:to>
      <xdr:col>4</xdr:col>
      <xdr:colOff>1168889</xdr:colOff>
      <xdr:row>10</xdr:row>
      <xdr:rowOff>38101</xdr:rowOff>
    </xdr:to>
    <xdr:sp macro="" textlink="'Data 3'!J70">
      <xdr:nvSpPr>
        <xdr:cNvPr id="104" name="Text Box 109">
          <a:extLst>
            <a:ext uri="{FF2B5EF4-FFF2-40B4-BE49-F238E27FC236}">
              <a16:creationId xmlns:a16="http://schemas.microsoft.com/office/drawing/2014/main" id="{00000000-0008-0000-0E00-00006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48280" y="1590676"/>
          <a:ext cx="277984" cy="15240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505EADB-DBBC-4D23-88BC-B2048BC480EB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68,5%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230505</xdr:colOff>
      <xdr:row>7</xdr:row>
      <xdr:rowOff>57150</xdr:rowOff>
    </xdr:from>
    <xdr:to>
      <xdr:col>4</xdr:col>
      <xdr:colOff>554355</xdr:colOff>
      <xdr:row>8</xdr:row>
      <xdr:rowOff>95250</xdr:rowOff>
    </xdr:to>
    <xdr:sp macro="" textlink="'Data 3'!G70">
      <xdr:nvSpPr>
        <xdr:cNvPr id="105" name="Texto 239">
          <a:extLst>
            <a:ext uri="{FF2B5EF4-FFF2-40B4-BE49-F238E27FC236}">
              <a16:creationId xmlns:a16="http://schemas.microsoft.com/office/drawing/2014/main" id="{00000000-0008-0000-0E00-00006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087880" y="12763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24E62CA-E3B0-4332-8273-CBE9A2EA6AB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1.866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558018</xdr:colOff>
      <xdr:row>7</xdr:row>
      <xdr:rowOff>45427</xdr:rowOff>
    </xdr:from>
    <xdr:to>
      <xdr:col>4</xdr:col>
      <xdr:colOff>881868</xdr:colOff>
      <xdr:row>8</xdr:row>
      <xdr:rowOff>83527</xdr:rowOff>
    </xdr:to>
    <xdr:sp macro="" textlink="'Data 3'!I70">
      <xdr:nvSpPr>
        <xdr:cNvPr id="106" name="Texto 239">
          <a:extLst>
            <a:ext uri="{FF2B5EF4-FFF2-40B4-BE49-F238E27FC236}">
              <a16:creationId xmlns:a16="http://schemas.microsoft.com/office/drawing/2014/main" id="{00000000-0008-0000-0E00-00006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415393" y="1264627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8B3F277-6782-4ED2-BE5A-4EF20380975E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502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881430</xdr:colOff>
      <xdr:row>7</xdr:row>
      <xdr:rowOff>41031</xdr:rowOff>
    </xdr:from>
    <xdr:to>
      <xdr:col>4</xdr:col>
      <xdr:colOff>1205280</xdr:colOff>
      <xdr:row>8</xdr:row>
      <xdr:rowOff>79131</xdr:rowOff>
    </xdr:to>
    <xdr:sp macro="" textlink="'Data 3'!K70">
      <xdr:nvSpPr>
        <xdr:cNvPr id="107" name="Texto 239">
          <a:extLst>
            <a:ext uri="{FF2B5EF4-FFF2-40B4-BE49-F238E27FC236}">
              <a16:creationId xmlns:a16="http://schemas.microsoft.com/office/drawing/2014/main" id="{00000000-0008-0000-0E00-00006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38805" y="1260231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41D0F1C-F015-4865-AF97-225A7EDCCE1A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2.368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1497330</xdr:colOff>
      <xdr:row>7</xdr:row>
      <xdr:rowOff>104775</xdr:rowOff>
    </xdr:from>
    <xdr:to>
      <xdr:col>4</xdr:col>
      <xdr:colOff>1821180</xdr:colOff>
      <xdr:row>8</xdr:row>
      <xdr:rowOff>142875</xdr:rowOff>
    </xdr:to>
    <xdr:sp macro="" textlink="'Data 3'!E70">
      <xdr:nvSpPr>
        <xdr:cNvPr id="108" name="Texto 239">
          <a:extLst>
            <a:ext uri="{FF2B5EF4-FFF2-40B4-BE49-F238E27FC236}">
              <a16:creationId xmlns:a16="http://schemas.microsoft.com/office/drawing/2014/main" id="{00000000-0008-0000-0E00-00006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4705" y="13239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AA9071-48BF-4505-8727-2AC73EFF86EF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5.205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1743075</xdr:colOff>
      <xdr:row>7</xdr:row>
      <xdr:rowOff>85725</xdr:rowOff>
    </xdr:from>
    <xdr:ext cx="390525" cy="180975"/>
    <xdr:sp macro="" textlink="">
      <xdr:nvSpPr>
        <xdr:cNvPr id="110" name="CuadroTexto 109">
          <a:extLst>
            <a:ext uri="{FF2B5EF4-FFF2-40B4-BE49-F238E27FC236}">
              <a16:creationId xmlns:a16="http://schemas.microsoft.com/office/drawing/2014/main" id="{00000000-0008-0000-0E00-00006E000000}"/>
            </a:ext>
          </a:extLst>
        </xdr:cNvPr>
        <xdr:cNvSpPr txBox="1"/>
      </xdr:nvSpPr>
      <xdr:spPr>
        <a:xfrm>
          <a:off x="3600450" y="130492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914400</xdr:colOff>
      <xdr:row>12</xdr:row>
      <xdr:rowOff>66675</xdr:rowOff>
    </xdr:from>
    <xdr:to>
      <xdr:col>4</xdr:col>
      <xdr:colOff>1166400</xdr:colOff>
      <xdr:row>13</xdr:row>
      <xdr:rowOff>112791</xdr:rowOff>
    </xdr:to>
    <xdr:sp macro="" textlink="'Data 3'!F71">
      <xdr:nvSpPr>
        <xdr:cNvPr id="111" name="Text Box 99">
          <a:extLst>
            <a:ext uri="{FF2B5EF4-FFF2-40B4-BE49-F238E27FC236}">
              <a16:creationId xmlns:a16="http://schemas.microsoft.com/office/drawing/2014/main" id="{00000000-0008-0000-0E00-00006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71775" y="2095500"/>
          <a:ext cx="252000" cy="20804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230AC9F-2FA0-4E85-A16B-3091EC8D354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72,1%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1228725</xdr:colOff>
      <xdr:row>12</xdr:row>
      <xdr:rowOff>123825</xdr:rowOff>
    </xdr:from>
    <xdr:to>
      <xdr:col>4</xdr:col>
      <xdr:colOff>1466850</xdr:colOff>
      <xdr:row>13</xdr:row>
      <xdr:rowOff>115912</xdr:rowOff>
    </xdr:to>
    <xdr:sp macro="" textlink="'Data 3'!H71">
      <xdr:nvSpPr>
        <xdr:cNvPr id="112" name="Text Box 104">
          <a:extLst>
            <a:ext uri="{FF2B5EF4-FFF2-40B4-BE49-F238E27FC236}">
              <a16:creationId xmlns:a16="http://schemas.microsoft.com/office/drawing/2014/main" id="{00000000-0008-0000-0E00-00007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86100" y="2152650"/>
          <a:ext cx="238125" cy="154012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E768463A-88C4-4CE3-BD6E-8E68FB2741F3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41,0%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1543050</xdr:colOff>
      <xdr:row>12</xdr:row>
      <xdr:rowOff>114299</xdr:rowOff>
    </xdr:from>
    <xdr:to>
      <xdr:col>4</xdr:col>
      <xdr:colOff>1795050</xdr:colOff>
      <xdr:row>13</xdr:row>
      <xdr:rowOff>102373</xdr:rowOff>
    </xdr:to>
    <xdr:sp macro="" textlink="'Data 3'!J71">
      <xdr:nvSpPr>
        <xdr:cNvPr id="113" name="Text Box 109">
          <a:extLst>
            <a:ext uri="{FF2B5EF4-FFF2-40B4-BE49-F238E27FC236}">
              <a16:creationId xmlns:a16="http://schemas.microsoft.com/office/drawing/2014/main" id="{00000000-0008-0000-0E00-00007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00425" y="2143124"/>
          <a:ext cx="252000" cy="14999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191A7EB-3DC3-456D-8743-462A9276EE5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51,9%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1230630</xdr:colOff>
      <xdr:row>9</xdr:row>
      <xdr:rowOff>107950</xdr:rowOff>
    </xdr:from>
    <xdr:ext cx="314830" cy="141001"/>
    <xdr:sp macro="" textlink="">
      <xdr:nvSpPr>
        <xdr:cNvPr id="114" name="Texto 13">
          <a:extLst>
            <a:ext uri="{FF2B5EF4-FFF2-40B4-BE49-F238E27FC236}">
              <a16:creationId xmlns:a16="http://schemas.microsoft.com/office/drawing/2014/main" id="{00000000-0008-0000-0E00-000072000000}"/>
            </a:ext>
          </a:extLst>
        </xdr:cNvPr>
        <xdr:cNvSpPr txBox="1">
          <a:spLocks noChangeArrowheads="1"/>
        </xdr:cNvSpPr>
      </xdr:nvSpPr>
      <xdr:spPr bwMode="auto">
        <a:xfrm>
          <a:off x="3088005" y="1651000"/>
          <a:ext cx="31483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Duero</a:t>
          </a:r>
        </a:p>
      </xdr:txBody>
    </xdr:sp>
    <xdr:clientData/>
  </xdr:oneCellAnchor>
  <xdr:twoCellAnchor>
    <xdr:from>
      <xdr:col>4</xdr:col>
      <xdr:colOff>1571625</xdr:colOff>
      <xdr:row>9</xdr:row>
      <xdr:rowOff>123825</xdr:rowOff>
    </xdr:from>
    <xdr:to>
      <xdr:col>4</xdr:col>
      <xdr:colOff>1895475</xdr:colOff>
      <xdr:row>11</xdr:row>
      <xdr:rowOff>0</xdr:rowOff>
    </xdr:to>
    <xdr:sp macro="" textlink="'Data 3'!E71">
      <xdr:nvSpPr>
        <xdr:cNvPr id="115" name="Texto 239">
          <a:extLst>
            <a:ext uri="{FF2B5EF4-FFF2-40B4-BE49-F238E27FC236}">
              <a16:creationId xmlns:a16="http://schemas.microsoft.com/office/drawing/2014/main" id="{00000000-0008-0000-0E00-00007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429000" y="166687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4F5CE4-FB93-4442-A501-582E45EE40C3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3.968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1800224</xdr:colOff>
      <xdr:row>9</xdr:row>
      <xdr:rowOff>95250</xdr:rowOff>
    </xdr:from>
    <xdr:ext cx="390525" cy="180975"/>
    <xdr:sp macro="" textlink="">
      <xdr:nvSpPr>
        <xdr:cNvPr id="116" name="CuadroTexto 115">
          <a:extLst>
            <a:ext uri="{FF2B5EF4-FFF2-40B4-BE49-F238E27FC236}">
              <a16:creationId xmlns:a16="http://schemas.microsoft.com/office/drawing/2014/main" id="{00000000-0008-0000-0E00-000074000000}"/>
            </a:ext>
          </a:extLst>
        </xdr:cNvPr>
        <xdr:cNvSpPr txBox="1"/>
      </xdr:nvSpPr>
      <xdr:spPr>
        <a:xfrm>
          <a:off x="3657599" y="163830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923925</xdr:colOff>
      <xdr:row>11</xdr:row>
      <xdr:rowOff>0</xdr:rowOff>
    </xdr:from>
    <xdr:to>
      <xdr:col>4</xdr:col>
      <xdr:colOff>1247775</xdr:colOff>
      <xdr:row>11</xdr:row>
      <xdr:rowOff>123825</xdr:rowOff>
    </xdr:to>
    <xdr:sp macro="" textlink="'Data 3'!G71">
      <xdr:nvSpPr>
        <xdr:cNvPr id="117" name="Texto 239">
          <a:extLst>
            <a:ext uri="{FF2B5EF4-FFF2-40B4-BE49-F238E27FC236}">
              <a16:creationId xmlns:a16="http://schemas.microsoft.com/office/drawing/2014/main" id="{00000000-0008-0000-0E00-00007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81300" y="1866900"/>
          <a:ext cx="323850" cy="123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659F481-CAFA-406E-A70B-1E6C8CF70DD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1.212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1181100</xdr:colOff>
      <xdr:row>11</xdr:row>
      <xdr:rowOff>9525</xdr:rowOff>
    </xdr:from>
    <xdr:to>
      <xdr:col>4</xdr:col>
      <xdr:colOff>1504950</xdr:colOff>
      <xdr:row>12</xdr:row>
      <xdr:rowOff>49530</xdr:rowOff>
    </xdr:to>
    <xdr:sp macro="" textlink="'Data 3'!I71">
      <xdr:nvSpPr>
        <xdr:cNvPr id="118" name="Texto 239">
          <a:extLst>
            <a:ext uri="{FF2B5EF4-FFF2-40B4-BE49-F238E27FC236}">
              <a16:creationId xmlns:a16="http://schemas.microsoft.com/office/drawing/2014/main" id="{00000000-0008-0000-0E00-00007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038475" y="18764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94138D50-6D4D-456E-AA82-1CB80A319DE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1.280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1485900</xdr:colOff>
      <xdr:row>11</xdr:row>
      <xdr:rowOff>9525</xdr:rowOff>
    </xdr:from>
    <xdr:to>
      <xdr:col>4</xdr:col>
      <xdr:colOff>1809750</xdr:colOff>
      <xdr:row>11</xdr:row>
      <xdr:rowOff>142875</xdr:rowOff>
    </xdr:to>
    <xdr:sp macro="" textlink="'Data 3'!K71">
      <xdr:nvSpPr>
        <xdr:cNvPr id="119" name="Texto 239">
          <a:extLst>
            <a:ext uri="{FF2B5EF4-FFF2-40B4-BE49-F238E27FC236}">
              <a16:creationId xmlns:a16="http://schemas.microsoft.com/office/drawing/2014/main" id="{00000000-0008-0000-0E00-00007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43275" y="1876425"/>
          <a:ext cx="323850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7E9E32E-8816-4613-A25C-1AD1886713B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2.492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2268855</xdr:colOff>
      <xdr:row>8</xdr:row>
      <xdr:rowOff>146050</xdr:rowOff>
    </xdr:from>
    <xdr:ext cx="634084" cy="141001"/>
    <xdr:sp macro="" textlink="">
      <xdr:nvSpPr>
        <xdr:cNvPr id="120" name="Texto 12">
          <a:extLst>
            <a:ext uri="{FF2B5EF4-FFF2-40B4-BE49-F238E27FC236}">
              <a16:creationId xmlns:a16="http://schemas.microsoft.com/office/drawing/2014/main" id="{00000000-0008-0000-0E00-000078000000}"/>
            </a:ext>
          </a:extLst>
        </xdr:cNvPr>
        <xdr:cNvSpPr txBox="1">
          <a:spLocks noChangeArrowheads="1"/>
        </xdr:cNvSpPr>
      </xdr:nvSpPr>
      <xdr:spPr bwMode="auto">
        <a:xfrm>
          <a:off x="4126230" y="1527175"/>
          <a:ext cx="634084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Ebro-Pirineo</a:t>
          </a:r>
        </a:p>
      </xdr:txBody>
    </xdr:sp>
    <xdr:clientData/>
  </xdr:oneCellAnchor>
  <xdr:twoCellAnchor>
    <xdr:from>
      <xdr:col>4</xdr:col>
      <xdr:colOff>2268855</xdr:colOff>
      <xdr:row>9</xdr:row>
      <xdr:rowOff>133350</xdr:rowOff>
    </xdr:from>
    <xdr:to>
      <xdr:col>4</xdr:col>
      <xdr:colOff>2592705</xdr:colOff>
      <xdr:row>11</xdr:row>
      <xdr:rowOff>11430</xdr:rowOff>
    </xdr:to>
    <xdr:sp macro="" textlink="'Data 3'!G75">
      <xdr:nvSpPr>
        <xdr:cNvPr id="121" name="Texto 239">
          <a:extLst>
            <a:ext uri="{FF2B5EF4-FFF2-40B4-BE49-F238E27FC236}">
              <a16:creationId xmlns:a16="http://schemas.microsoft.com/office/drawing/2014/main" id="{00000000-0008-0000-0E00-00007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26230" y="1676400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C5F8DF9-2133-48CF-9332-9B4715C6F876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1.530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2287905</xdr:colOff>
      <xdr:row>11</xdr:row>
      <xdr:rowOff>85725</xdr:rowOff>
    </xdr:from>
    <xdr:to>
      <xdr:col>4</xdr:col>
      <xdr:colOff>2539905</xdr:colOff>
      <xdr:row>12</xdr:row>
      <xdr:rowOff>94078</xdr:rowOff>
    </xdr:to>
    <xdr:sp macro="" textlink="'Data 3'!F75">
      <xdr:nvSpPr>
        <xdr:cNvPr id="122" name="Text Box 54">
          <a:extLst>
            <a:ext uri="{FF2B5EF4-FFF2-40B4-BE49-F238E27FC236}">
              <a16:creationId xmlns:a16="http://schemas.microsoft.com/office/drawing/2014/main" id="{00000000-0008-0000-0E00-00007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145280" y="1952625"/>
          <a:ext cx="252000" cy="170278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F355F00-28C4-4553-AC45-68C0E55801F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71,7%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2611755</xdr:colOff>
      <xdr:row>9</xdr:row>
      <xdr:rowOff>142875</xdr:rowOff>
    </xdr:from>
    <xdr:to>
      <xdr:col>4</xdr:col>
      <xdr:colOff>2935605</xdr:colOff>
      <xdr:row>11</xdr:row>
      <xdr:rowOff>20955</xdr:rowOff>
    </xdr:to>
    <xdr:sp macro="" textlink="'Data 3'!I75">
      <xdr:nvSpPr>
        <xdr:cNvPr id="123" name="Texto 239">
          <a:extLst>
            <a:ext uri="{FF2B5EF4-FFF2-40B4-BE49-F238E27FC236}">
              <a16:creationId xmlns:a16="http://schemas.microsoft.com/office/drawing/2014/main" id="{00000000-0008-0000-0E00-00007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9130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D9ECE877-F43C-40EB-8C70-4C120F55E52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110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2602230</xdr:colOff>
      <xdr:row>11</xdr:row>
      <xdr:rowOff>131855</xdr:rowOff>
    </xdr:from>
    <xdr:to>
      <xdr:col>4</xdr:col>
      <xdr:colOff>2854230</xdr:colOff>
      <xdr:row>12</xdr:row>
      <xdr:rowOff>99530</xdr:rowOff>
    </xdr:to>
    <xdr:sp macro="" textlink="'Data 3'!H75">
      <xdr:nvSpPr>
        <xdr:cNvPr id="124" name="Text Box 59">
          <a:extLst>
            <a:ext uri="{FF2B5EF4-FFF2-40B4-BE49-F238E27FC236}">
              <a16:creationId xmlns:a16="http://schemas.microsoft.com/office/drawing/2014/main" id="{00000000-0008-0000-0E00-00007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59605" y="1998755"/>
          <a:ext cx="252000" cy="1296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0F061EE1-7E59-4F0F-B059-2D91AC6419C1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11</xdr:row>
      <xdr:rowOff>95250</xdr:rowOff>
    </xdr:from>
    <xdr:to>
      <xdr:col>4</xdr:col>
      <xdr:colOff>3159030</xdr:colOff>
      <xdr:row>12</xdr:row>
      <xdr:rowOff>94499</xdr:rowOff>
    </xdr:to>
    <xdr:sp macro="" textlink="'Data 3'!J75">
      <xdr:nvSpPr>
        <xdr:cNvPr id="125" name="Text Box 109">
          <a:extLst>
            <a:ext uri="{FF2B5EF4-FFF2-40B4-BE49-F238E27FC236}">
              <a16:creationId xmlns:a16="http://schemas.microsoft.com/office/drawing/2014/main" id="{00000000-0008-0000-0E00-00007D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962150"/>
          <a:ext cx="252000" cy="161174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2E05FD4-ED3B-46C8-B73B-2431900C7F7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69,0%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2907030</xdr:colOff>
      <xdr:row>9</xdr:row>
      <xdr:rowOff>142875</xdr:rowOff>
    </xdr:from>
    <xdr:to>
      <xdr:col>4</xdr:col>
      <xdr:colOff>3230880</xdr:colOff>
      <xdr:row>11</xdr:row>
      <xdr:rowOff>20955</xdr:rowOff>
    </xdr:to>
    <xdr:sp macro="" textlink="'Data 3'!K75">
      <xdr:nvSpPr>
        <xdr:cNvPr id="126" name="Texto 239">
          <a:extLst>
            <a:ext uri="{FF2B5EF4-FFF2-40B4-BE49-F238E27FC236}">
              <a16:creationId xmlns:a16="http://schemas.microsoft.com/office/drawing/2014/main" id="{00000000-0008-0000-0E00-00007E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64405" y="16859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C7A6D13-6ACB-41DB-9AB8-A3CDF3B0FD35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1.641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2924175</xdr:colOff>
      <xdr:row>8</xdr:row>
      <xdr:rowOff>152400</xdr:rowOff>
    </xdr:from>
    <xdr:to>
      <xdr:col>4</xdr:col>
      <xdr:colOff>3248025</xdr:colOff>
      <xdr:row>10</xdr:row>
      <xdr:rowOff>28575</xdr:rowOff>
    </xdr:to>
    <xdr:sp macro="" textlink="'Data 3'!E75">
      <xdr:nvSpPr>
        <xdr:cNvPr id="127" name="Texto 239">
          <a:extLst>
            <a:ext uri="{FF2B5EF4-FFF2-40B4-BE49-F238E27FC236}">
              <a16:creationId xmlns:a16="http://schemas.microsoft.com/office/drawing/2014/main" id="{00000000-0008-0000-0E00-00007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781550" y="1533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7E067EB-B89C-4EF4-9C69-7764B1D502C8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3.446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3124199</xdr:colOff>
      <xdr:row>8</xdr:row>
      <xdr:rowOff>123825</xdr:rowOff>
    </xdr:from>
    <xdr:ext cx="390525" cy="180975"/>
    <xdr:sp macro="" textlink="">
      <xdr:nvSpPr>
        <xdr:cNvPr id="128" name="CuadroTexto 127">
          <a:extLst>
            <a:ext uri="{FF2B5EF4-FFF2-40B4-BE49-F238E27FC236}">
              <a16:creationId xmlns:a16="http://schemas.microsoft.com/office/drawing/2014/main" id="{00000000-0008-0000-0E00-000080000000}"/>
            </a:ext>
          </a:extLst>
        </xdr:cNvPr>
        <xdr:cNvSpPr txBox="1"/>
      </xdr:nvSpPr>
      <xdr:spPr>
        <a:xfrm>
          <a:off x="4981574" y="1504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1695450</xdr:colOff>
      <xdr:row>13</xdr:row>
      <xdr:rowOff>95250</xdr:rowOff>
    </xdr:from>
    <xdr:ext cx="919291" cy="141001"/>
    <xdr:sp macro="" textlink="">
      <xdr:nvSpPr>
        <xdr:cNvPr id="129" name="Texto 15">
          <a:extLst>
            <a:ext uri="{FF2B5EF4-FFF2-40B4-BE49-F238E27FC236}">
              <a16:creationId xmlns:a16="http://schemas.microsoft.com/office/drawing/2014/main" id="{00000000-0008-0000-0E00-000081000000}"/>
            </a:ext>
          </a:extLst>
        </xdr:cNvPr>
        <xdr:cNvSpPr txBox="1">
          <a:spLocks noChangeArrowheads="1"/>
        </xdr:cNvSpPr>
      </xdr:nvSpPr>
      <xdr:spPr bwMode="auto">
        <a:xfrm>
          <a:off x="3552825" y="2286000"/>
          <a:ext cx="919291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Tajo-Júcar-Segura</a:t>
          </a:r>
        </a:p>
      </xdr:txBody>
    </xdr:sp>
    <xdr:clientData/>
  </xdr:oneCellAnchor>
  <xdr:twoCellAnchor>
    <xdr:from>
      <xdr:col>4</xdr:col>
      <xdr:colOff>2095500</xdr:colOff>
      <xdr:row>14</xdr:row>
      <xdr:rowOff>59055</xdr:rowOff>
    </xdr:from>
    <xdr:to>
      <xdr:col>4</xdr:col>
      <xdr:colOff>2419350</xdr:colOff>
      <xdr:row>15</xdr:row>
      <xdr:rowOff>95250</xdr:rowOff>
    </xdr:to>
    <xdr:sp macro="" textlink="'Data 3'!G72">
      <xdr:nvSpPr>
        <xdr:cNvPr id="130" name="Texto 239">
          <a:extLst>
            <a:ext uri="{FF2B5EF4-FFF2-40B4-BE49-F238E27FC236}">
              <a16:creationId xmlns:a16="http://schemas.microsoft.com/office/drawing/2014/main" id="{00000000-0008-0000-0E00-00008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528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D11311A-426B-4AF3-ACC4-254C125A399C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1.460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2130425</xdr:colOff>
      <xdr:row>16</xdr:row>
      <xdr:rowOff>9525</xdr:rowOff>
    </xdr:from>
    <xdr:to>
      <xdr:col>4</xdr:col>
      <xdr:colOff>2390775</xdr:colOff>
      <xdr:row>17</xdr:row>
      <xdr:rowOff>54481</xdr:rowOff>
    </xdr:to>
    <xdr:sp macro="" textlink="'Data 3'!F72">
      <xdr:nvSpPr>
        <xdr:cNvPr id="131" name="Text Box 64">
          <a:extLst>
            <a:ext uri="{FF2B5EF4-FFF2-40B4-BE49-F238E27FC236}">
              <a16:creationId xmlns:a16="http://schemas.microsoft.com/office/drawing/2014/main" id="{00000000-0008-0000-0E00-00008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87800" y="2686050"/>
          <a:ext cx="260350" cy="206881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56DAB6D6-D288-4AC0-B1A4-A695A8EB14D6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60,2%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2400300</xdr:colOff>
      <xdr:row>14</xdr:row>
      <xdr:rowOff>59055</xdr:rowOff>
    </xdr:from>
    <xdr:to>
      <xdr:col>4</xdr:col>
      <xdr:colOff>2724150</xdr:colOff>
      <xdr:row>15</xdr:row>
      <xdr:rowOff>95250</xdr:rowOff>
    </xdr:to>
    <xdr:sp macro="" textlink="'Data 3'!I72">
      <xdr:nvSpPr>
        <xdr:cNvPr id="132" name="Texto 239">
          <a:extLst>
            <a:ext uri="{FF2B5EF4-FFF2-40B4-BE49-F238E27FC236}">
              <a16:creationId xmlns:a16="http://schemas.microsoft.com/office/drawing/2014/main" id="{00000000-0008-0000-0E00-00008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57675" y="241173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565A23C5-47D3-45F1-A9F7-FB14A2625FC2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1.046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2428128</xdr:colOff>
      <xdr:row>16</xdr:row>
      <xdr:rowOff>99582</xdr:rowOff>
    </xdr:from>
    <xdr:to>
      <xdr:col>4</xdr:col>
      <xdr:colOff>2680128</xdr:colOff>
      <xdr:row>17</xdr:row>
      <xdr:rowOff>60057</xdr:rowOff>
    </xdr:to>
    <xdr:sp macro="" textlink="'Data 3'!H72">
      <xdr:nvSpPr>
        <xdr:cNvPr id="133" name="Text Box 146">
          <a:extLst>
            <a:ext uri="{FF2B5EF4-FFF2-40B4-BE49-F238E27FC236}">
              <a16:creationId xmlns:a16="http://schemas.microsoft.com/office/drawing/2014/main" id="{00000000-0008-0000-0E00-00008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285503" y="2776107"/>
          <a:ext cx="252000" cy="12240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788C926-F91C-4216-8A60-050FB74006C0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27,6%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2733676</xdr:colOff>
      <xdr:row>16</xdr:row>
      <xdr:rowOff>57150</xdr:rowOff>
    </xdr:from>
    <xdr:to>
      <xdr:col>4</xdr:col>
      <xdr:colOff>2943226</xdr:colOff>
      <xdr:row>17</xdr:row>
      <xdr:rowOff>58275</xdr:rowOff>
    </xdr:to>
    <xdr:sp macro="" textlink="'Data 3'!J72">
      <xdr:nvSpPr>
        <xdr:cNvPr id="134" name="Text Box 109">
          <a:extLst>
            <a:ext uri="{FF2B5EF4-FFF2-40B4-BE49-F238E27FC236}">
              <a16:creationId xmlns:a16="http://schemas.microsoft.com/office/drawing/2014/main" id="{00000000-0008-0000-0E00-000086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91051" y="2733675"/>
          <a:ext cx="209550" cy="163050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C7EA7E31-4F2C-426E-9195-BA79B9147EC8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40,3%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2695575</xdr:colOff>
      <xdr:row>14</xdr:row>
      <xdr:rowOff>66675</xdr:rowOff>
    </xdr:from>
    <xdr:to>
      <xdr:col>4</xdr:col>
      <xdr:colOff>3019425</xdr:colOff>
      <xdr:row>15</xdr:row>
      <xdr:rowOff>102870</xdr:rowOff>
    </xdr:to>
    <xdr:sp macro="" textlink="'Data 3'!K72">
      <xdr:nvSpPr>
        <xdr:cNvPr id="135" name="Texto 239">
          <a:extLst>
            <a:ext uri="{FF2B5EF4-FFF2-40B4-BE49-F238E27FC236}">
              <a16:creationId xmlns:a16="http://schemas.microsoft.com/office/drawing/2014/main" id="{00000000-0008-0000-0E00-00008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552950" y="24193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E7F4DF55-3A5A-4641-A661-55998146D920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2.507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2607945</xdr:colOff>
      <xdr:row>13</xdr:row>
      <xdr:rowOff>104775</xdr:rowOff>
    </xdr:from>
    <xdr:to>
      <xdr:col>4</xdr:col>
      <xdr:colOff>2931795</xdr:colOff>
      <xdr:row>14</xdr:row>
      <xdr:rowOff>142875</xdr:rowOff>
    </xdr:to>
    <xdr:sp macro="" textlink="'Data 3'!E72">
      <xdr:nvSpPr>
        <xdr:cNvPr id="136" name="Texto 239">
          <a:extLst>
            <a:ext uri="{FF2B5EF4-FFF2-40B4-BE49-F238E27FC236}">
              <a16:creationId xmlns:a16="http://schemas.microsoft.com/office/drawing/2014/main" id="{00000000-0008-0000-0E00-00008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65320" y="22955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615A5557-7004-49F0-BA2F-D616577BF6EB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3.619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2827019</xdr:colOff>
      <xdr:row>13</xdr:row>
      <xdr:rowOff>76200</xdr:rowOff>
    </xdr:from>
    <xdr:ext cx="390525" cy="180975"/>
    <xdr:sp macro="" textlink="">
      <xdr:nvSpPr>
        <xdr:cNvPr id="137" name="CuadroTexto 136">
          <a:extLst>
            <a:ext uri="{FF2B5EF4-FFF2-40B4-BE49-F238E27FC236}">
              <a16:creationId xmlns:a16="http://schemas.microsoft.com/office/drawing/2014/main" id="{00000000-0008-0000-0E00-000089000000}"/>
            </a:ext>
          </a:extLst>
        </xdr:cNvPr>
        <xdr:cNvSpPr txBox="1"/>
      </xdr:nvSpPr>
      <xdr:spPr>
        <a:xfrm>
          <a:off x="4684394" y="2266950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838200</xdr:colOff>
      <xdr:row>17</xdr:row>
      <xdr:rowOff>142875</xdr:rowOff>
    </xdr:from>
    <xdr:to>
      <xdr:col>4</xdr:col>
      <xdr:colOff>1162050</xdr:colOff>
      <xdr:row>19</xdr:row>
      <xdr:rowOff>20955</xdr:rowOff>
    </xdr:to>
    <xdr:sp macro="" textlink="'Data 3'!I73">
      <xdr:nvSpPr>
        <xdr:cNvPr id="138" name="Texto 239">
          <a:extLst>
            <a:ext uri="{FF2B5EF4-FFF2-40B4-BE49-F238E27FC236}">
              <a16:creationId xmlns:a16="http://schemas.microsoft.com/office/drawing/2014/main" id="{00000000-0008-0000-0E00-00008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695575" y="2981325"/>
          <a:ext cx="323850" cy="20193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DD7AED1-04AC-494D-826C-2A6C99D30FCD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351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857249</xdr:colOff>
      <xdr:row>19</xdr:row>
      <xdr:rowOff>76200</xdr:rowOff>
    </xdr:from>
    <xdr:to>
      <xdr:col>4</xdr:col>
      <xdr:colOff>1114424</xdr:colOff>
      <xdr:row>20</xdr:row>
      <xdr:rowOff>83055</xdr:rowOff>
    </xdr:to>
    <xdr:sp macro="" textlink="'Data 3'!H73">
      <xdr:nvSpPr>
        <xdr:cNvPr id="139" name="Text Box 148">
          <a:extLst>
            <a:ext uri="{FF2B5EF4-FFF2-40B4-BE49-F238E27FC236}">
              <a16:creationId xmlns:a16="http://schemas.microsoft.com/office/drawing/2014/main" id="{00000000-0008-0000-0E00-00008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2714624" y="3238500"/>
          <a:ext cx="257175" cy="168780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4517A98B-0B96-4427-B2FC-5119246500EA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42,0%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1398270</xdr:colOff>
      <xdr:row>17</xdr:row>
      <xdr:rowOff>38100</xdr:rowOff>
    </xdr:from>
    <xdr:to>
      <xdr:col>4</xdr:col>
      <xdr:colOff>1722120</xdr:colOff>
      <xdr:row>18</xdr:row>
      <xdr:rowOff>76200</xdr:rowOff>
    </xdr:to>
    <xdr:sp macro="" textlink="'Data 3'!E73">
      <xdr:nvSpPr>
        <xdr:cNvPr id="140" name="Texto 239">
          <a:extLst>
            <a:ext uri="{FF2B5EF4-FFF2-40B4-BE49-F238E27FC236}">
              <a16:creationId xmlns:a16="http://schemas.microsoft.com/office/drawing/2014/main" id="{00000000-0008-0000-0E00-00008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255645" y="2876550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3F4B98C7-960C-4363-9392-A982F218E18C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241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1541144</xdr:colOff>
      <xdr:row>17</xdr:row>
      <xdr:rowOff>9525</xdr:rowOff>
    </xdr:from>
    <xdr:ext cx="390525" cy="180975"/>
    <xdr:sp macro="" textlink="">
      <xdr:nvSpPr>
        <xdr:cNvPr id="141" name="CuadroTexto 140">
          <a:extLst>
            <a:ext uri="{FF2B5EF4-FFF2-40B4-BE49-F238E27FC236}">
              <a16:creationId xmlns:a16="http://schemas.microsoft.com/office/drawing/2014/main" id="{00000000-0008-0000-0E00-00008D000000}"/>
            </a:ext>
          </a:extLst>
        </xdr:cNvPr>
        <xdr:cNvSpPr txBox="1"/>
      </xdr:nvSpPr>
      <xdr:spPr>
        <a:xfrm>
          <a:off x="3398519" y="284797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oneCellAnchor>
    <xdr:from>
      <xdr:col>4</xdr:col>
      <xdr:colOff>1066800</xdr:colOff>
      <xdr:row>20</xdr:row>
      <xdr:rowOff>150495</xdr:rowOff>
    </xdr:from>
    <xdr:ext cx="850810" cy="141001"/>
    <xdr:sp macro="" textlink="">
      <xdr:nvSpPr>
        <xdr:cNvPr id="142" name="Texto 16">
          <a:extLst>
            <a:ext uri="{FF2B5EF4-FFF2-40B4-BE49-F238E27FC236}">
              <a16:creationId xmlns:a16="http://schemas.microsoft.com/office/drawing/2014/main" id="{00000000-0008-0000-0E00-00008E000000}"/>
            </a:ext>
          </a:extLst>
        </xdr:cNvPr>
        <xdr:cNvSpPr txBox="1">
          <a:spLocks noChangeArrowheads="1"/>
        </xdr:cNvSpPr>
      </xdr:nvSpPr>
      <xdr:spPr bwMode="auto">
        <a:xfrm>
          <a:off x="2924175" y="3474720"/>
          <a:ext cx="850810" cy="14100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s-ES" sz="800" b="1" i="0" strike="noStrike">
              <a:solidFill>
                <a:srgbClr val="FFFFFF"/>
              </a:solidFill>
              <a:latin typeface="Arial"/>
              <a:cs typeface="Arial"/>
            </a:rPr>
            <a:t>Guadalquivir-Sur</a:t>
          </a:r>
        </a:p>
      </xdr:txBody>
    </xdr:sp>
    <xdr:clientData/>
  </xdr:oneCellAnchor>
  <xdr:twoCellAnchor>
    <xdr:from>
      <xdr:col>4</xdr:col>
      <xdr:colOff>1495425</xdr:colOff>
      <xdr:row>18</xdr:row>
      <xdr:rowOff>66675</xdr:rowOff>
    </xdr:from>
    <xdr:to>
      <xdr:col>4</xdr:col>
      <xdr:colOff>1819275</xdr:colOff>
      <xdr:row>19</xdr:row>
      <xdr:rowOff>102870</xdr:rowOff>
    </xdr:to>
    <xdr:sp macro="" textlink="'Data 3'!G74">
      <xdr:nvSpPr>
        <xdr:cNvPr id="143" name="Texto 239">
          <a:extLst>
            <a:ext uri="{FF2B5EF4-FFF2-40B4-BE49-F238E27FC236}">
              <a16:creationId xmlns:a16="http://schemas.microsoft.com/office/drawing/2014/main" id="{00000000-0008-0000-0E00-00008F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5280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B70C67CD-3619-46B4-8A9D-066BF4D0D254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156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1524000</xdr:colOff>
      <xdr:row>19</xdr:row>
      <xdr:rowOff>85725</xdr:rowOff>
    </xdr:from>
    <xdr:to>
      <xdr:col>4</xdr:col>
      <xdr:colOff>1771650</xdr:colOff>
      <xdr:row>20</xdr:row>
      <xdr:rowOff>152294</xdr:rowOff>
    </xdr:to>
    <xdr:sp macro="" textlink="'Data 3'!F74">
      <xdr:nvSpPr>
        <xdr:cNvPr id="144" name="Text Box 74">
          <a:extLst>
            <a:ext uri="{FF2B5EF4-FFF2-40B4-BE49-F238E27FC236}">
              <a16:creationId xmlns:a16="http://schemas.microsoft.com/office/drawing/2014/main" id="{00000000-0008-0000-0E00-000090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381375" y="3248025"/>
          <a:ext cx="247650" cy="228494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6DD51D8C-19F0-463A-BD9E-9F3D635F44B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86,5%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1819275</xdr:colOff>
      <xdr:row>18</xdr:row>
      <xdr:rowOff>66675</xdr:rowOff>
    </xdr:from>
    <xdr:to>
      <xdr:col>4</xdr:col>
      <xdr:colOff>2143125</xdr:colOff>
      <xdr:row>19</xdr:row>
      <xdr:rowOff>102870</xdr:rowOff>
    </xdr:to>
    <xdr:sp macro="" textlink="'Data 3'!I74">
      <xdr:nvSpPr>
        <xdr:cNvPr id="145" name="Texto 239">
          <a:extLst>
            <a:ext uri="{FF2B5EF4-FFF2-40B4-BE49-F238E27FC236}">
              <a16:creationId xmlns:a16="http://schemas.microsoft.com/office/drawing/2014/main" id="{00000000-0008-0000-0E00-000091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76650" y="306705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0EE551D8-1AAF-4881-88F8-BF48B1BED67F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368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1828800</xdr:colOff>
      <xdr:row>19</xdr:row>
      <xdr:rowOff>142875</xdr:rowOff>
    </xdr:from>
    <xdr:to>
      <xdr:col>4</xdr:col>
      <xdr:colOff>2080800</xdr:colOff>
      <xdr:row>20</xdr:row>
      <xdr:rowOff>148043</xdr:rowOff>
    </xdr:to>
    <xdr:sp macro="" textlink="'Data 3'!H74">
      <xdr:nvSpPr>
        <xdr:cNvPr id="146" name="Text Box 150">
          <a:extLst>
            <a:ext uri="{FF2B5EF4-FFF2-40B4-BE49-F238E27FC236}">
              <a16:creationId xmlns:a16="http://schemas.microsoft.com/office/drawing/2014/main" id="{00000000-0008-0000-0E00-000092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686175" y="3305175"/>
          <a:ext cx="252000" cy="167093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D53621CF-C52F-46C8-BFC0-52185354319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55,1%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19</xdr:row>
      <xdr:rowOff>142875</xdr:rowOff>
    </xdr:from>
    <xdr:to>
      <xdr:col>4</xdr:col>
      <xdr:colOff>2343150</xdr:colOff>
      <xdr:row>20</xdr:row>
      <xdr:rowOff>152069</xdr:rowOff>
    </xdr:to>
    <xdr:sp macro="" textlink="'Data 3'!J74">
      <xdr:nvSpPr>
        <xdr:cNvPr id="147" name="Text Box 109">
          <a:extLst>
            <a:ext uri="{FF2B5EF4-FFF2-40B4-BE49-F238E27FC236}">
              <a16:creationId xmlns:a16="http://schemas.microsoft.com/office/drawing/2014/main" id="{00000000-0008-0000-0E00-000093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305175"/>
          <a:ext cx="209550" cy="17111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5906CB4-426F-44CF-B8DF-25CD4721C0C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61,7%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2133600</xdr:colOff>
      <xdr:row>18</xdr:row>
      <xdr:rowOff>74295</xdr:rowOff>
    </xdr:from>
    <xdr:to>
      <xdr:col>4</xdr:col>
      <xdr:colOff>2457450</xdr:colOff>
      <xdr:row>19</xdr:row>
      <xdr:rowOff>110490</xdr:rowOff>
    </xdr:to>
    <xdr:sp macro="" textlink="'Data 3'!K74">
      <xdr:nvSpPr>
        <xdr:cNvPr id="148" name="Texto 239">
          <a:extLst>
            <a:ext uri="{FF2B5EF4-FFF2-40B4-BE49-F238E27FC236}">
              <a16:creationId xmlns:a16="http://schemas.microsoft.com/office/drawing/2014/main" id="{00000000-0008-0000-0E00-000094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990975" y="3074670"/>
          <a:ext cx="323850" cy="19812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1381EF54-4646-4EA4-A76A-A12DB98483D8}" type="TxLink">
            <a:rPr lang="en-US" sz="800" b="0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524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1931670</xdr:colOff>
      <xdr:row>20</xdr:row>
      <xdr:rowOff>160020</xdr:rowOff>
    </xdr:from>
    <xdr:to>
      <xdr:col>4</xdr:col>
      <xdr:colOff>2255520</xdr:colOff>
      <xdr:row>22</xdr:row>
      <xdr:rowOff>36195</xdr:rowOff>
    </xdr:to>
    <xdr:sp macro="" textlink="'Data 3'!E74">
      <xdr:nvSpPr>
        <xdr:cNvPr id="149" name="Texto 239">
          <a:extLst>
            <a:ext uri="{FF2B5EF4-FFF2-40B4-BE49-F238E27FC236}">
              <a16:creationId xmlns:a16="http://schemas.microsoft.com/office/drawing/2014/main" id="{00000000-0008-0000-0E00-000095000000}"/>
            </a:ext>
          </a:extLst>
        </xdr:cNvPr>
        <xdr:cNvSpPr txBox="1">
          <a:spLocks noChangeArrowheads="1" noTextEdit="1"/>
        </xdr:cNvSpPr>
      </xdr:nvSpPr>
      <xdr:spPr bwMode="auto">
        <a:xfrm>
          <a:off x="3789045" y="348424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F717042C-C776-410D-8C16-2118C2E9E134}" type="TxLink">
            <a:rPr lang="en-US" sz="800" b="1" i="0" u="none" strike="noStrike" baseline="0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569</a:t>
          </a:fld>
          <a:endParaRPr lang="es-ES" sz="800" b="1" i="0" u="none" strike="noStrike" baseline="0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2160269</xdr:colOff>
      <xdr:row>20</xdr:row>
      <xdr:rowOff>121920</xdr:rowOff>
    </xdr:from>
    <xdr:ext cx="390525" cy="180975"/>
    <xdr:sp macro="" textlink="">
      <xdr:nvSpPr>
        <xdr:cNvPr id="150" name="CuadroTexto 149">
          <a:extLst>
            <a:ext uri="{FF2B5EF4-FFF2-40B4-BE49-F238E27FC236}">
              <a16:creationId xmlns:a16="http://schemas.microsoft.com/office/drawing/2014/main" id="{00000000-0008-0000-0E00-000096000000}"/>
            </a:ext>
          </a:extLst>
        </xdr:cNvPr>
        <xdr:cNvSpPr txBox="1"/>
      </xdr:nvSpPr>
      <xdr:spPr>
        <a:xfrm>
          <a:off x="4017644" y="3446145"/>
          <a:ext cx="390525" cy="1809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800" b="1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MW</a:t>
          </a:r>
        </a:p>
      </xdr:txBody>
    </xdr:sp>
    <xdr:clientData/>
  </xdr:oneCellAnchor>
  <xdr:twoCellAnchor>
    <xdr:from>
      <xdr:col>4</xdr:col>
      <xdr:colOff>3114675</xdr:colOff>
      <xdr:row>24</xdr:row>
      <xdr:rowOff>0</xdr:rowOff>
    </xdr:from>
    <xdr:to>
      <xdr:col>4</xdr:col>
      <xdr:colOff>3438525</xdr:colOff>
      <xdr:row>25</xdr:row>
      <xdr:rowOff>38100</xdr:rowOff>
    </xdr:to>
    <xdr:sp macro="" textlink="'Data 3'!I76">
      <xdr:nvSpPr>
        <xdr:cNvPr id="151" name="Texto 239">
          <a:extLst>
            <a:ext uri="{FF2B5EF4-FFF2-40B4-BE49-F238E27FC236}">
              <a16:creationId xmlns:a16="http://schemas.microsoft.com/office/drawing/2014/main" id="{00000000-0008-0000-0E00-000097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20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8E4D65E9-BE6F-42CE-B93E-D607F70AE656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3.658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3117850</xdr:colOff>
      <xdr:row>25</xdr:row>
      <xdr:rowOff>85725</xdr:rowOff>
    </xdr:from>
    <xdr:to>
      <xdr:col>4</xdr:col>
      <xdr:colOff>3438525</xdr:colOff>
      <xdr:row>26</xdr:row>
      <xdr:rowOff>59877</xdr:rowOff>
    </xdr:to>
    <xdr:sp macro="" textlink="'Data 3'!H76">
      <xdr:nvSpPr>
        <xdr:cNvPr id="152" name="Text Box 89">
          <a:extLst>
            <a:ext uri="{FF2B5EF4-FFF2-40B4-BE49-F238E27FC236}">
              <a16:creationId xmlns:a16="http://schemas.microsoft.com/office/drawing/2014/main" id="{00000000-0008-0000-0E00-000098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975225" y="4219575"/>
          <a:ext cx="320675" cy="136077"/>
        </a:xfrm>
        <a:prstGeom prst="rect">
          <a:avLst/>
        </a:prstGeom>
        <a:solidFill>
          <a:srgbClr val="00B05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120E6653-B3A8-4266-891A-0EA7DA6CA215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38,2%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2619375</xdr:colOff>
      <xdr:row>24</xdr:row>
      <xdr:rowOff>0</xdr:rowOff>
    </xdr:from>
    <xdr:to>
      <xdr:col>4</xdr:col>
      <xdr:colOff>2943225</xdr:colOff>
      <xdr:row>25</xdr:row>
      <xdr:rowOff>38100</xdr:rowOff>
    </xdr:to>
    <xdr:sp macro="" textlink="'Data 3'!G76">
      <xdr:nvSpPr>
        <xdr:cNvPr id="153" name="Texto 239">
          <a:extLst>
            <a:ext uri="{FF2B5EF4-FFF2-40B4-BE49-F238E27FC236}">
              <a16:creationId xmlns:a16="http://schemas.microsoft.com/office/drawing/2014/main" id="{00000000-0008-0000-0E00-000099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76750" y="3971925"/>
          <a:ext cx="323850" cy="2000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0E45811-E5B9-417D-8A8D-51FA839FF534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6.224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twoCellAnchor>
  <xdr:twoCellAnchor>
    <xdr:from>
      <xdr:col>4</xdr:col>
      <xdr:colOff>2628900</xdr:colOff>
      <xdr:row>25</xdr:row>
      <xdr:rowOff>28574</xdr:rowOff>
    </xdr:from>
    <xdr:to>
      <xdr:col>4</xdr:col>
      <xdr:colOff>2933700</xdr:colOff>
      <xdr:row>26</xdr:row>
      <xdr:rowOff>60012</xdr:rowOff>
    </xdr:to>
    <xdr:sp macro="" textlink="'Data 3'!F76">
      <xdr:nvSpPr>
        <xdr:cNvPr id="154" name="Text Box 94">
          <a:extLst>
            <a:ext uri="{FF2B5EF4-FFF2-40B4-BE49-F238E27FC236}">
              <a16:creationId xmlns:a16="http://schemas.microsoft.com/office/drawing/2014/main" id="{00000000-0008-0000-0E00-00009A000000}"/>
            </a:ext>
          </a:extLst>
        </xdr:cNvPr>
        <xdr:cNvSpPr txBox="1">
          <a:spLocks noChangeArrowheads="1" noTextEdit="1"/>
        </xdr:cNvSpPr>
      </xdr:nvSpPr>
      <xdr:spPr bwMode="auto">
        <a:xfrm>
          <a:off x="4486275" y="4162424"/>
          <a:ext cx="304800" cy="193363"/>
        </a:xfrm>
        <a:prstGeom prst="rect">
          <a:avLst/>
        </a:prstGeom>
        <a:solidFill>
          <a:srgbClr val="00B0F0"/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F6F2914C-40EE-41CF-90E2-3DE0E348D03C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69,4%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  <xdr:oneCellAnchor>
    <xdr:from>
      <xdr:col>4</xdr:col>
      <xdr:colOff>3590925</xdr:colOff>
      <xdr:row>24</xdr:row>
      <xdr:rowOff>1</xdr:rowOff>
    </xdr:from>
    <xdr:ext cx="390525" cy="133350"/>
    <xdr:sp macro="" textlink="'Data 3'!K76">
      <xdr:nvSpPr>
        <xdr:cNvPr id="155" name="Texto 239">
          <a:extLst>
            <a:ext uri="{FF2B5EF4-FFF2-40B4-BE49-F238E27FC236}">
              <a16:creationId xmlns:a16="http://schemas.microsoft.com/office/drawing/2014/main" id="{00000000-0008-0000-0E00-00009B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48300" y="3971926"/>
          <a:ext cx="390525" cy="1333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marL="0" indent="0" algn="l" rtl="0">
            <a:defRPr sz="1000"/>
          </a:pPr>
          <a:fld id="{C1CB9496-D0ED-4EA6-8F77-7F4C2A48F48D}" type="TxLink">
            <a:rPr lang="en-US" sz="800" b="1" i="0" u="none" strike="noStrike" baseline="0">
              <a:solidFill>
                <a:srgbClr val="004563"/>
              </a:solidFill>
              <a:latin typeface="Arial"/>
              <a:ea typeface="+mn-ea"/>
              <a:cs typeface="Arial"/>
            </a:rPr>
            <a:pPr marL="0" indent="0" algn="l" rtl="0">
              <a:defRPr sz="1000"/>
            </a:pPr>
            <a:t>9.882</a:t>
          </a:fld>
          <a:endParaRPr lang="es-ES" sz="800" b="0" i="0" u="none" strike="noStrike" baseline="0">
            <a:solidFill>
              <a:srgbClr val="004563"/>
            </a:solidFill>
            <a:latin typeface="Arial"/>
            <a:ea typeface="+mn-ea"/>
            <a:cs typeface="Arial"/>
          </a:endParaRPr>
        </a:p>
      </xdr:txBody>
    </xdr:sp>
    <xdr:clientData/>
  </xdr:oneCellAnchor>
  <xdr:twoCellAnchor>
    <xdr:from>
      <xdr:col>4</xdr:col>
      <xdr:colOff>3594100</xdr:colOff>
      <xdr:row>25</xdr:row>
      <xdr:rowOff>66674</xdr:rowOff>
    </xdr:from>
    <xdr:to>
      <xdr:col>4</xdr:col>
      <xdr:colOff>3895725</xdr:colOff>
      <xdr:row>26</xdr:row>
      <xdr:rowOff>55058</xdr:rowOff>
    </xdr:to>
    <xdr:sp macro="" textlink="'Data 3'!J76">
      <xdr:nvSpPr>
        <xdr:cNvPr id="156" name="Text Box 109">
          <a:extLst>
            <a:ext uri="{FF2B5EF4-FFF2-40B4-BE49-F238E27FC236}">
              <a16:creationId xmlns:a16="http://schemas.microsoft.com/office/drawing/2014/main" id="{00000000-0008-0000-0E00-00009C000000}"/>
            </a:ext>
          </a:extLst>
        </xdr:cNvPr>
        <xdr:cNvSpPr txBox="1">
          <a:spLocks noChangeArrowheads="1" noTextEdit="1"/>
        </xdr:cNvSpPr>
      </xdr:nvSpPr>
      <xdr:spPr bwMode="auto">
        <a:xfrm>
          <a:off x="5451475" y="4200524"/>
          <a:ext cx="301625" cy="150309"/>
        </a:xfrm>
        <a:prstGeom prst="rect">
          <a:avLst/>
        </a:prstGeom>
        <a:solidFill>
          <a:schemeClr val="bg1">
            <a:lumMod val="50000"/>
          </a:schemeClr>
        </a:solidFill>
        <a:ln w="1">
          <a:noFill/>
          <a:miter lim="800000"/>
          <a:headEnd/>
          <a:tailEnd/>
        </a:ln>
        <a:effectLst/>
      </xdr:spPr>
      <xdr:txBody>
        <a:bodyPr vertOverflow="clip" wrap="square" lIns="0" tIns="0" rIns="0" bIns="0" anchor="b" upright="1"/>
        <a:lstStyle/>
        <a:p>
          <a:pPr marL="0" indent="0" algn="ctr" rtl="0">
            <a:defRPr sz="1000"/>
          </a:pPr>
          <a:fld id="{205E4F60-9C41-48C3-BBB4-19953A935F2D}" type="TxLink">
            <a:rPr lang="en-US" sz="800" b="1" i="0" u="none" strike="noStrike">
              <a:solidFill>
                <a:schemeClr val="bg1"/>
              </a:solidFill>
              <a:latin typeface="Arial"/>
              <a:ea typeface="+mn-ea"/>
              <a:cs typeface="Arial"/>
            </a:rPr>
            <a:pPr marL="0" indent="0" algn="ctr" rtl="0">
              <a:defRPr sz="1000"/>
            </a:pPr>
            <a:t>53,3%</a:t>
          </a:fld>
          <a:endParaRPr lang="es-ES" sz="800" b="1" i="0" u="none" strike="noStrike">
            <a:solidFill>
              <a:schemeClr val="bg1"/>
            </a:solidFill>
            <a:latin typeface="Arial"/>
            <a:ea typeface="+mn-ea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COMUN/OBJETIVO%20NUEVO%20BOLETIN%20ELECTRONICO/Sistemas%20no%20peninsular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nalisis/ANALISIS/ANALISIS/Documentos%20Usuario/INDICES/Precios1I98a18VIII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7"/>
      <sheetName val="P18"/>
      <sheetName val="P18 A"/>
      <sheetName val="C19"/>
      <sheetName val="P20"/>
      <sheetName val="P20 A"/>
      <sheetName val="C21"/>
      <sheetName val="Sistemas no peninsulare"/>
    </sheetNames>
    <definedNames>
      <definedName name="ccc" refersTo="#¡REF!"/>
      <definedName name="CUADRO_ANTERIOR" refersTo="#¡REF!"/>
      <definedName name="CUADRO_PROXIMO" refersTo="#¡REF!"/>
      <definedName name="FINALIZAR" refersTo="#¡REF!"/>
      <definedName name="IMPRESION" refersTo="#¡REF!"/>
      <definedName name="nnn" refersTo="#¡REF!"/>
      <definedName name="nnnn" refersTo="#¡REF!"/>
      <definedName name="nu" refersTo="#¡REF!"/>
      <definedName name="PRINCIPAL" refersTo="#¡REF!"/>
      <definedName name="rosa" refersTo="#¡REF!"/>
      <definedName name="rosa2" refersTo="#¡REF!"/>
      <definedName name="VV" refersTo="#¡REF!"/>
      <definedName name="x" refersTo="#¡REF!"/>
      <definedName name="XX" refersTo="#¡REF!"/>
      <definedName name="xxx" refersTo="#¡REF!"/>
      <definedName name="XXXX" refersTo="#¡REF!"/>
      <definedName name="xxxxx" refersTo="#¡REF!"/>
    </definedNames>
    <sheetDataSet>
      <sheetData sheetId="0"/>
      <sheetData sheetId="1">
        <row r="9">
          <cell r="G9" t="str">
            <v>Carbón</v>
          </cell>
        </row>
      </sheetData>
      <sheetData sheetId="2">
        <row r="9">
          <cell r="I9" t="str">
            <v>Carbón</v>
          </cell>
        </row>
      </sheetData>
      <sheetData sheetId="3">
        <row r="7">
          <cell r="H7">
            <v>42186</v>
          </cell>
        </row>
      </sheetData>
      <sheetData sheetId="4">
        <row r="9">
          <cell r="G9" t="str">
            <v>Motores diésel</v>
          </cell>
        </row>
      </sheetData>
      <sheetData sheetId="5">
        <row r="9">
          <cell r="I9" t="str">
            <v>Motores diésel</v>
          </cell>
        </row>
      </sheetData>
      <sheetData sheetId="6">
        <row r="7">
          <cell r="H7">
            <v>42186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lores"/>
      <sheetName val="Pre.Dia"/>
      <sheetName val="GráficoGP"/>
      <sheetName val="Pre.GP"/>
      <sheetName val="Pre.SSCC"/>
      <sheetName val="Pre.Fin"/>
      <sheetName val="Prod."/>
      <sheetName val="I.Precios"/>
      <sheetName val="I.PxD"/>
      <sheetName val="I.PxD2"/>
      <sheetName val="I.G.deP."/>
      <sheetName val="Demanda"/>
      <sheetName val="Gráfico"/>
      <sheetName val="REE"/>
      <sheetName val="MINER"/>
    </sheetNames>
    <sheetDataSet>
      <sheetData sheetId="0"/>
      <sheetData sheetId="1"/>
      <sheetData sheetId="2" refreshError="1"/>
      <sheetData sheetId="3"/>
      <sheetData sheetId="4"/>
      <sheetData sheetId="5"/>
      <sheetData sheetId="6"/>
      <sheetData sheetId="7">
        <row r="1">
          <cell r="A1" t="str">
            <v>Indice de precios</v>
          </cell>
        </row>
        <row r="2">
          <cell r="A2" t="str">
            <v>Media ponderada de enero</v>
          </cell>
        </row>
        <row r="3">
          <cell r="A3">
            <v>35796</v>
          </cell>
        </row>
        <row r="4">
          <cell r="A4">
            <v>35797</v>
          </cell>
        </row>
        <row r="5">
          <cell r="A5">
            <v>35798</v>
          </cell>
        </row>
        <row r="6">
          <cell r="A6">
            <v>35799</v>
          </cell>
        </row>
        <row r="7">
          <cell r="A7">
            <v>35800</v>
          </cell>
        </row>
        <row r="8">
          <cell r="A8">
            <v>35801</v>
          </cell>
        </row>
        <row r="9">
          <cell r="A9">
            <v>35802</v>
          </cell>
        </row>
        <row r="10">
          <cell r="A10">
            <v>35803</v>
          </cell>
        </row>
        <row r="11">
          <cell r="A11">
            <v>35804</v>
          </cell>
        </row>
        <row r="12">
          <cell r="A12">
            <v>35805</v>
          </cell>
        </row>
        <row r="13">
          <cell r="A13">
            <v>35806</v>
          </cell>
        </row>
        <row r="14">
          <cell r="A14">
            <v>35807</v>
          </cell>
        </row>
        <row r="15">
          <cell r="A15">
            <v>35808</v>
          </cell>
        </row>
        <row r="16">
          <cell r="A16">
            <v>35809</v>
          </cell>
        </row>
        <row r="17">
          <cell r="A17">
            <v>35810</v>
          </cell>
        </row>
        <row r="18">
          <cell r="A18">
            <v>35811</v>
          </cell>
        </row>
        <row r="19">
          <cell r="A19">
            <v>35812</v>
          </cell>
        </row>
        <row r="20">
          <cell r="A20">
            <v>35813</v>
          </cell>
        </row>
        <row r="21">
          <cell r="A21">
            <v>35814</v>
          </cell>
        </row>
        <row r="22">
          <cell r="A22">
            <v>35815</v>
          </cell>
        </row>
        <row r="23">
          <cell r="A23">
            <v>35816</v>
          </cell>
        </row>
        <row r="24">
          <cell r="A24">
            <v>35817</v>
          </cell>
        </row>
        <row r="25">
          <cell r="A25">
            <v>35818</v>
          </cell>
        </row>
        <row r="26">
          <cell r="A26">
            <v>35819</v>
          </cell>
        </row>
        <row r="27">
          <cell r="A27">
            <v>35820</v>
          </cell>
        </row>
        <row r="28">
          <cell r="A28">
            <v>35821</v>
          </cell>
        </row>
        <row r="29">
          <cell r="A29">
            <v>35822</v>
          </cell>
        </row>
        <row r="30">
          <cell r="A30">
            <v>35823</v>
          </cell>
        </row>
        <row r="31">
          <cell r="A31">
            <v>35824</v>
          </cell>
        </row>
        <row r="32">
          <cell r="A32">
            <v>35825</v>
          </cell>
        </row>
        <row r="33">
          <cell r="A33">
            <v>35826</v>
          </cell>
        </row>
        <row r="34">
          <cell r="A34">
            <v>35827</v>
          </cell>
        </row>
        <row r="35">
          <cell r="A35">
            <v>35828</v>
          </cell>
        </row>
        <row r="36">
          <cell r="A36">
            <v>35829</v>
          </cell>
        </row>
        <row r="37">
          <cell r="A37">
            <v>35830</v>
          </cell>
        </row>
        <row r="38">
          <cell r="A38">
            <v>35831</v>
          </cell>
        </row>
        <row r="39">
          <cell r="A39">
            <v>35832</v>
          </cell>
        </row>
        <row r="40">
          <cell r="A40">
            <v>35833</v>
          </cell>
        </row>
        <row r="41">
          <cell r="A41">
            <v>35834</v>
          </cell>
        </row>
        <row r="42">
          <cell r="A42">
            <v>35835</v>
          </cell>
        </row>
        <row r="43">
          <cell r="A43">
            <v>35836</v>
          </cell>
        </row>
        <row r="44">
          <cell r="A44">
            <v>35837</v>
          </cell>
        </row>
        <row r="45">
          <cell r="A45">
            <v>35838</v>
          </cell>
        </row>
        <row r="46">
          <cell r="A46">
            <v>35839</v>
          </cell>
        </row>
        <row r="47">
          <cell r="A47">
            <v>35840</v>
          </cell>
        </row>
        <row r="48">
          <cell r="A48">
            <v>35841</v>
          </cell>
        </row>
        <row r="49">
          <cell r="A49">
            <v>35842</v>
          </cell>
        </row>
        <row r="50">
          <cell r="A50">
            <v>35843</v>
          </cell>
        </row>
        <row r="51">
          <cell r="A51">
            <v>35844</v>
          </cell>
        </row>
        <row r="52">
          <cell r="A52">
            <v>35845</v>
          </cell>
        </row>
        <row r="53">
          <cell r="A53">
            <v>35846</v>
          </cell>
        </row>
        <row r="54">
          <cell r="A54">
            <v>35847</v>
          </cell>
        </row>
        <row r="55">
          <cell r="A55">
            <v>35848</v>
          </cell>
        </row>
        <row r="56">
          <cell r="A56">
            <v>35849</v>
          </cell>
        </row>
        <row r="57">
          <cell r="A57">
            <v>35850</v>
          </cell>
        </row>
        <row r="58">
          <cell r="A58">
            <v>35851</v>
          </cell>
        </row>
        <row r="59">
          <cell r="A59">
            <v>35852</v>
          </cell>
        </row>
        <row r="60">
          <cell r="A60">
            <v>35853</v>
          </cell>
        </row>
        <row r="61">
          <cell r="A61">
            <v>35854</v>
          </cell>
        </row>
        <row r="62">
          <cell r="A62">
            <v>35855</v>
          </cell>
        </row>
        <row r="63">
          <cell r="A63">
            <v>35856</v>
          </cell>
        </row>
        <row r="64">
          <cell r="A64">
            <v>35857</v>
          </cell>
        </row>
        <row r="65">
          <cell r="A65">
            <v>35858</v>
          </cell>
        </row>
        <row r="66">
          <cell r="A66">
            <v>35859</v>
          </cell>
        </row>
        <row r="67">
          <cell r="A67">
            <v>35860</v>
          </cell>
        </row>
        <row r="68">
          <cell r="A68">
            <v>35861</v>
          </cell>
        </row>
        <row r="69">
          <cell r="A69">
            <v>35862</v>
          </cell>
        </row>
        <row r="70">
          <cell r="A70">
            <v>35863</v>
          </cell>
        </row>
        <row r="71">
          <cell r="A71">
            <v>35864</v>
          </cell>
        </row>
        <row r="72">
          <cell r="A72">
            <v>35865</v>
          </cell>
        </row>
        <row r="73">
          <cell r="A73">
            <v>35866</v>
          </cell>
        </row>
        <row r="74">
          <cell r="A74">
            <v>35867</v>
          </cell>
        </row>
      </sheetData>
      <sheetData sheetId="8"/>
      <sheetData sheetId="9"/>
      <sheetData sheetId="10"/>
      <sheetData sheetId="11">
        <row r="371">
          <cell r="D371">
            <v>16.351800000000001</v>
          </cell>
          <cell r="E371">
            <v>14.895366666666666</v>
          </cell>
          <cell r="F371">
            <v>13.862399999999999</v>
          </cell>
          <cell r="G371">
            <v>13.387133333333333</v>
          </cell>
          <cell r="H371">
            <v>13.1172</v>
          </cell>
          <cell r="I371">
            <v>13.043466666666667</v>
          </cell>
          <cell r="J371">
            <v>14.102933333333333</v>
          </cell>
          <cell r="K371">
            <v>15.544700000000001</v>
          </cell>
          <cell r="L371">
            <v>16.479633333333336</v>
          </cell>
          <cell r="M371">
            <v>17.549533333333333</v>
          </cell>
          <cell r="N371">
            <v>18.277733333333334</v>
          </cell>
          <cell r="O371">
            <v>18.679500000000001</v>
          </cell>
          <cell r="P371">
            <v>18.6647</v>
          </cell>
          <cell r="Q371">
            <v>18.117466666666669</v>
          </cell>
          <cell r="R371">
            <v>17.188433333333336</v>
          </cell>
          <cell r="S371">
            <v>17.246166666666667</v>
          </cell>
          <cell r="T371">
            <v>17.3628</v>
          </cell>
          <cell r="U371">
            <v>17.453133333333334</v>
          </cell>
          <cell r="V371">
            <v>17.1616</v>
          </cell>
          <cell r="W371">
            <v>16.997933333333336</v>
          </cell>
          <cell r="X371">
            <v>17.784666666666666</v>
          </cell>
          <cell r="Y371">
            <v>19.692933333333336</v>
          </cell>
          <cell r="Z371">
            <v>18.696733333333334</v>
          </cell>
          <cell r="AA371">
            <v>17.055933333333336</v>
          </cell>
        </row>
      </sheetData>
      <sheetData sheetId="12"/>
      <sheetData sheetId="13" refreshError="1"/>
      <sheetData sheetId="1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autoPageBreaks="0" fitToPage="1"/>
  </sheetPr>
  <dimension ref="B1:O22"/>
  <sheetViews>
    <sheetView showGridLines="0" showRowColHeaders="0" tabSelected="1" showOutlineSymbols="0" zoomScaleNormal="100" workbookViewId="0">
      <selection activeCell="G13" sqref="G13"/>
    </sheetView>
  </sheetViews>
  <sheetFormatPr baseColWidth="10" defaultColWidth="11.42578125" defaultRowHeight="12.75"/>
  <cols>
    <col min="1" max="1" width="0.140625" style="140" customWidth="1"/>
    <col min="2" max="2" width="2.7109375" style="140" customWidth="1"/>
    <col min="3" max="3" width="16.42578125" style="140" customWidth="1"/>
    <col min="4" max="4" width="4.7109375" style="140" customWidth="1"/>
    <col min="5" max="5" width="95.7109375" style="140" customWidth="1"/>
    <col min="6" max="16384" width="11.42578125" style="140"/>
  </cols>
  <sheetData>
    <row r="1" spans="2:15" ht="0.75" customHeight="1"/>
    <row r="2" spans="2:15" ht="21" customHeight="1">
      <c r="B2" s="140" t="s">
        <v>66</v>
      </c>
      <c r="C2" s="141"/>
      <c r="D2" s="141"/>
      <c r="E2" s="106" t="s">
        <v>1</v>
      </c>
    </row>
    <row r="3" spans="2:15" ht="15" customHeight="1">
      <c r="C3" s="141"/>
      <c r="D3" s="141"/>
      <c r="E3" s="107" t="str">
        <f>Dat_01!A2</f>
        <v>Mayo 2019</v>
      </c>
    </row>
    <row r="4" spans="2:15" s="143" customFormat="1" ht="20.25" customHeight="1">
      <c r="B4" s="142"/>
      <c r="C4" s="105" t="s">
        <v>69</v>
      </c>
    </row>
    <row r="5" spans="2:15" s="143" customFormat="1" ht="8.25" customHeight="1">
      <c r="B5" s="142"/>
      <c r="C5" s="144"/>
    </row>
    <row r="6" spans="2:15" s="143" customFormat="1" ht="3" customHeight="1">
      <c r="B6" s="142"/>
      <c r="C6" s="144"/>
    </row>
    <row r="7" spans="2:15" s="143" customFormat="1" ht="7.5" customHeight="1">
      <c r="B7" s="142"/>
      <c r="C7" s="145"/>
      <c r="D7" s="146"/>
      <c r="E7" s="146"/>
    </row>
    <row r="8" spans="2:15" ht="12.6" customHeight="1">
      <c r="D8" s="147" t="s">
        <v>67</v>
      </c>
      <c r="E8" s="148" t="s">
        <v>80</v>
      </c>
    </row>
    <row r="9" spans="2:15" s="143" customFormat="1" ht="12.6" customHeight="1">
      <c r="B9" s="142"/>
      <c r="C9" s="149"/>
      <c r="D9" s="147" t="s">
        <v>67</v>
      </c>
      <c r="E9" s="148" t="str">
        <f>'P2'!C7</f>
        <v>Estructura de potencia instalada peninsular</v>
      </c>
      <c r="F9" s="150"/>
      <c r="G9" s="150"/>
      <c r="H9" s="150"/>
      <c r="I9" s="150"/>
      <c r="J9" s="150"/>
      <c r="K9" s="150"/>
      <c r="L9" s="150"/>
      <c r="M9" s="150"/>
      <c r="N9" s="150"/>
      <c r="O9" s="150"/>
    </row>
    <row r="10" spans="2:15" s="143" customFormat="1" ht="12.6" customHeight="1">
      <c r="B10" s="142"/>
      <c r="C10" s="149"/>
      <c r="D10" s="147" t="s">
        <v>67</v>
      </c>
      <c r="E10" s="148" t="str">
        <f>'P2'!C23</f>
        <v>Estructura de generación mensual peninsular</v>
      </c>
      <c r="F10" s="140"/>
      <c r="G10" s="150"/>
      <c r="H10" s="150"/>
      <c r="I10" s="150"/>
      <c r="J10" s="150"/>
      <c r="K10" s="150"/>
      <c r="L10" s="150"/>
      <c r="M10" s="150"/>
      <c r="N10" s="150"/>
      <c r="O10" s="150"/>
    </row>
    <row r="11" spans="2:15" ht="12.6" customHeight="1">
      <c r="D11" s="147" t="s">
        <v>67</v>
      </c>
      <c r="E11" s="148" t="str">
        <f>'P3'!C7</f>
        <v xml:space="preserve">Estructura de generación diaria del día de máxima generación de energía renovable peninsular
</v>
      </c>
      <c r="F11" s="150"/>
    </row>
    <row r="12" spans="2:15" ht="12.6" customHeight="1">
      <c r="D12" s="147" t="s">
        <v>67</v>
      </c>
      <c r="E12" s="148" t="str">
        <f>'P4'!C7</f>
        <v>Evolución del peso de la generación renovable y no renovable peninsular</v>
      </c>
    </row>
    <row r="13" spans="2:15" ht="12.6" customHeight="1">
      <c r="D13" s="147" t="s">
        <v>67</v>
      </c>
      <c r="E13" s="148" t="str">
        <f>'P5'!C7</f>
        <v>Evolución de la generación sin/con emisiones de CO2 peninsular</v>
      </c>
      <c r="F13" s="150"/>
    </row>
    <row r="14" spans="2:15" ht="12.6" customHeight="1">
      <c r="D14" s="147" t="s">
        <v>67</v>
      </c>
      <c r="E14" s="148" t="str">
        <f>'P6'!C7</f>
        <v xml:space="preserve">Evolución de la generación renovable peninsular </v>
      </c>
      <c r="F14" s="150"/>
    </row>
    <row r="15" spans="2:15" ht="12.6" customHeight="1">
      <c r="D15" s="147" t="s">
        <v>67</v>
      </c>
      <c r="E15" s="148" t="str">
        <f>'P7'!C7</f>
        <v xml:space="preserve">Evolución de la generación no renovable peninsular </v>
      </c>
      <c r="F15" s="150"/>
    </row>
    <row r="16" spans="2:15" ht="12.6" customHeight="1">
      <c r="D16" s="147" t="s">
        <v>67</v>
      </c>
      <c r="E16" s="148" t="str">
        <f>'P8'!C7</f>
        <v>Generación eólica diaria peninsular</v>
      </c>
      <c r="F16" s="150"/>
    </row>
    <row r="17" spans="2:6" ht="12.6" customHeight="1">
      <c r="D17" s="147" t="s">
        <v>67</v>
      </c>
      <c r="E17" s="148" t="str">
        <f>'P9'!C7</f>
        <v>Máximos de generación de energía eólica peninsular</v>
      </c>
      <c r="F17" s="150"/>
    </row>
    <row r="18" spans="2:6" ht="12.6" customHeight="1">
      <c r="D18" s="147" t="s">
        <v>67</v>
      </c>
      <c r="E18" s="148" t="str">
        <f>'P10'!C7</f>
        <v xml:space="preserve">Generación horaria el día de máxima generación de energía eólica peninsular
</v>
      </c>
      <c r="F18" s="150"/>
    </row>
    <row r="19" spans="2:6" ht="12.6" customHeight="1">
      <c r="D19" s="147" t="s">
        <v>67</v>
      </c>
      <c r="E19" s="148" t="str">
        <f>'P11'!B7</f>
        <v>Energía producible hidráulica diaria comparada con el producible medio histórico</v>
      </c>
      <c r="F19" s="150"/>
    </row>
    <row r="20" spans="2:6" ht="12.6" customHeight="1">
      <c r="D20" s="147" t="s">
        <v>67</v>
      </c>
      <c r="E20" s="148" t="str">
        <f>'P12'!B7</f>
        <v>Reservas hidroeléctricas</v>
      </c>
      <c r="F20" s="150"/>
    </row>
    <row r="21" spans="2:6" ht="12.6" customHeight="1">
      <c r="D21" s="147" t="s">
        <v>67</v>
      </c>
      <c r="E21" s="148" t="str">
        <f>'P13'!C7</f>
        <v>Reservas hidroeléctricas a finales de mes por cuencas hidrográficas</v>
      </c>
      <c r="F21" s="150"/>
    </row>
    <row r="22" spans="2:6" s="143" customFormat="1" ht="7.5" customHeight="1">
      <c r="B22" s="142"/>
      <c r="C22" s="145"/>
      <c r="D22" s="146"/>
      <c r="E22" s="146"/>
    </row>
  </sheetData>
  <hyperlinks>
    <hyperlink ref="E10" location="'P2'!A1" display="'P2'!A1" xr:uid="{00000000-0004-0000-0000-000000000000}"/>
    <hyperlink ref="E12" location="'P4'!A1" display="'P4'!A1" xr:uid="{00000000-0004-0000-0000-000001000000}"/>
    <hyperlink ref="E11" location="'P3'!A1" display="'P3'!A1" xr:uid="{00000000-0004-0000-0000-000002000000}"/>
    <hyperlink ref="E9" location="'P2'!A1" display="'P2'!A1" xr:uid="{00000000-0004-0000-0000-000003000000}"/>
    <hyperlink ref="E8" location="'P1'!A1" display="'P1'!A1" xr:uid="{00000000-0004-0000-0000-000004000000}"/>
    <hyperlink ref="E13" location="'P5'!A1" display="'P5'!A1" xr:uid="{00000000-0004-0000-0000-000005000000}"/>
    <hyperlink ref="E14" location="'P6 '!A1" display="'P6 '!A1" xr:uid="{00000000-0004-0000-0000-000006000000}"/>
    <hyperlink ref="E15" location="'P7'!A1" display="'P7'!A1" xr:uid="{00000000-0004-0000-0000-000007000000}"/>
    <hyperlink ref="E16" location="'P8'!A1" display="'P8'!A1" xr:uid="{00000000-0004-0000-0000-000008000000}"/>
    <hyperlink ref="E17" location="'P9'!A1" display="'P9'!A1" xr:uid="{00000000-0004-0000-0000-000009000000}"/>
    <hyperlink ref="E18" location="'P10'!A1" display="'P10'!A1" xr:uid="{00000000-0004-0000-0000-00000A000000}"/>
    <hyperlink ref="E19" location="'P11'!A1" display="'P11'!A1" xr:uid="{00000000-0004-0000-0000-00000B000000}"/>
    <hyperlink ref="E20" location="'P12'!A1" display="'P12'!A1" xr:uid="{00000000-0004-0000-0000-00000C000000}"/>
    <hyperlink ref="E21" location="'P13'!A1" display="'P13'!A1" xr:uid="{00000000-0004-0000-0000-00000D000000}"/>
  </hyperlinks>
  <printOptions horizontalCentered="1" verticalCentered="1"/>
  <pageMargins left="0.39370078740157483" right="0.78740157480314965" top="0.39370078740157483" bottom="0.98425196850393704" header="0" footer="0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5"/>
  <dimension ref="A1:B9"/>
  <sheetViews>
    <sheetView workbookViewId="0"/>
  </sheetViews>
  <sheetFormatPr baseColWidth="10" defaultRowHeight="12.75"/>
  <sheetData>
    <row r="1" spans="1:2">
      <c r="A1">
        <v>8</v>
      </c>
      <c r="B1" t="s">
        <v>611</v>
      </c>
    </row>
    <row r="2" spans="1:2">
      <c r="A2" t="s">
        <v>606</v>
      </c>
    </row>
    <row r="3" spans="1:2">
      <c r="A3" t="s">
        <v>610</v>
      </c>
    </row>
    <row r="4" spans="1:2">
      <c r="A4" t="s">
        <v>608</v>
      </c>
    </row>
    <row r="5" spans="1:2">
      <c r="A5" t="s">
        <v>600</v>
      </c>
    </row>
    <row r="6" spans="1:2">
      <c r="A6" t="s">
        <v>607</v>
      </c>
    </row>
    <row r="7" spans="1:2">
      <c r="A7" t="s">
        <v>605</v>
      </c>
    </row>
    <row r="8" spans="1:2">
      <c r="A8" t="s">
        <v>609</v>
      </c>
    </row>
    <row r="9" spans="1:2">
      <c r="A9" t="s">
        <v>604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2">
    <pageSetUpPr autoPageBreaks="0"/>
  </sheetPr>
  <dimension ref="A1:S49"/>
  <sheetViews>
    <sheetView showGridLines="0" showRowColHeaders="0" showOutlineSymbols="0" zoomScaleNormal="100" workbookViewId="0">
      <selection activeCell="K25" sqref="K25"/>
    </sheetView>
  </sheetViews>
  <sheetFormatPr baseColWidth="10" defaultRowHeight="12.75"/>
  <cols>
    <col min="1" max="1" width="0.140625" style="5" customWidth="1"/>
    <col min="2" max="2" width="2.7109375" style="5" customWidth="1"/>
    <col min="3" max="3" width="23.7109375" style="5" customWidth="1"/>
    <col min="4" max="4" width="1.28515625" style="5" customWidth="1"/>
    <col min="5" max="5" width="27.7109375" style="17" customWidth="1"/>
    <col min="6" max="6" width="10.7109375" style="22" customWidth="1"/>
    <col min="7" max="7" width="10.7109375" style="17" customWidth="1"/>
    <col min="8" max="8" width="10.7109375" style="22" customWidth="1"/>
    <col min="9" max="9" width="10.7109375" style="17" customWidth="1"/>
    <col min="10" max="10" width="10.7109375" style="22" customWidth="1"/>
    <col min="11" max="11" width="10.7109375" style="17" customWidth="1"/>
    <col min="12" max="13" width="11.42578125" style="17"/>
    <col min="14" max="17" width="11.5703125" style="17" bestFit="1" customWidth="1"/>
    <col min="18" max="18" width="12.28515625" style="17" bestFit="1" customWidth="1"/>
    <col min="19" max="19" width="11.5703125" style="17" bestFit="1" customWidth="1"/>
    <col min="20" max="246" width="11.42578125" style="17"/>
    <col min="247" max="247" width="0.140625" style="17" customWidth="1"/>
    <col min="248" max="248" width="2.7109375" style="17" customWidth="1"/>
    <col min="249" max="249" width="15.42578125" style="17" customWidth="1"/>
    <col min="250" max="250" width="1.28515625" style="17" customWidth="1"/>
    <col min="251" max="251" width="27.7109375" style="17" customWidth="1"/>
    <col min="252" max="252" width="6.7109375" style="17" customWidth="1"/>
    <col min="253" max="253" width="1.5703125" style="17" customWidth="1"/>
    <col min="254" max="254" width="10.5703125" style="17" customWidth="1"/>
    <col min="255" max="255" width="5.85546875" style="17" customWidth="1"/>
    <col min="256" max="256" width="1.5703125" style="17" customWidth="1"/>
    <col min="257" max="257" width="10.5703125" style="17" customWidth="1"/>
    <col min="258" max="258" width="6.7109375" style="17" customWidth="1"/>
    <col min="259" max="259" width="1.5703125" style="17" customWidth="1"/>
    <col min="260" max="260" width="10.5703125" style="17" customWidth="1"/>
    <col min="261" max="261" width="9.7109375" style="17" customWidth="1"/>
    <col min="262" max="262" width="13.28515625" style="17" bestFit="1" customWidth="1"/>
    <col min="263" max="263" width="7.7109375" style="17" customWidth="1"/>
    <col min="264" max="264" width="11.42578125" style="17"/>
    <col min="265" max="265" width="13.28515625" style="17" bestFit="1" customWidth="1"/>
    <col min="266" max="502" width="11.42578125" style="17"/>
    <col min="503" max="503" width="0.140625" style="17" customWidth="1"/>
    <col min="504" max="504" width="2.7109375" style="17" customWidth="1"/>
    <col min="505" max="505" width="15.42578125" style="17" customWidth="1"/>
    <col min="506" max="506" width="1.28515625" style="17" customWidth="1"/>
    <col min="507" max="507" width="27.7109375" style="17" customWidth="1"/>
    <col min="508" max="508" width="6.7109375" style="17" customWidth="1"/>
    <col min="509" max="509" width="1.5703125" style="17" customWidth="1"/>
    <col min="510" max="510" width="10.5703125" style="17" customWidth="1"/>
    <col min="511" max="511" width="5.85546875" style="17" customWidth="1"/>
    <col min="512" max="512" width="1.5703125" style="17" customWidth="1"/>
    <col min="513" max="513" width="10.5703125" style="17" customWidth="1"/>
    <col min="514" max="514" width="6.7109375" style="17" customWidth="1"/>
    <col min="515" max="515" width="1.5703125" style="17" customWidth="1"/>
    <col min="516" max="516" width="10.5703125" style="17" customWidth="1"/>
    <col min="517" max="517" width="9.7109375" style="17" customWidth="1"/>
    <col min="518" max="518" width="13.28515625" style="17" bestFit="1" customWidth="1"/>
    <col min="519" max="519" width="7.7109375" style="17" customWidth="1"/>
    <col min="520" max="520" width="11.42578125" style="17"/>
    <col min="521" max="521" width="13.28515625" style="17" bestFit="1" customWidth="1"/>
    <col min="522" max="758" width="11.42578125" style="17"/>
    <col min="759" max="759" width="0.140625" style="17" customWidth="1"/>
    <col min="760" max="760" width="2.7109375" style="17" customWidth="1"/>
    <col min="761" max="761" width="15.42578125" style="17" customWidth="1"/>
    <col min="762" max="762" width="1.28515625" style="17" customWidth="1"/>
    <col min="763" max="763" width="27.7109375" style="17" customWidth="1"/>
    <col min="764" max="764" width="6.7109375" style="17" customWidth="1"/>
    <col min="765" max="765" width="1.5703125" style="17" customWidth="1"/>
    <col min="766" max="766" width="10.5703125" style="17" customWidth="1"/>
    <col min="767" max="767" width="5.85546875" style="17" customWidth="1"/>
    <col min="768" max="768" width="1.5703125" style="17" customWidth="1"/>
    <col min="769" max="769" width="10.5703125" style="17" customWidth="1"/>
    <col min="770" max="770" width="6.7109375" style="17" customWidth="1"/>
    <col min="771" max="771" width="1.5703125" style="17" customWidth="1"/>
    <col min="772" max="772" width="10.5703125" style="17" customWidth="1"/>
    <col min="773" max="773" width="9.7109375" style="17" customWidth="1"/>
    <col min="774" max="774" width="13.28515625" style="17" bestFit="1" customWidth="1"/>
    <col min="775" max="775" width="7.7109375" style="17" customWidth="1"/>
    <col min="776" max="776" width="11.42578125" style="17"/>
    <col min="777" max="777" width="13.28515625" style="17" bestFit="1" customWidth="1"/>
    <col min="778" max="1014" width="11.42578125" style="17"/>
    <col min="1015" max="1015" width="0.140625" style="17" customWidth="1"/>
    <col min="1016" max="1016" width="2.7109375" style="17" customWidth="1"/>
    <col min="1017" max="1017" width="15.42578125" style="17" customWidth="1"/>
    <col min="1018" max="1018" width="1.28515625" style="17" customWidth="1"/>
    <col min="1019" max="1019" width="27.7109375" style="17" customWidth="1"/>
    <col min="1020" max="1020" width="6.7109375" style="17" customWidth="1"/>
    <col min="1021" max="1021" width="1.5703125" style="17" customWidth="1"/>
    <col min="1022" max="1022" width="10.5703125" style="17" customWidth="1"/>
    <col min="1023" max="1023" width="5.85546875" style="17" customWidth="1"/>
    <col min="1024" max="1024" width="1.5703125" style="17" customWidth="1"/>
    <col min="1025" max="1025" width="10.5703125" style="17" customWidth="1"/>
    <col min="1026" max="1026" width="6.7109375" style="17" customWidth="1"/>
    <col min="1027" max="1027" width="1.5703125" style="17" customWidth="1"/>
    <col min="1028" max="1028" width="10.5703125" style="17" customWidth="1"/>
    <col min="1029" max="1029" width="9.7109375" style="17" customWidth="1"/>
    <col min="1030" max="1030" width="13.28515625" style="17" bestFit="1" customWidth="1"/>
    <col min="1031" max="1031" width="7.7109375" style="17" customWidth="1"/>
    <col min="1032" max="1032" width="11.42578125" style="17"/>
    <col min="1033" max="1033" width="13.28515625" style="17" bestFit="1" customWidth="1"/>
    <col min="1034" max="1270" width="11.42578125" style="17"/>
    <col min="1271" max="1271" width="0.140625" style="17" customWidth="1"/>
    <col min="1272" max="1272" width="2.7109375" style="17" customWidth="1"/>
    <col min="1273" max="1273" width="15.42578125" style="17" customWidth="1"/>
    <col min="1274" max="1274" width="1.28515625" style="17" customWidth="1"/>
    <col min="1275" max="1275" width="27.7109375" style="17" customWidth="1"/>
    <col min="1276" max="1276" width="6.7109375" style="17" customWidth="1"/>
    <col min="1277" max="1277" width="1.5703125" style="17" customWidth="1"/>
    <col min="1278" max="1278" width="10.5703125" style="17" customWidth="1"/>
    <col min="1279" max="1279" width="5.85546875" style="17" customWidth="1"/>
    <col min="1280" max="1280" width="1.5703125" style="17" customWidth="1"/>
    <col min="1281" max="1281" width="10.5703125" style="17" customWidth="1"/>
    <col min="1282" max="1282" width="6.7109375" style="17" customWidth="1"/>
    <col min="1283" max="1283" width="1.5703125" style="17" customWidth="1"/>
    <col min="1284" max="1284" width="10.5703125" style="17" customWidth="1"/>
    <col min="1285" max="1285" width="9.7109375" style="17" customWidth="1"/>
    <col min="1286" max="1286" width="13.28515625" style="17" bestFit="1" customWidth="1"/>
    <col min="1287" max="1287" width="7.7109375" style="17" customWidth="1"/>
    <col min="1288" max="1288" width="11.42578125" style="17"/>
    <col min="1289" max="1289" width="13.28515625" style="17" bestFit="1" customWidth="1"/>
    <col min="1290" max="1526" width="11.42578125" style="17"/>
    <col min="1527" max="1527" width="0.140625" style="17" customWidth="1"/>
    <col min="1528" max="1528" width="2.7109375" style="17" customWidth="1"/>
    <col min="1529" max="1529" width="15.42578125" style="17" customWidth="1"/>
    <col min="1530" max="1530" width="1.28515625" style="17" customWidth="1"/>
    <col min="1531" max="1531" width="27.7109375" style="17" customWidth="1"/>
    <col min="1532" max="1532" width="6.7109375" style="17" customWidth="1"/>
    <col min="1533" max="1533" width="1.5703125" style="17" customWidth="1"/>
    <col min="1534" max="1534" width="10.5703125" style="17" customWidth="1"/>
    <col min="1535" max="1535" width="5.85546875" style="17" customWidth="1"/>
    <col min="1536" max="1536" width="1.5703125" style="17" customWidth="1"/>
    <col min="1537" max="1537" width="10.5703125" style="17" customWidth="1"/>
    <col min="1538" max="1538" width="6.7109375" style="17" customWidth="1"/>
    <col min="1539" max="1539" width="1.5703125" style="17" customWidth="1"/>
    <col min="1540" max="1540" width="10.5703125" style="17" customWidth="1"/>
    <col min="1541" max="1541" width="9.7109375" style="17" customWidth="1"/>
    <col min="1542" max="1542" width="13.28515625" style="17" bestFit="1" customWidth="1"/>
    <col min="1543" max="1543" width="7.7109375" style="17" customWidth="1"/>
    <col min="1544" max="1544" width="11.42578125" style="17"/>
    <col min="1545" max="1545" width="13.28515625" style="17" bestFit="1" customWidth="1"/>
    <col min="1546" max="1782" width="11.42578125" style="17"/>
    <col min="1783" max="1783" width="0.140625" style="17" customWidth="1"/>
    <col min="1784" max="1784" width="2.7109375" style="17" customWidth="1"/>
    <col min="1785" max="1785" width="15.42578125" style="17" customWidth="1"/>
    <col min="1786" max="1786" width="1.28515625" style="17" customWidth="1"/>
    <col min="1787" max="1787" width="27.7109375" style="17" customWidth="1"/>
    <col min="1788" max="1788" width="6.7109375" style="17" customWidth="1"/>
    <col min="1789" max="1789" width="1.5703125" style="17" customWidth="1"/>
    <col min="1790" max="1790" width="10.5703125" style="17" customWidth="1"/>
    <col min="1791" max="1791" width="5.85546875" style="17" customWidth="1"/>
    <col min="1792" max="1792" width="1.5703125" style="17" customWidth="1"/>
    <col min="1793" max="1793" width="10.5703125" style="17" customWidth="1"/>
    <col min="1794" max="1794" width="6.7109375" style="17" customWidth="1"/>
    <col min="1795" max="1795" width="1.5703125" style="17" customWidth="1"/>
    <col min="1796" max="1796" width="10.5703125" style="17" customWidth="1"/>
    <col min="1797" max="1797" width="9.7109375" style="17" customWidth="1"/>
    <col min="1798" max="1798" width="13.28515625" style="17" bestFit="1" customWidth="1"/>
    <col min="1799" max="1799" width="7.7109375" style="17" customWidth="1"/>
    <col min="1800" max="1800" width="11.42578125" style="17"/>
    <col min="1801" max="1801" width="13.28515625" style="17" bestFit="1" customWidth="1"/>
    <col min="1802" max="2038" width="11.42578125" style="17"/>
    <col min="2039" max="2039" width="0.140625" style="17" customWidth="1"/>
    <col min="2040" max="2040" width="2.7109375" style="17" customWidth="1"/>
    <col min="2041" max="2041" width="15.42578125" style="17" customWidth="1"/>
    <col min="2042" max="2042" width="1.28515625" style="17" customWidth="1"/>
    <col min="2043" max="2043" width="27.7109375" style="17" customWidth="1"/>
    <col min="2044" max="2044" width="6.7109375" style="17" customWidth="1"/>
    <col min="2045" max="2045" width="1.5703125" style="17" customWidth="1"/>
    <col min="2046" max="2046" width="10.5703125" style="17" customWidth="1"/>
    <col min="2047" max="2047" width="5.85546875" style="17" customWidth="1"/>
    <col min="2048" max="2048" width="1.5703125" style="17" customWidth="1"/>
    <col min="2049" max="2049" width="10.5703125" style="17" customWidth="1"/>
    <col min="2050" max="2050" width="6.7109375" style="17" customWidth="1"/>
    <col min="2051" max="2051" width="1.5703125" style="17" customWidth="1"/>
    <col min="2052" max="2052" width="10.5703125" style="17" customWidth="1"/>
    <col min="2053" max="2053" width="9.7109375" style="17" customWidth="1"/>
    <col min="2054" max="2054" width="13.28515625" style="17" bestFit="1" customWidth="1"/>
    <col min="2055" max="2055" width="7.7109375" style="17" customWidth="1"/>
    <col min="2056" max="2056" width="11.42578125" style="17"/>
    <col min="2057" max="2057" width="13.28515625" style="17" bestFit="1" customWidth="1"/>
    <col min="2058" max="2294" width="11.42578125" style="17"/>
    <col min="2295" max="2295" width="0.140625" style="17" customWidth="1"/>
    <col min="2296" max="2296" width="2.7109375" style="17" customWidth="1"/>
    <col min="2297" max="2297" width="15.42578125" style="17" customWidth="1"/>
    <col min="2298" max="2298" width="1.28515625" style="17" customWidth="1"/>
    <col min="2299" max="2299" width="27.7109375" style="17" customWidth="1"/>
    <col min="2300" max="2300" width="6.7109375" style="17" customWidth="1"/>
    <col min="2301" max="2301" width="1.5703125" style="17" customWidth="1"/>
    <col min="2302" max="2302" width="10.5703125" style="17" customWidth="1"/>
    <col min="2303" max="2303" width="5.85546875" style="17" customWidth="1"/>
    <col min="2304" max="2304" width="1.5703125" style="17" customWidth="1"/>
    <col min="2305" max="2305" width="10.5703125" style="17" customWidth="1"/>
    <col min="2306" max="2306" width="6.7109375" style="17" customWidth="1"/>
    <col min="2307" max="2307" width="1.5703125" style="17" customWidth="1"/>
    <col min="2308" max="2308" width="10.5703125" style="17" customWidth="1"/>
    <col min="2309" max="2309" width="9.7109375" style="17" customWidth="1"/>
    <col min="2310" max="2310" width="13.28515625" style="17" bestFit="1" customWidth="1"/>
    <col min="2311" max="2311" width="7.7109375" style="17" customWidth="1"/>
    <col min="2312" max="2312" width="11.42578125" style="17"/>
    <col min="2313" max="2313" width="13.28515625" style="17" bestFit="1" customWidth="1"/>
    <col min="2314" max="2550" width="11.42578125" style="17"/>
    <col min="2551" max="2551" width="0.140625" style="17" customWidth="1"/>
    <col min="2552" max="2552" width="2.7109375" style="17" customWidth="1"/>
    <col min="2553" max="2553" width="15.42578125" style="17" customWidth="1"/>
    <col min="2554" max="2554" width="1.28515625" style="17" customWidth="1"/>
    <col min="2555" max="2555" width="27.7109375" style="17" customWidth="1"/>
    <col min="2556" max="2556" width="6.7109375" style="17" customWidth="1"/>
    <col min="2557" max="2557" width="1.5703125" style="17" customWidth="1"/>
    <col min="2558" max="2558" width="10.5703125" style="17" customWidth="1"/>
    <col min="2559" max="2559" width="5.85546875" style="17" customWidth="1"/>
    <col min="2560" max="2560" width="1.5703125" style="17" customWidth="1"/>
    <col min="2561" max="2561" width="10.5703125" style="17" customWidth="1"/>
    <col min="2562" max="2562" width="6.7109375" style="17" customWidth="1"/>
    <col min="2563" max="2563" width="1.5703125" style="17" customWidth="1"/>
    <col min="2564" max="2564" width="10.5703125" style="17" customWidth="1"/>
    <col min="2565" max="2565" width="9.7109375" style="17" customWidth="1"/>
    <col min="2566" max="2566" width="13.28515625" style="17" bestFit="1" customWidth="1"/>
    <col min="2567" max="2567" width="7.7109375" style="17" customWidth="1"/>
    <col min="2568" max="2568" width="11.42578125" style="17"/>
    <col min="2569" max="2569" width="13.28515625" style="17" bestFit="1" customWidth="1"/>
    <col min="2570" max="2806" width="11.42578125" style="17"/>
    <col min="2807" max="2807" width="0.140625" style="17" customWidth="1"/>
    <col min="2808" max="2808" width="2.7109375" style="17" customWidth="1"/>
    <col min="2809" max="2809" width="15.42578125" style="17" customWidth="1"/>
    <col min="2810" max="2810" width="1.28515625" style="17" customWidth="1"/>
    <col min="2811" max="2811" width="27.7109375" style="17" customWidth="1"/>
    <col min="2812" max="2812" width="6.7109375" style="17" customWidth="1"/>
    <col min="2813" max="2813" width="1.5703125" style="17" customWidth="1"/>
    <col min="2814" max="2814" width="10.5703125" style="17" customWidth="1"/>
    <col min="2815" max="2815" width="5.85546875" style="17" customWidth="1"/>
    <col min="2816" max="2816" width="1.5703125" style="17" customWidth="1"/>
    <col min="2817" max="2817" width="10.5703125" style="17" customWidth="1"/>
    <col min="2818" max="2818" width="6.7109375" style="17" customWidth="1"/>
    <col min="2819" max="2819" width="1.5703125" style="17" customWidth="1"/>
    <col min="2820" max="2820" width="10.5703125" style="17" customWidth="1"/>
    <col min="2821" max="2821" width="9.7109375" style="17" customWidth="1"/>
    <col min="2822" max="2822" width="13.28515625" style="17" bestFit="1" customWidth="1"/>
    <col min="2823" max="2823" width="7.7109375" style="17" customWidth="1"/>
    <col min="2824" max="2824" width="11.42578125" style="17"/>
    <col min="2825" max="2825" width="13.28515625" style="17" bestFit="1" customWidth="1"/>
    <col min="2826" max="3062" width="11.42578125" style="17"/>
    <col min="3063" max="3063" width="0.140625" style="17" customWidth="1"/>
    <col min="3064" max="3064" width="2.7109375" style="17" customWidth="1"/>
    <col min="3065" max="3065" width="15.42578125" style="17" customWidth="1"/>
    <col min="3066" max="3066" width="1.28515625" style="17" customWidth="1"/>
    <col min="3067" max="3067" width="27.7109375" style="17" customWidth="1"/>
    <col min="3068" max="3068" width="6.7109375" style="17" customWidth="1"/>
    <col min="3069" max="3069" width="1.5703125" style="17" customWidth="1"/>
    <col min="3070" max="3070" width="10.5703125" style="17" customWidth="1"/>
    <col min="3071" max="3071" width="5.85546875" style="17" customWidth="1"/>
    <col min="3072" max="3072" width="1.5703125" style="17" customWidth="1"/>
    <col min="3073" max="3073" width="10.5703125" style="17" customWidth="1"/>
    <col min="3074" max="3074" width="6.7109375" style="17" customWidth="1"/>
    <col min="3075" max="3075" width="1.5703125" style="17" customWidth="1"/>
    <col min="3076" max="3076" width="10.5703125" style="17" customWidth="1"/>
    <col min="3077" max="3077" width="9.7109375" style="17" customWidth="1"/>
    <col min="3078" max="3078" width="13.28515625" style="17" bestFit="1" customWidth="1"/>
    <col min="3079" max="3079" width="7.7109375" style="17" customWidth="1"/>
    <col min="3080" max="3080" width="11.42578125" style="17"/>
    <col min="3081" max="3081" width="13.28515625" style="17" bestFit="1" customWidth="1"/>
    <col min="3082" max="3318" width="11.42578125" style="17"/>
    <col min="3319" max="3319" width="0.140625" style="17" customWidth="1"/>
    <col min="3320" max="3320" width="2.7109375" style="17" customWidth="1"/>
    <col min="3321" max="3321" width="15.42578125" style="17" customWidth="1"/>
    <col min="3322" max="3322" width="1.28515625" style="17" customWidth="1"/>
    <col min="3323" max="3323" width="27.7109375" style="17" customWidth="1"/>
    <col min="3324" max="3324" width="6.7109375" style="17" customWidth="1"/>
    <col min="3325" max="3325" width="1.5703125" style="17" customWidth="1"/>
    <col min="3326" max="3326" width="10.5703125" style="17" customWidth="1"/>
    <col min="3327" max="3327" width="5.85546875" style="17" customWidth="1"/>
    <col min="3328" max="3328" width="1.5703125" style="17" customWidth="1"/>
    <col min="3329" max="3329" width="10.5703125" style="17" customWidth="1"/>
    <col min="3330" max="3330" width="6.7109375" style="17" customWidth="1"/>
    <col min="3331" max="3331" width="1.5703125" style="17" customWidth="1"/>
    <col min="3332" max="3332" width="10.5703125" style="17" customWidth="1"/>
    <col min="3333" max="3333" width="9.7109375" style="17" customWidth="1"/>
    <col min="3334" max="3334" width="13.28515625" style="17" bestFit="1" customWidth="1"/>
    <col min="3335" max="3335" width="7.7109375" style="17" customWidth="1"/>
    <col min="3336" max="3336" width="11.42578125" style="17"/>
    <col min="3337" max="3337" width="13.28515625" style="17" bestFit="1" customWidth="1"/>
    <col min="3338" max="3574" width="11.42578125" style="17"/>
    <col min="3575" max="3575" width="0.140625" style="17" customWidth="1"/>
    <col min="3576" max="3576" width="2.7109375" style="17" customWidth="1"/>
    <col min="3577" max="3577" width="15.42578125" style="17" customWidth="1"/>
    <col min="3578" max="3578" width="1.28515625" style="17" customWidth="1"/>
    <col min="3579" max="3579" width="27.7109375" style="17" customWidth="1"/>
    <col min="3580" max="3580" width="6.7109375" style="17" customWidth="1"/>
    <col min="3581" max="3581" width="1.5703125" style="17" customWidth="1"/>
    <col min="3582" max="3582" width="10.5703125" style="17" customWidth="1"/>
    <col min="3583" max="3583" width="5.85546875" style="17" customWidth="1"/>
    <col min="3584" max="3584" width="1.5703125" style="17" customWidth="1"/>
    <col min="3585" max="3585" width="10.5703125" style="17" customWidth="1"/>
    <col min="3586" max="3586" width="6.7109375" style="17" customWidth="1"/>
    <col min="3587" max="3587" width="1.5703125" style="17" customWidth="1"/>
    <col min="3588" max="3588" width="10.5703125" style="17" customWidth="1"/>
    <col min="3589" max="3589" width="9.7109375" style="17" customWidth="1"/>
    <col min="3590" max="3590" width="13.28515625" style="17" bestFit="1" customWidth="1"/>
    <col min="3591" max="3591" width="7.7109375" style="17" customWidth="1"/>
    <col min="3592" max="3592" width="11.42578125" style="17"/>
    <col min="3593" max="3593" width="13.28515625" style="17" bestFit="1" customWidth="1"/>
    <col min="3594" max="3830" width="11.42578125" style="17"/>
    <col min="3831" max="3831" width="0.140625" style="17" customWidth="1"/>
    <col min="3832" max="3832" width="2.7109375" style="17" customWidth="1"/>
    <col min="3833" max="3833" width="15.42578125" style="17" customWidth="1"/>
    <col min="3834" max="3834" width="1.28515625" style="17" customWidth="1"/>
    <col min="3835" max="3835" width="27.7109375" style="17" customWidth="1"/>
    <col min="3836" max="3836" width="6.7109375" style="17" customWidth="1"/>
    <col min="3837" max="3837" width="1.5703125" style="17" customWidth="1"/>
    <col min="3838" max="3838" width="10.5703125" style="17" customWidth="1"/>
    <col min="3839" max="3839" width="5.85546875" style="17" customWidth="1"/>
    <col min="3840" max="3840" width="1.5703125" style="17" customWidth="1"/>
    <col min="3841" max="3841" width="10.5703125" style="17" customWidth="1"/>
    <col min="3842" max="3842" width="6.7109375" style="17" customWidth="1"/>
    <col min="3843" max="3843" width="1.5703125" style="17" customWidth="1"/>
    <col min="3844" max="3844" width="10.5703125" style="17" customWidth="1"/>
    <col min="3845" max="3845" width="9.7109375" style="17" customWidth="1"/>
    <col min="3846" max="3846" width="13.28515625" style="17" bestFit="1" customWidth="1"/>
    <col min="3847" max="3847" width="7.7109375" style="17" customWidth="1"/>
    <col min="3848" max="3848" width="11.42578125" style="17"/>
    <col min="3849" max="3849" width="13.28515625" style="17" bestFit="1" customWidth="1"/>
    <col min="3850" max="4086" width="11.42578125" style="17"/>
    <col min="4087" max="4087" width="0.140625" style="17" customWidth="1"/>
    <col min="4088" max="4088" width="2.7109375" style="17" customWidth="1"/>
    <col min="4089" max="4089" width="15.42578125" style="17" customWidth="1"/>
    <col min="4090" max="4090" width="1.28515625" style="17" customWidth="1"/>
    <col min="4091" max="4091" width="27.7109375" style="17" customWidth="1"/>
    <col min="4092" max="4092" width="6.7109375" style="17" customWidth="1"/>
    <col min="4093" max="4093" width="1.5703125" style="17" customWidth="1"/>
    <col min="4094" max="4094" width="10.5703125" style="17" customWidth="1"/>
    <col min="4095" max="4095" width="5.85546875" style="17" customWidth="1"/>
    <col min="4096" max="4096" width="1.5703125" style="17" customWidth="1"/>
    <col min="4097" max="4097" width="10.5703125" style="17" customWidth="1"/>
    <col min="4098" max="4098" width="6.7109375" style="17" customWidth="1"/>
    <col min="4099" max="4099" width="1.5703125" style="17" customWidth="1"/>
    <col min="4100" max="4100" width="10.5703125" style="17" customWidth="1"/>
    <col min="4101" max="4101" width="9.7109375" style="17" customWidth="1"/>
    <col min="4102" max="4102" width="13.28515625" style="17" bestFit="1" customWidth="1"/>
    <col min="4103" max="4103" width="7.7109375" style="17" customWidth="1"/>
    <col min="4104" max="4104" width="11.42578125" style="17"/>
    <col min="4105" max="4105" width="13.28515625" style="17" bestFit="1" customWidth="1"/>
    <col min="4106" max="4342" width="11.42578125" style="17"/>
    <col min="4343" max="4343" width="0.140625" style="17" customWidth="1"/>
    <col min="4344" max="4344" width="2.7109375" style="17" customWidth="1"/>
    <col min="4345" max="4345" width="15.42578125" style="17" customWidth="1"/>
    <col min="4346" max="4346" width="1.28515625" style="17" customWidth="1"/>
    <col min="4347" max="4347" width="27.7109375" style="17" customWidth="1"/>
    <col min="4348" max="4348" width="6.7109375" style="17" customWidth="1"/>
    <col min="4349" max="4349" width="1.5703125" style="17" customWidth="1"/>
    <col min="4350" max="4350" width="10.5703125" style="17" customWidth="1"/>
    <col min="4351" max="4351" width="5.85546875" style="17" customWidth="1"/>
    <col min="4352" max="4352" width="1.5703125" style="17" customWidth="1"/>
    <col min="4353" max="4353" width="10.5703125" style="17" customWidth="1"/>
    <col min="4354" max="4354" width="6.7109375" style="17" customWidth="1"/>
    <col min="4355" max="4355" width="1.5703125" style="17" customWidth="1"/>
    <col min="4356" max="4356" width="10.5703125" style="17" customWidth="1"/>
    <col min="4357" max="4357" width="9.7109375" style="17" customWidth="1"/>
    <col min="4358" max="4358" width="13.28515625" style="17" bestFit="1" customWidth="1"/>
    <col min="4359" max="4359" width="7.7109375" style="17" customWidth="1"/>
    <col min="4360" max="4360" width="11.42578125" style="17"/>
    <col min="4361" max="4361" width="13.28515625" style="17" bestFit="1" customWidth="1"/>
    <col min="4362" max="4598" width="11.42578125" style="17"/>
    <col min="4599" max="4599" width="0.140625" style="17" customWidth="1"/>
    <col min="4600" max="4600" width="2.7109375" style="17" customWidth="1"/>
    <col min="4601" max="4601" width="15.42578125" style="17" customWidth="1"/>
    <col min="4602" max="4602" width="1.28515625" style="17" customWidth="1"/>
    <col min="4603" max="4603" width="27.7109375" style="17" customWidth="1"/>
    <col min="4604" max="4604" width="6.7109375" style="17" customWidth="1"/>
    <col min="4605" max="4605" width="1.5703125" style="17" customWidth="1"/>
    <col min="4606" max="4606" width="10.5703125" style="17" customWidth="1"/>
    <col min="4607" max="4607" width="5.85546875" style="17" customWidth="1"/>
    <col min="4608" max="4608" width="1.5703125" style="17" customWidth="1"/>
    <col min="4609" max="4609" width="10.5703125" style="17" customWidth="1"/>
    <col min="4610" max="4610" width="6.7109375" style="17" customWidth="1"/>
    <col min="4611" max="4611" width="1.5703125" style="17" customWidth="1"/>
    <col min="4612" max="4612" width="10.5703125" style="17" customWidth="1"/>
    <col min="4613" max="4613" width="9.7109375" style="17" customWidth="1"/>
    <col min="4614" max="4614" width="13.28515625" style="17" bestFit="1" customWidth="1"/>
    <col min="4615" max="4615" width="7.7109375" style="17" customWidth="1"/>
    <col min="4616" max="4616" width="11.42578125" style="17"/>
    <col min="4617" max="4617" width="13.28515625" style="17" bestFit="1" customWidth="1"/>
    <col min="4618" max="4854" width="11.42578125" style="17"/>
    <col min="4855" max="4855" width="0.140625" style="17" customWidth="1"/>
    <col min="4856" max="4856" width="2.7109375" style="17" customWidth="1"/>
    <col min="4857" max="4857" width="15.42578125" style="17" customWidth="1"/>
    <col min="4858" max="4858" width="1.28515625" style="17" customWidth="1"/>
    <col min="4859" max="4859" width="27.7109375" style="17" customWidth="1"/>
    <col min="4860" max="4860" width="6.7109375" style="17" customWidth="1"/>
    <col min="4861" max="4861" width="1.5703125" style="17" customWidth="1"/>
    <col min="4862" max="4862" width="10.5703125" style="17" customWidth="1"/>
    <col min="4863" max="4863" width="5.85546875" style="17" customWidth="1"/>
    <col min="4864" max="4864" width="1.5703125" style="17" customWidth="1"/>
    <col min="4865" max="4865" width="10.5703125" style="17" customWidth="1"/>
    <col min="4866" max="4866" width="6.7109375" style="17" customWidth="1"/>
    <col min="4867" max="4867" width="1.5703125" style="17" customWidth="1"/>
    <col min="4868" max="4868" width="10.5703125" style="17" customWidth="1"/>
    <col min="4869" max="4869" width="9.7109375" style="17" customWidth="1"/>
    <col min="4870" max="4870" width="13.28515625" style="17" bestFit="1" customWidth="1"/>
    <col min="4871" max="4871" width="7.7109375" style="17" customWidth="1"/>
    <col min="4872" max="4872" width="11.42578125" style="17"/>
    <col min="4873" max="4873" width="13.28515625" style="17" bestFit="1" customWidth="1"/>
    <col min="4874" max="5110" width="11.42578125" style="17"/>
    <col min="5111" max="5111" width="0.140625" style="17" customWidth="1"/>
    <col min="5112" max="5112" width="2.7109375" style="17" customWidth="1"/>
    <col min="5113" max="5113" width="15.42578125" style="17" customWidth="1"/>
    <col min="5114" max="5114" width="1.28515625" style="17" customWidth="1"/>
    <col min="5115" max="5115" width="27.7109375" style="17" customWidth="1"/>
    <col min="5116" max="5116" width="6.7109375" style="17" customWidth="1"/>
    <col min="5117" max="5117" width="1.5703125" style="17" customWidth="1"/>
    <col min="5118" max="5118" width="10.5703125" style="17" customWidth="1"/>
    <col min="5119" max="5119" width="5.85546875" style="17" customWidth="1"/>
    <col min="5120" max="5120" width="1.5703125" style="17" customWidth="1"/>
    <col min="5121" max="5121" width="10.5703125" style="17" customWidth="1"/>
    <col min="5122" max="5122" width="6.7109375" style="17" customWidth="1"/>
    <col min="5123" max="5123" width="1.5703125" style="17" customWidth="1"/>
    <col min="5124" max="5124" width="10.5703125" style="17" customWidth="1"/>
    <col min="5125" max="5125" width="9.7109375" style="17" customWidth="1"/>
    <col min="5126" max="5126" width="13.28515625" style="17" bestFit="1" customWidth="1"/>
    <col min="5127" max="5127" width="7.7109375" style="17" customWidth="1"/>
    <col min="5128" max="5128" width="11.42578125" style="17"/>
    <col min="5129" max="5129" width="13.28515625" style="17" bestFit="1" customWidth="1"/>
    <col min="5130" max="5366" width="11.42578125" style="17"/>
    <col min="5367" max="5367" width="0.140625" style="17" customWidth="1"/>
    <col min="5368" max="5368" width="2.7109375" style="17" customWidth="1"/>
    <col min="5369" max="5369" width="15.42578125" style="17" customWidth="1"/>
    <col min="5370" max="5370" width="1.28515625" style="17" customWidth="1"/>
    <col min="5371" max="5371" width="27.7109375" style="17" customWidth="1"/>
    <col min="5372" max="5372" width="6.7109375" style="17" customWidth="1"/>
    <col min="5373" max="5373" width="1.5703125" style="17" customWidth="1"/>
    <col min="5374" max="5374" width="10.5703125" style="17" customWidth="1"/>
    <col min="5375" max="5375" width="5.85546875" style="17" customWidth="1"/>
    <col min="5376" max="5376" width="1.5703125" style="17" customWidth="1"/>
    <col min="5377" max="5377" width="10.5703125" style="17" customWidth="1"/>
    <col min="5378" max="5378" width="6.7109375" style="17" customWidth="1"/>
    <col min="5379" max="5379" width="1.5703125" style="17" customWidth="1"/>
    <col min="5380" max="5380" width="10.5703125" style="17" customWidth="1"/>
    <col min="5381" max="5381" width="9.7109375" style="17" customWidth="1"/>
    <col min="5382" max="5382" width="13.28515625" style="17" bestFit="1" customWidth="1"/>
    <col min="5383" max="5383" width="7.7109375" style="17" customWidth="1"/>
    <col min="5384" max="5384" width="11.42578125" style="17"/>
    <col min="5385" max="5385" width="13.28515625" style="17" bestFit="1" customWidth="1"/>
    <col min="5386" max="5622" width="11.42578125" style="17"/>
    <col min="5623" max="5623" width="0.140625" style="17" customWidth="1"/>
    <col min="5624" max="5624" width="2.7109375" style="17" customWidth="1"/>
    <col min="5625" max="5625" width="15.42578125" style="17" customWidth="1"/>
    <col min="5626" max="5626" width="1.28515625" style="17" customWidth="1"/>
    <col min="5627" max="5627" width="27.7109375" style="17" customWidth="1"/>
    <col min="5628" max="5628" width="6.7109375" style="17" customWidth="1"/>
    <col min="5629" max="5629" width="1.5703125" style="17" customWidth="1"/>
    <col min="5630" max="5630" width="10.5703125" style="17" customWidth="1"/>
    <col min="5631" max="5631" width="5.85546875" style="17" customWidth="1"/>
    <col min="5632" max="5632" width="1.5703125" style="17" customWidth="1"/>
    <col min="5633" max="5633" width="10.5703125" style="17" customWidth="1"/>
    <col min="5634" max="5634" width="6.7109375" style="17" customWidth="1"/>
    <col min="5635" max="5635" width="1.5703125" style="17" customWidth="1"/>
    <col min="5636" max="5636" width="10.5703125" style="17" customWidth="1"/>
    <col min="5637" max="5637" width="9.7109375" style="17" customWidth="1"/>
    <col min="5638" max="5638" width="13.28515625" style="17" bestFit="1" customWidth="1"/>
    <col min="5639" max="5639" width="7.7109375" style="17" customWidth="1"/>
    <col min="5640" max="5640" width="11.42578125" style="17"/>
    <col min="5641" max="5641" width="13.28515625" style="17" bestFit="1" customWidth="1"/>
    <col min="5642" max="5878" width="11.42578125" style="17"/>
    <col min="5879" max="5879" width="0.140625" style="17" customWidth="1"/>
    <col min="5880" max="5880" width="2.7109375" style="17" customWidth="1"/>
    <col min="5881" max="5881" width="15.42578125" style="17" customWidth="1"/>
    <col min="5882" max="5882" width="1.28515625" style="17" customWidth="1"/>
    <col min="5883" max="5883" width="27.7109375" style="17" customWidth="1"/>
    <col min="5884" max="5884" width="6.7109375" style="17" customWidth="1"/>
    <col min="5885" max="5885" width="1.5703125" style="17" customWidth="1"/>
    <col min="5886" max="5886" width="10.5703125" style="17" customWidth="1"/>
    <col min="5887" max="5887" width="5.85546875" style="17" customWidth="1"/>
    <col min="5888" max="5888" width="1.5703125" style="17" customWidth="1"/>
    <col min="5889" max="5889" width="10.5703125" style="17" customWidth="1"/>
    <col min="5890" max="5890" width="6.7109375" style="17" customWidth="1"/>
    <col min="5891" max="5891" width="1.5703125" style="17" customWidth="1"/>
    <col min="5892" max="5892" width="10.5703125" style="17" customWidth="1"/>
    <col min="5893" max="5893" width="9.7109375" style="17" customWidth="1"/>
    <col min="5894" max="5894" width="13.28515625" style="17" bestFit="1" customWidth="1"/>
    <col min="5895" max="5895" width="7.7109375" style="17" customWidth="1"/>
    <col min="5896" max="5896" width="11.42578125" style="17"/>
    <col min="5897" max="5897" width="13.28515625" style="17" bestFit="1" customWidth="1"/>
    <col min="5898" max="6134" width="11.42578125" style="17"/>
    <col min="6135" max="6135" width="0.140625" style="17" customWidth="1"/>
    <col min="6136" max="6136" width="2.7109375" style="17" customWidth="1"/>
    <col min="6137" max="6137" width="15.42578125" style="17" customWidth="1"/>
    <col min="6138" max="6138" width="1.28515625" style="17" customWidth="1"/>
    <col min="6139" max="6139" width="27.7109375" style="17" customWidth="1"/>
    <col min="6140" max="6140" width="6.7109375" style="17" customWidth="1"/>
    <col min="6141" max="6141" width="1.5703125" style="17" customWidth="1"/>
    <col min="6142" max="6142" width="10.5703125" style="17" customWidth="1"/>
    <col min="6143" max="6143" width="5.85546875" style="17" customWidth="1"/>
    <col min="6144" max="6144" width="1.5703125" style="17" customWidth="1"/>
    <col min="6145" max="6145" width="10.5703125" style="17" customWidth="1"/>
    <col min="6146" max="6146" width="6.7109375" style="17" customWidth="1"/>
    <col min="6147" max="6147" width="1.5703125" style="17" customWidth="1"/>
    <col min="6148" max="6148" width="10.5703125" style="17" customWidth="1"/>
    <col min="6149" max="6149" width="9.7109375" style="17" customWidth="1"/>
    <col min="6150" max="6150" width="13.28515625" style="17" bestFit="1" customWidth="1"/>
    <col min="6151" max="6151" width="7.7109375" style="17" customWidth="1"/>
    <col min="6152" max="6152" width="11.42578125" style="17"/>
    <col min="6153" max="6153" width="13.28515625" style="17" bestFit="1" customWidth="1"/>
    <col min="6154" max="6390" width="11.42578125" style="17"/>
    <col min="6391" max="6391" width="0.140625" style="17" customWidth="1"/>
    <col min="6392" max="6392" width="2.7109375" style="17" customWidth="1"/>
    <col min="6393" max="6393" width="15.42578125" style="17" customWidth="1"/>
    <col min="6394" max="6394" width="1.28515625" style="17" customWidth="1"/>
    <col min="6395" max="6395" width="27.7109375" style="17" customWidth="1"/>
    <col min="6396" max="6396" width="6.7109375" style="17" customWidth="1"/>
    <col min="6397" max="6397" width="1.5703125" style="17" customWidth="1"/>
    <col min="6398" max="6398" width="10.5703125" style="17" customWidth="1"/>
    <col min="6399" max="6399" width="5.85546875" style="17" customWidth="1"/>
    <col min="6400" max="6400" width="1.5703125" style="17" customWidth="1"/>
    <col min="6401" max="6401" width="10.5703125" style="17" customWidth="1"/>
    <col min="6402" max="6402" width="6.7109375" style="17" customWidth="1"/>
    <col min="6403" max="6403" width="1.5703125" style="17" customWidth="1"/>
    <col min="6404" max="6404" width="10.5703125" style="17" customWidth="1"/>
    <col min="6405" max="6405" width="9.7109375" style="17" customWidth="1"/>
    <col min="6406" max="6406" width="13.28515625" style="17" bestFit="1" customWidth="1"/>
    <col min="6407" max="6407" width="7.7109375" style="17" customWidth="1"/>
    <col min="6408" max="6408" width="11.42578125" style="17"/>
    <col min="6409" max="6409" width="13.28515625" style="17" bestFit="1" customWidth="1"/>
    <col min="6410" max="6646" width="11.42578125" style="17"/>
    <col min="6647" max="6647" width="0.140625" style="17" customWidth="1"/>
    <col min="6648" max="6648" width="2.7109375" style="17" customWidth="1"/>
    <col min="6649" max="6649" width="15.42578125" style="17" customWidth="1"/>
    <col min="6650" max="6650" width="1.28515625" style="17" customWidth="1"/>
    <col min="6651" max="6651" width="27.7109375" style="17" customWidth="1"/>
    <col min="6652" max="6652" width="6.7109375" style="17" customWidth="1"/>
    <col min="6653" max="6653" width="1.5703125" style="17" customWidth="1"/>
    <col min="6654" max="6654" width="10.5703125" style="17" customWidth="1"/>
    <col min="6655" max="6655" width="5.85546875" style="17" customWidth="1"/>
    <col min="6656" max="6656" width="1.5703125" style="17" customWidth="1"/>
    <col min="6657" max="6657" width="10.5703125" style="17" customWidth="1"/>
    <col min="6658" max="6658" width="6.7109375" style="17" customWidth="1"/>
    <col min="6659" max="6659" width="1.5703125" style="17" customWidth="1"/>
    <col min="6660" max="6660" width="10.5703125" style="17" customWidth="1"/>
    <col min="6661" max="6661" width="9.7109375" style="17" customWidth="1"/>
    <col min="6662" max="6662" width="13.28515625" style="17" bestFit="1" customWidth="1"/>
    <col min="6663" max="6663" width="7.7109375" style="17" customWidth="1"/>
    <col min="6664" max="6664" width="11.42578125" style="17"/>
    <col min="6665" max="6665" width="13.28515625" style="17" bestFit="1" customWidth="1"/>
    <col min="6666" max="6902" width="11.42578125" style="17"/>
    <col min="6903" max="6903" width="0.140625" style="17" customWidth="1"/>
    <col min="6904" max="6904" width="2.7109375" style="17" customWidth="1"/>
    <col min="6905" max="6905" width="15.42578125" style="17" customWidth="1"/>
    <col min="6906" max="6906" width="1.28515625" style="17" customWidth="1"/>
    <col min="6907" max="6907" width="27.7109375" style="17" customWidth="1"/>
    <col min="6908" max="6908" width="6.7109375" style="17" customWidth="1"/>
    <col min="6909" max="6909" width="1.5703125" style="17" customWidth="1"/>
    <col min="6910" max="6910" width="10.5703125" style="17" customWidth="1"/>
    <col min="6911" max="6911" width="5.85546875" style="17" customWidth="1"/>
    <col min="6912" max="6912" width="1.5703125" style="17" customWidth="1"/>
    <col min="6913" max="6913" width="10.5703125" style="17" customWidth="1"/>
    <col min="6914" max="6914" width="6.7109375" style="17" customWidth="1"/>
    <col min="6915" max="6915" width="1.5703125" style="17" customWidth="1"/>
    <col min="6916" max="6916" width="10.5703125" style="17" customWidth="1"/>
    <col min="6917" max="6917" width="9.7109375" style="17" customWidth="1"/>
    <col min="6918" max="6918" width="13.28515625" style="17" bestFit="1" customWidth="1"/>
    <col min="6919" max="6919" width="7.7109375" style="17" customWidth="1"/>
    <col min="6920" max="6920" width="11.42578125" style="17"/>
    <col min="6921" max="6921" width="13.28515625" style="17" bestFit="1" customWidth="1"/>
    <col min="6922" max="7158" width="11.42578125" style="17"/>
    <col min="7159" max="7159" width="0.140625" style="17" customWidth="1"/>
    <col min="7160" max="7160" width="2.7109375" style="17" customWidth="1"/>
    <col min="7161" max="7161" width="15.42578125" style="17" customWidth="1"/>
    <col min="7162" max="7162" width="1.28515625" style="17" customWidth="1"/>
    <col min="7163" max="7163" width="27.7109375" style="17" customWidth="1"/>
    <col min="7164" max="7164" width="6.7109375" style="17" customWidth="1"/>
    <col min="7165" max="7165" width="1.5703125" style="17" customWidth="1"/>
    <col min="7166" max="7166" width="10.5703125" style="17" customWidth="1"/>
    <col min="7167" max="7167" width="5.85546875" style="17" customWidth="1"/>
    <col min="7168" max="7168" width="1.5703125" style="17" customWidth="1"/>
    <col min="7169" max="7169" width="10.5703125" style="17" customWidth="1"/>
    <col min="7170" max="7170" width="6.7109375" style="17" customWidth="1"/>
    <col min="7171" max="7171" width="1.5703125" style="17" customWidth="1"/>
    <col min="7172" max="7172" width="10.5703125" style="17" customWidth="1"/>
    <col min="7173" max="7173" width="9.7109375" style="17" customWidth="1"/>
    <col min="7174" max="7174" width="13.28515625" style="17" bestFit="1" customWidth="1"/>
    <col min="7175" max="7175" width="7.7109375" style="17" customWidth="1"/>
    <col min="7176" max="7176" width="11.42578125" style="17"/>
    <col min="7177" max="7177" width="13.28515625" style="17" bestFit="1" customWidth="1"/>
    <col min="7178" max="7414" width="11.42578125" style="17"/>
    <col min="7415" max="7415" width="0.140625" style="17" customWidth="1"/>
    <col min="7416" max="7416" width="2.7109375" style="17" customWidth="1"/>
    <col min="7417" max="7417" width="15.42578125" style="17" customWidth="1"/>
    <col min="7418" max="7418" width="1.28515625" style="17" customWidth="1"/>
    <col min="7419" max="7419" width="27.7109375" style="17" customWidth="1"/>
    <col min="7420" max="7420" width="6.7109375" style="17" customWidth="1"/>
    <col min="7421" max="7421" width="1.5703125" style="17" customWidth="1"/>
    <col min="7422" max="7422" width="10.5703125" style="17" customWidth="1"/>
    <col min="7423" max="7423" width="5.85546875" style="17" customWidth="1"/>
    <col min="7424" max="7424" width="1.5703125" style="17" customWidth="1"/>
    <col min="7425" max="7425" width="10.5703125" style="17" customWidth="1"/>
    <col min="7426" max="7426" width="6.7109375" style="17" customWidth="1"/>
    <col min="7427" max="7427" width="1.5703125" style="17" customWidth="1"/>
    <col min="7428" max="7428" width="10.5703125" style="17" customWidth="1"/>
    <col min="7429" max="7429" width="9.7109375" style="17" customWidth="1"/>
    <col min="7430" max="7430" width="13.28515625" style="17" bestFit="1" customWidth="1"/>
    <col min="7431" max="7431" width="7.7109375" style="17" customWidth="1"/>
    <col min="7432" max="7432" width="11.42578125" style="17"/>
    <col min="7433" max="7433" width="13.28515625" style="17" bestFit="1" customWidth="1"/>
    <col min="7434" max="7670" width="11.42578125" style="17"/>
    <col min="7671" max="7671" width="0.140625" style="17" customWidth="1"/>
    <col min="7672" max="7672" width="2.7109375" style="17" customWidth="1"/>
    <col min="7673" max="7673" width="15.42578125" style="17" customWidth="1"/>
    <col min="7674" max="7674" width="1.28515625" style="17" customWidth="1"/>
    <col min="7675" max="7675" width="27.7109375" style="17" customWidth="1"/>
    <col min="7676" max="7676" width="6.7109375" style="17" customWidth="1"/>
    <col min="7677" max="7677" width="1.5703125" style="17" customWidth="1"/>
    <col min="7678" max="7678" width="10.5703125" style="17" customWidth="1"/>
    <col min="7679" max="7679" width="5.85546875" style="17" customWidth="1"/>
    <col min="7680" max="7680" width="1.5703125" style="17" customWidth="1"/>
    <col min="7681" max="7681" width="10.5703125" style="17" customWidth="1"/>
    <col min="7682" max="7682" width="6.7109375" style="17" customWidth="1"/>
    <col min="7683" max="7683" width="1.5703125" style="17" customWidth="1"/>
    <col min="7684" max="7684" width="10.5703125" style="17" customWidth="1"/>
    <col min="7685" max="7685" width="9.7109375" style="17" customWidth="1"/>
    <col min="7686" max="7686" width="13.28515625" style="17" bestFit="1" customWidth="1"/>
    <col min="7687" max="7687" width="7.7109375" style="17" customWidth="1"/>
    <col min="7688" max="7688" width="11.42578125" style="17"/>
    <col min="7689" max="7689" width="13.28515625" style="17" bestFit="1" customWidth="1"/>
    <col min="7690" max="7926" width="11.42578125" style="17"/>
    <col min="7927" max="7927" width="0.140625" style="17" customWidth="1"/>
    <col min="7928" max="7928" width="2.7109375" style="17" customWidth="1"/>
    <col min="7929" max="7929" width="15.42578125" style="17" customWidth="1"/>
    <col min="7930" max="7930" width="1.28515625" style="17" customWidth="1"/>
    <col min="7931" max="7931" width="27.7109375" style="17" customWidth="1"/>
    <col min="7932" max="7932" width="6.7109375" style="17" customWidth="1"/>
    <col min="7933" max="7933" width="1.5703125" style="17" customWidth="1"/>
    <col min="7934" max="7934" width="10.5703125" style="17" customWidth="1"/>
    <col min="7935" max="7935" width="5.85546875" style="17" customWidth="1"/>
    <col min="7936" max="7936" width="1.5703125" style="17" customWidth="1"/>
    <col min="7937" max="7937" width="10.5703125" style="17" customWidth="1"/>
    <col min="7938" max="7938" width="6.7109375" style="17" customWidth="1"/>
    <col min="7939" max="7939" width="1.5703125" style="17" customWidth="1"/>
    <col min="7940" max="7940" width="10.5703125" style="17" customWidth="1"/>
    <col min="7941" max="7941" width="9.7109375" style="17" customWidth="1"/>
    <col min="7942" max="7942" width="13.28515625" style="17" bestFit="1" customWidth="1"/>
    <col min="7943" max="7943" width="7.7109375" style="17" customWidth="1"/>
    <col min="7944" max="7944" width="11.42578125" style="17"/>
    <col min="7945" max="7945" width="13.28515625" style="17" bestFit="1" customWidth="1"/>
    <col min="7946" max="8182" width="11.42578125" style="17"/>
    <col min="8183" max="8183" width="0.140625" style="17" customWidth="1"/>
    <col min="8184" max="8184" width="2.7109375" style="17" customWidth="1"/>
    <col min="8185" max="8185" width="15.42578125" style="17" customWidth="1"/>
    <col min="8186" max="8186" width="1.28515625" style="17" customWidth="1"/>
    <col min="8187" max="8187" width="27.7109375" style="17" customWidth="1"/>
    <col min="8188" max="8188" width="6.7109375" style="17" customWidth="1"/>
    <col min="8189" max="8189" width="1.5703125" style="17" customWidth="1"/>
    <col min="8190" max="8190" width="10.5703125" style="17" customWidth="1"/>
    <col min="8191" max="8191" width="5.85546875" style="17" customWidth="1"/>
    <col min="8192" max="8192" width="1.5703125" style="17" customWidth="1"/>
    <col min="8193" max="8193" width="10.5703125" style="17" customWidth="1"/>
    <col min="8194" max="8194" width="6.7109375" style="17" customWidth="1"/>
    <col min="8195" max="8195" width="1.5703125" style="17" customWidth="1"/>
    <col min="8196" max="8196" width="10.5703125" style="17" customWidth="1"/>
    <col min="8197" max="8197" width="9.7109375" style="17" customWidth="1"/>
    <col min="8198" max="8198" width="13.28515625" style="17" bestFit="1" customWidth="1"/>
    <col min="8199" max="8199" width="7.7109375" style="17" customWidth="1"/>
    <col min="8200" max="8200" width="11.42578125" style="17"/>
    <col min="8201" max="8201" width="13.28515625" style="17" bestFit="1" customWidth="1"/>
    <col min="8202" max="8438" width="11.42578125" style="17"/>
    <col min="8439" max="8439" width="0.140625" style="17" customWidth="1"/>
    <col min="8440" max="8440" width="2.7109375" style="17" customWidth="1"/>
    <col min="8441" max="8441" width="15.42578125" style="17" customWidth="1"/>
    <col min="8442" max="8442" width="1.28515625" style="17" customWidth="1"/>
    <col min="8443" max="8443" width="27.7109375" style="17" customWidth="1"/>
    <col min="8444" max="8444" width="6.7109375" style="17" customWidth="1"/>
    <col min="8445" max="8445" width="1.5703125" style="17" customWidth="1"/>
    <col min="8446" max="8446" width="10.5703125" style="17" customWidth="1"/>
    <col min="8447" max="8447" width="5.85546875" style="17" customWidth="1"/>
    <col min="8448" max="8448" width="1.5703125" style="17" customWidth="1"/>
    <col min="8449" max="8449" width="10.5703125" style="17" customWidth="1"/>
    <col min="8450" max="8450" width="6.7109375" style="17" customWidth="1"/>
    <col min="8451" max="8451" width="1.5703125" style="17" customWidth="1"/>
    <col min="8452" max="8452" width="10.5703125" style="17" customWidth="1"/>
    <col min="8453" max="8453" width="9.7109375" style="17" customWidth="1"/>
    <col min="8454" max="8454" width="13.28515625" style="17" bestFit="1" customWidth="1"/>
    <col min="8455" max="8455" width="7.7109375" style="17" customWidth="1"/>
    <col min="8456" max="8456" width="11.42578125" style="17"/>
    <col min="8457" max="8457" width="13.28515625" style="17" bestFit="1" customWidth="1"/>
    <col min="8458" max="8694" width="11.42578125" style="17"/>
    <col min="8695" max="8695" width="0.140625" style="17" customWidth="1"/>
    <col min="8696" max="8696" width="2.7109375" style="17" customWidth="1"/>
    <col min="8697" max="8697" width="15.42578125" style="17" customWidth="1"/>
    <col min="8698" max="8698" width="1.28515625" style="17" customWidth="1"/>
    <col min="8699" max="8699" width="27.7109375" style="17" customWidth="1"/>
    <col min="8700" max="8700" width="6.7109375" style="17" customWidth="1"/>
    <col min="8701" max="8701" width="1.5703125" style="17" customWidth="1"/>
    <col min="8702" max="8702" width="10.5703125" style="17" customWidth="1"/>
    <col min="8703" max="8703" width="5.85546875" style="17" customWidth="1"/>
    <col min="8704" max="8704" width="1.5703125" style="17" customWidth="1"/>
    <col min="8705" max="8705" width="10.5703125" style="17" customWidth="1"/>
    <col min="8706" max="8706" width="6.7109375" style="17" customWidth="1"/>
    <col min="8707" max="8707" width="1.5703125" style="17" customWidth="1"/>
    <col min="8708" max="8708" width="10.5703125" style="17" customWidth="1"/>
    <col min="8709" max="8709" width="9.7109375" style="17" customWidth="1"/>
    <col min="8710" max="8710" width="13.28515625" style="17" bestFit="1" customWidth="1"/>
    <col min="8711" max="8711" width="7.7109375" style="17" customWidth="1"/>
    <col min="8712" max="8712" width="11.42578125" style="17"/>
    <col min="8713" max="8713" width="13.28515625" style="17" bestFit="1" customWidth="1"/>
    <col min="8714" max="8950" width="11.42578125" style="17"/>
    <col min="8951" max="8951" width="0.140625" style="17" customWidth="1"/>
    <col min="8952" max="8952" width="2.7109375" style="17" customWidth="1"/>
    <col min="8953" max="8953" width="15.42578125" style="17" customWidth="1"/>
    <col min="8954" max="8954" width="1.28515625" style="17" customWidth="1"/>
    <col min="8955" max="8955" width="27.7109375" style="17" customWidth="1"/>
    <col min="8956" max="8956" width="6.7109375" style="17" customWidth="1"/>
    <col min="8957" max="8957" width="1.5703125" style="17" customWidth="1"/>
    <col min="8958" max="8958" width="10.5703125" style="17" customWidth="1"/>
    <col min="8959" max="8959" width="5.85546875" style="17" customWidth="1"/>
    <col min="8960" max="8960" width="1.5703125" style="17" customWidth="1"/>
    <col min="8961" max="8961" width="10.5703125" style="17" customWidth="1"/>
    <col min="8962" max="8962" width="6.7109375" style="17" customWidth="1"/>
    <col min="8963" max="8963" width="1.5703125" style="17" customWidth="1"/>
    <col min="8964" max="8964" width="10.5703125" style="17" customWidth="1"/>
    <col min="8965" max="8965" width="9.7109375" style="17" customWidth="1"/>
    <col min="8966" max="8966" width="13.28515625" style="17" bestFit="1" customWidth="1"/>
    <col min="8967" max="8967" width="7.7109375" style="17" customWidth="1"/>
    <col min="8968" max="8968" width="11.42578125" style="17"/>
    <col min="8969" max="8969" width="13.28515625" style="17" bestFit="1" customWidth="1"/>
    <col min="8970" max="9206" width="11.42578125" style="17"/>
    <col min="9207" max="9207" width="0.140625" style="17" customWidth="1"/>
    <col min="9208" max="9208" width="2.7109375" style="17" customWidth="1"/>
    <col min="9209" max="9209" width="15.42578125" style="17" customWidth="1"/>
    <col min="9210" max="9210" width="1.28515625" style="17" customWidth="1"/>
    <col min="9211" max="9211" width="27.7109375" style="17" customWidth="1"/>
    <col min="9212" max="9212" width="6.7109375" style="17" customWidth="1"/>
    <col min="9213" max="9213" width="1.5703125" style="17" customWidth="1"/>
    <col min="9214" max="9214" width="10.5703125" style="17" customWidth="1"/>
    <col min="9215" max="9215" width="5.85546875" style="17" customWidth="1"/>
    <col min="9216" max="9216" width="1.5703125" style="17" customWidth="1"/>
    <col min="9217" max="9217" width="10.5703125" style="17" customWidth="1"/>
    <col min="9218" max="9218" width="6.7109375" style="17" customWidth="1"/>
    <col min="9219" max="9219" width="1.5703125" style="17" customWidth="1"/>
    <col min="9220" max="9220" width="10.5703125" style="17" customWidth="1"/>
    <col min="9221" max="9221" width="9.7109375" style="17" customWidth="1"/>
    <col min="9222" max="9222" width="13.28515625" style="17" bestFit="1" customWidth="1"/>
    <col min="9223" max="9223" width="7.7109375" style="17" customWidth="1"/>
    <col min="9224" max="9224" width="11.42578125" style="17"/>
    <col min="9225" max="9225" width="13.28515625" style="17" bestFit="1" customWidth="1"/>
    <col min="9226" max="9462" width="11.42578125" style="17"/>
    <col min="9463" max="9463" width="0.140625" style="17" customWidth="1"/>
    <col min="9464" max="9464" width="2.7109375" style="17" customWidth="1"/>
    <col min="9465" max="9465" width="15.42578125" style="17" customWidth="1"/>
    <col min="9466" max="9466" width="1.28515625" style="17" customWidth="1"/>
    <col min="9467" max="9467" width="27.7109375" style="17" customWidth="1"/>
    <col min="9468" max="9468" width="6.7109375" style="17" customWidth="1"/>
    <col min="9469" max="9469" width="1.5703125" style="17" customWidth="1"/>
    <col min="9470" max="9470" width="10.5703125" style="17" customWidth="1"/>
    <col min="9471" max="9471" width="5.85546875" style="17" customWidth="1"/>
    <col min="9472" max="9472" width="1.5703125" style="17" customWidth="1"/>
    <col min="9473" max="9473" width="10.5703125" style="17" customWidth="1"/>
    <col min="9474" max="9474" width="6.7109375" style="17" customWidth="1"/>
    <col min="9475" max="9475" width="1.5703125" style="17" customWidth="1"/>
    <col min="9476" max="9476" width="10.5703125" style="17" customWidth="1"/>
    <col min="9477" max="9477" width="9.7109375" style="17" customWidth="1"/>
    <col min="9478" max="9478" width="13.28515625" style="17" bestFit="1" customWidth="1"/>
    <col min="9479" max="9479" width="7.7109375" style="17" customWidth="1"/>
    <col min="9480" max="9480" width="11.42578125" style="17"/>
    <col min="9481" max="9481" width="13.28515625" style="17" bestFit="1" customWidth="1"/>
    <col min="9482" max="9718" width="11.42578125" style="17"/>
    <col min="9719" max="9719" width="0.140625" style="17" customWidth="1"/>
    <col min="9720" max="9720" width="2.7109375" style="17" customWidth="1"/>
    <col min="9721" max="9721" width="15.42578125" style="17" customWidth="1"/>
    <col min="9722" max="9722" width="1.28515625" style="17" customWidth="1"/>
    <col min="9723" max="9723" width="27.7109375" style="17" customWidth="1"/>
    <col min="9724" max="9724" width="6.7109375" style="17" customWidth="1"/>
    <col min="9725" max="9725" width="1.5703125" style="17" customWidth="1"/>
    <col min="9726" max="9726" width="10.5703125" style="17" customWidth="1"/>
    <col min="9727" max="9727" width="5.85546875" style="17" customWidth="1"/>
    <col min="9728" max="9728" width="1.5703125" style="17" customWidth="1"/>
    <col min="9729" max="9729" width="10.5703125" style="17" customWidth="1"/>
    <col min="9730" max="9730" width="6.7109375" style="17" customWidth="1"/>
    <col min="9731" max="9731" width="1.5703125" style="17" customWidth="1"/>
    <col min="9732" max="9732" width="10.5703125" style="17" customWidth="1"/>
    <col min="9733" max="9733" width="9.7109375" style="17" customWidth="1"/>
    <col min="9734" max="9734" width="13.28515625" style="17" bestFit="1" customWidth="1"/>
    <col min="9735" max="9735" width="7.7109375" style="17" customWidth="1"/>
    <col min="9736" max="9736" width="11.42578125" style="17"/>
    <col min="9737" max="9737" width="13.28515625" style="17" bestFit="1" customWidth="1"/>
    <col min="9738" max="9974" width="11.42578125" style="17"/>
    <col min="9975" max="9975" width="0.140625" style="17" customWidth="1"/>
    <col min="9976" max="9976" width="2.7109375" style="17" customWidth="1"/>
    <col min="9977" max="9977" width="15.42578125" style="17" customWidth="1"/>
    <col min="9978" max="9978" width="1.28515625" style="17" customWidth="1"/>
    <col min="9979" max="9979" width="27.7109375" style="17" customWidth="1"/>
    <col min="9980" max="9980" width="6.7109375" style="17" customWidth="1"/>
    <col min="9981" max="9981" width="1.5703125" style="17" customWidth="1"/>
    <col min="9982" max="9982" width="10.5703125" style="17" customWidth="1"/>
    <col min="9983" max="9983" width="5.85546875" style="17" customWidth="1"/>
    <col min="9984" max="9984" width="1.5703125" style="17" customWidth="1"/>
    <col min="9985" max="9985" width="10.5703125" style="17" customWidth="1"/>
    <col min="9986" max="9986" width="6.7109375" style="17" customWidth="1"/>
    <col min="9987" max="9987" width="1.5703125" style="17" customWidth="1"/>
    <col min="9988" max="9988" width="10.5703125" style="17" customWidth="1"/>
    <col min="9989" max="9989" width="9.7109375" style="17" customWidth="1"/>
    <col min="9990" max="9990" width="13.28515625" style="17" bestFit="1" customWidth="1"/>
    <col min="9991" max="9991" width="7.7109375" style="17" customWidth="1"/>
    <col min="9992" max="9992" width="11.42578125" style="17"/>
    <col min="9993" max="9993" width="13.28515625" style="17" bestFit="1" customWidth="1"/>
    <col min="9994" max="10230" width="11.42578125" style="17"/>
    <col min="10231" max="10231" width="0.140625" style="17" customWidth="1"/>
    <col min="10232" max="10232" width="2.7109375" style="17" customWidth="1"/>
    <col min="10233" max="10233" width="15.42578125" style="17" customWidth="1"/>
    <col min="10234" max="10234" width="1.28515625" style="17" customWidth="1"/>
    <col min="10235" max="10235" width="27.7109375" style="17" customWidth="1"/>
    <col min="10236" max="10236" width="6.7109375" style="17" customWidth="1"/>
    <col min="10237" max="10237" width="1.5703125" style="17" customWidth="1"/>
    <col min="10238" max="10238" width="10.5703125" style="17" customWidth="1"/>
    <col min="10239" max="10239" width="5.85546875" style="17" customWidth="1"/>
    <col min="10240" max="10240" width="1.5703125" style="17" customWidth="1"/>
    <col min="10241" max="10241" width="10.5703125" style="17" customWidth="1"/>
    <col min="10242" max="10242" width="6.7109375" style="17" customWidth="1"/>
    <col min="10243" max="10243" width="1.5703125" style="17" customWidth="1"/>
    <col min="10244" max="10244" width="10.5703125" style="17" customWidth="1"/>
    <col min="10245" max="10245" width="9.7109375" style="17" customWidth="1"/>
    <col min="10246" max="10246" width="13.28515625" style="17" bestFit="1" customWidth="1"/>
    <col min="10247" max="10247" width="7.7109375" style="17" customWidth="1"/>
    <col min="10248" max="10248" width="11.42578125" style="17"/>
    <col min="10249" max="10249" width="13.28515625" style="17" bestFit="1" customWidth="1"/>
    <col min="10250" max="10486" width="11.42578125" style="17"/>
    <col min="10487" max="10487" width="0.140625" style="17" customWidth="1"/>
    <col min="10488" max="10488" width="2.7109375" style="17" customWidth="1"/>
    <col min="10489" max="10489" width="15.42578125" style="17" customWidth="1"/>
    <col min="10490" max="10490" width="1.28515625" style="17" customWidth="1"/>
    <col min="10491" max="10491" width="27.7109375" style="17" customWidth="1"/>
    <col min="10492" max="10492" width="6.7109375" style="17" customWidth="1"/>
    <col min="10493" max="10493" width="1.5703125" style="17" customWidth="1"/>
    <col min="10494" max="10494" width="10.5703125" style="17" customWidth="1"/>
    <col min="10495" max="10495" width="5.85546875" style="17" customWidth="1"/>
    <col min="10496" max="10496" width="1.5703125" style="17" customWidth="1"/>
    <col min="10497" max="10497" width="10.5703125" style="17" customWidth="1"/>
    <col min="10498" max="10498" width="6.7109375" style="17" customWidth="1"/>
    <col min="10499" max="10499" width="1.5703125" style="17" customWidth="1"/>
    <col min="10500" max="10500" width="10.5703125" style="17" customWidth="1"/>
    <col min="10501" max="10501" width="9.7109375" style="17" customWidth="1"/>
    <col min="10502" max="10502" width="13.28515625" style="17" bestFit="1" customWidth="1"/>
    <col min="10503" max="10503" width="7.7109375" style="17" customWidth="1"/>
    <col min="10504" max="10504" width="11.42578125" style="17"/>
    <col min="10505" max="10505" width="13.28515625" style="17" bestFit="1" customWidth="1"/>
    <col min="10506" max="10742" width="11.42578125" style="17"/>
    <col min="10743" max="10743" width="0.140625" style="17" customWidth="1"/>
    <col min="10744" max="10744" width="2.7109375" style="17" customWidth="1"/>
    <col min="10745" max="10745" width="15.42578125" style="17" customWidth="1"/>
    <col min="10746" max="10746" width="1.28515625" style="17" customWidth="1"/>
    <col min="10747" max="10747" width="27.7109375" style="17" customWidth="1"/>
    <col min="10748" max="10748" width="6.7109375" style="17" customWidth="1"/>
    <col min="10749" max="10749" width="1.5703125" style="17" customWidth="1"/>
    <col min="10750" max="10750" width="10.5703125" style="17" customWidth="1"/>
    <col min="10751" max="10751" width="5.85546875" style="17" customWidth="1"/>
    <col min="10752" max="10752" width="1.5703125" style="17" customWidth="1"/>
    <col min="10753" max="10753" width="10.5703125" style="17" customWidth="1"/>
    <col min="10754" max="10754" width="6.7109375" style="17" customWidth="1"/>
    <col min="10755" max="10755" width="1.5703125" style="17" customWidth="1"/>
    <col min="10756" max="10756" width="10.5703125" style="17" customWidth="1"/>
    <col min="10757" max="10757" width="9.7109375" style="17" customWidth="1"/>
    <col min="10758" max="10758" width="13.28515625" style="17" bestFit="1" customWidth="1"/>
    <col min="10759" max="10759" width="7.7109375" style="17" customWidth="1"/>
    <col min="10760" max="10760" width="11.42578125" style="17"/>
    <col min="10761" max="10761" width="13.28515625" style="17" bestFit="1" customWidth="1"/>
    <col min="10762" max="10998" width="11.42578125" style="17"/>
    <col min="10999" max="10999" width="0.140625" style="17" customWidth="1"/>
    <col min="11000" max="11000" width="2.7109375" style="17" customWidth="1"/>
    <col min="11001" max="11001" width="15.42578125" style="17" customWidth="1"/>
    <col min="11002" max="11002" width="1.28515625" style="17" customWidth="1"/>
    <col min="11003" max="11003" width="27.7109375" style="17" customWidth="1"/>
    <col min="11004" max="11004" width="6.7109375" style="17" customWidth="1"/>
    <col min="11005" max="11005" width="1.5703125" style="17" customWidth="1"/>
    <col min="11006" max="11006" width="10.5703125" style="17" customWidth="1"/>
    <col min="11007" max="11007" width="5.85546875" style="17" customWidth="1"/>
    <col min="11008" max="11008" width="1.5703125" style="17" customWidth="1"/>
    <col min="11009" max="11009" width="10.5703125" style="17" customWidth="1"/>
    <col min="11010" max="11010" width="6.7109375" style="17" customWidth="1"/>
    <col min="11011" max="11011" width="1.5703125" style="17" customWidth="1"/>
    <col min="11012" max="11012" width="10.5703125" style="17" customWidth="1"/>
    <col min="11013" max="11013" width="9.7109375" style="17" customWidth="1"/>
    <col min="11014" max="11014" width="13.28515625" style="17" bestFit="1" customWidth="1"/>
    <col min="11015" max="11015" width="7.7109375" style="17" customWidth="1"/>
    <col min="11016" max="11016" width="11.42578125" style="17"/>
    <col min="11017" max="11017" width="13.28515625" style="17" bestFit="1" customWidth="1"/>
    <col min="11018" max="11254" width="11.42578125" style="17"/>
    <col min="11255" max="11255" width="0.140625" style="17" customWidth="1"/>
    <col min="11256" max="11256" width="2.7109375" style="17" customWidth="1"/>
    <col min="11257" max="11257" width="15.42578125" style="17" customWidth="1"/>
    <col min="11258" max="11258" width="1.28515625" style="17" customWidth="1"/>
    <col min="11259" max="11259" width="27.7109375" style="17" customWidth="1"/>
    <col min="11260" max="11260" width="6.7109375" style="17" customWidth="1"/>
    <col min="11261" max="11261" width="1.5703125" style="17" customWidth="1"/>
    <col min="11262" max="11262" width="10.5703125" style="17" customWidth="1"/>
    <col min="11263" max="11263" width="5.85546875" style="17" customWidth="1"/>
    <col min="11264" max="11264" width="1.5703125" style="17" customWidth="1"/>
    <col min="11265" max="11265" width="10.5703125" style="17" customWidth="1"/>
    <col min="11266" max="11266" width="6.7109375" style="17" customWidth="1"/>
    <col min="11267" max="11267" width="1.5703125" style="17" customWidth="1"/>
    <col min="11268" max="11268" width="10.5703125" style="17" customWidth="1"/>
    <col min="11269" max="11269" width="9.7109375" style="17" customWidth="1"/>
    <col min="11270" max="11270" width="13.28515625" style="17" bestFit="1" customWidth="1"/>
    <col min="11271" max="11271" width="7.7109375" style="17" customWidth="1"/>
    <col min="11272" max="11272" width="11.42578125" style="17"/>
    <col min="11273" max="11273" width="13.28515625" style="17" bestFit="1" customWidth="1"/>
    <col min="11274" max="11510" width="11.42578125" style="17"/>
    <col min="11511" max="11511" width="0.140625" style="17" customWidth="1"/>
    <col min="11512" max="11512" width="2.7109375" style="17" customWidth="1"/>
    <col min="11513" max="11513" width="15.42578125" style="17" customWidth="1"/>
    <col min="11514" max="11514" width="1.28515625" style="17" customWidth="1"/>
    <col min="11515" max="11515" width="27.7109375" style="17" customWidth="1"/>
    <col min="11516" max="11516" width="6.7109375" style="17" customWidth="1"/>
    <col min="11517" max="11517" width="1.5703125" style="17" customWidth="1"/>
    <col min="11518" max="11518" width="10.5703125" style="17" customWidth="1"/>
    <col min="11519" max="11519" width="5.85546875" style="17" customWidth="1"/>
    <col min="11520" max="11520" width="1.5703125" style="17" customWidth="1"/>
    <col min="11521" max="11521" width="10.5703125" style="17" customWidth="1"/>
    <col min="11522" max="11522" width="6.7109375" style="17" customWidth="1"/>
    <col min="11523" max="11523" width="1.5703125" style="17" customWidth="1"/>
    <col min="11524" max="11524" width="10.5703125" style="17" customWidth="1"/>
    <col min="11525" max="11525" width="9.7109375" style="17" customWidth="1"/>
    <col min="11526" max="11526" width="13.28515625" style="17" bestFit="1" customWidth="1"/>
    <col min="11527" max="11527" width="7.7109375" style="17" customWidth="1"/>
    <col min="11528" max="11528" width="11.42578125" style="17"/>
    <col min="11529" max="11529" width="13.28515625" style="17" bestFit="1" customWidth="1"/>
    <col min="11530" max="11766" width="11.42578125" style="17"/>
    <col min="11767" max="11767" width="0.140625" style="17" customWidth="1"/>
    <col min="11768" max="11768" width="2.7109375" style="17" customWidth="1"/>
    <col min="11769" max="11769" width="15.42578125" style="17" customWidth="1"/>
    <col min="11770" max="11770" width="1.28515625" style="17" customWidth="1"/>
    <col min="11771" max="11771" width="27.7109375" style="17" customWidth="1"/>
    <col min="11772" max="11772" width="6.7109375" style="17" customWidth="1"/>
    <col min="11773" max="11773" width="1.5703125" style="17" customWidth="1"/>
    <col min="11774" max="11774" width="10.5703125" style="17" customWidth="1"/>
    <col min="11775" max="11775" width="5.85546875" style="17" customWidth="1"/>
    <col min="11776" max="11776" width="1.5703125" style="17" customWidth="1"/>
    <col min="11777" max="11777" width="10.5703125" style="17" customWidth="1"/>
    <col min="11778" max="11778" width="6.7109375" style="17" customWidth="1"/>
    <col min="11779" max="11779" width="1.5703125" style="17" customWidth="1"/>
    <col min="11780" max="11780" width="10.5703125" style="17" customWidth="1"/>
    <col min="11781" max="11781" width="9.7109375" style="17" customWidth="1"/>
    <col min="11782" max="11782" width="13.28515625" style="17" bestFit="1" customWidth="1"/>
    <col min="11783" max="11783" width="7.7109375" style="17" customWidth="1"/>
    <col min="11784" max="11784" width="11.42578125" style="17"/>
    <col min="11785" max="11785" width="13.28515625" style="17" bestFit="1" customWidth="1"/>
    <col min="11786" max="12022" width="11.42578125" style="17"/>
    <col min="12023" max="12023" width="0.140625" style="17" customWidth="1"/>
    <col min="12024" max="12024" width="2.7109375" style="17" customWidth="1"/>
    <col min="12025" max="12025" width="15.42578125" style="17" customWidth="1"/>
    <col min="12026" max="12026" width="1.28515625" style="17" customWidth="1"/>
    <col min="12027" max="12027" width="27.7109375" style="17" customWidth="1"/>
    <col min="12028" max="12028" width="6.7109375" style="17" customWidth="1"/>
    <col min="12029" max="12029" width="1.5703125" style="17" customWidth="1"/>
    <col min="12030" max="12030" width="10.5703125" style="17" customWidth="1"/>
    <col min="12031" max="12031" width="5.85546875" style="17" customWidth="1"/>
    <col min="12032" max="12032" width="1.5703125" style="17" customWidth="1"/>
    <col min="12033" max="12033" width="10.5703125" style="17" customWidth="1"/>
    <col min="12034" max="12034" width="6.7109375" style="17" customWidth="1"/>
    <col min="12035" max="12035" width="1.5703125" style="17" customWidth="1"/>
    <col min="12036" max="12036" width="10.5703125" style="17" customWidth="1"/>
    <col min="12037" max="12037" width="9.7109375" style="17" customWidth="1"/>
    <col min="12038" max="12038" width="13.28515625" style="17" bestFit="1" customWidth="1"/>
    <col min="12039" max="12039" width="7.7109375" style="17" customWidth="1"/>
    <col min="12040" max="12040" width="11.42578125" style="17"/>
    <col min="12041" max="12041" width="13.28515625" style="17" bestFit="1" customWidth="1"/>
    <col min="12042" max="12278" width="11.42578125" style="17"/>
    <col min="12279" max="12279" width="0.140625" style="17" customWidth="1"/>
    <col min="12280" max="12280" width="2.7109375" style="17" customWidth="1"/>
    <col min="12281" max="12281" width="15.42578125" style="17" customWidth="1"/>
    <col min="12282" max="12282" width="1.28515625" style="17" customWidth="1"/>
    <col min="12283" max="12283" width="27.7109375" style="17" customWidth="1"/>
    <col min="12284" max="12284" width="6.7109375" style="17" customWidth="1"/>
    <col min="12285" max="12285" width="1.5703125" style="17" customWidth="1"/>
    <col min="12286" max="12286" width="10.5703125" style="17" customWidth="1"/>
    <col min="12287" max="12287" width="5.85546875" style="17" customWidth="1"/>
    <col min="12288" max="12288" width="1.5703125" style="17" customWidth="1"/>
    <col min="12289" max="12289" width="10.5703125" style="17" customWidth="1"/>
    <col min="12290" max="12290" width="6.7109375" style="17" customWidth="1"/>
    <col min="12291" max="12291" width="1.5703125" style="17" customWidth="1"/>
    <col min="12292" max="12292" width="10.5703125" style="17" customWidth="1"/>
    <col min="12293" max="12293" width="9.7109375" style="17" customWidth="1"/>
    <col min="12294" max="12294" width="13.28515625" style="17" bestFit="1" customWidth="1"/>
    <col min="12295" max="12295" width="7.7109375" style="17" customWidth="1"/>
    <col min="12296" max="12296" width="11.42578125" style="17"/>
    <col min="12297" max="12297" width="13.28515625" style="17" bestFit="1" customWidth="1"/>
    <col min="12298" max="12534" width="11.42578125" style="17"/>
    <col min="12535" max="12535" width="0.140625" style="17" customWidth="1"/>
    <col min="12536" max="12536" width="2.7109375" style="17" customWidth="1"/>
    <col min="12537" max="12537" width="15.42578125" style="17" customWidth="1"/>
    <col min="12538" max="12538" width="1.28515625" style="17" customWidth="1"/>
    <col min="12539" max="12539" width="27.7109375" style="17" customWidth="1"/>
    <col min="12540" max="12540" width="6.7109375" style="17" customWidth="1"/>
    <col min="12541" max="12541" width="1.5703125" style="17" customWidth="1"/>
    <col min="12542" max="12542" width="10.5703125" style="17" customWidth="1"/>
    <col min="12543" max="12543" width="5.85546875" style="17" customWidth="1"/>
    <col min="12544" max="12544" width="1.5703125" style="17" customWidth="1"/>
    <col min="12545" max="12545" width="10.5703125" style="17" customWidth="1"/>
    <col min="12546" max="12546" width="6.7109375" style="17" customWidth="1"/>
    <col min="12547" max="12547" width="1.5703125" style="17" customWidth="1"/>
    <col min="12548" max="12548" width="10.5703125" style="17" customWidth="1"/>
    <col min="12549" max="12549" width="9.7109375" style="17" customWidth="1"/>
    <col min="12550" max="12550" width="13.28515625" style="17" bestFit="1" customWidth="1"/>
    <col min="12551" max="12551" width="7.7109375" style="17" customWidth="1"/>
    <col min="12552" max="12552" width="11.42578125" style="17"/>
    <col min="12553" max="12553" width="13.28515625" style="17" bestFit="1" customWidth="1"/>
    <col min="12554" max="12790" width="11.42578125" style="17"/>
    <col min="12791" max="12791" width="0.140625" style="17" customWidth="1"/>
    <col min="12792" max="12792" width="2.7109375" style="17" customWidth="1"/>
    <col min="12793" max="12793" width="15.42578125" style="17" customWidth="1"/>
    <col min="12794" max="12794" width="1.28515625" style="17" customWidth="1"/>
    <col min="12795" max="12795" width="27.7109375" style="17" customWidth="1"/>
    <col min="12796" max="12796" width="6.7109375" style="17" customWidth="1"/>
    <col min="12797" max="12797" width="1.5703125" style="17" customWidth="1"/>
    <col min="12798" max="12798" width="10.5703125" style="17" customWidth="1"/>
    <col min="12799" max="12799" width="5.85546875" style="17" customWidth="1"/>
    <col min="12800" max="12800" width="1.5703125" style="17" customWidth="1"/>
    <col min="12801" max="12801" width="10.5703125" style="17" customWidth="1"/>
    <col min="12802" max="12802" width="6.7109375" style="17" customWidth="1"/>
    <col min="12803" max="12803" width="1.5703125" style="17" customWidth="1"/>
    <col min="12804" max="12804" width="10.5703125" style="17" customWidth="1"/>
    <col min="12805" max="12805" width="9.7109375" style="17" customWidth="1"/>
    <col min="12806" max="12806" width="13.28515625" style="17" bestFit="1" customWidth="1"/>
    <col min="12807" max="12807" width="7.7109375" style="17" customWidth="1"/>
    <col min="12808" max="12808" width="11.42578125" style="17"/>
    <col min="12809" max="12809" width="13.28515625" style="17" bestFit="1" customWidth="1"/>
    <col min="12810" max="13046" width="11.42578125" style="17"/>
    <col min="13047" max="13047" width="0.140625" style="17" customWidth="1"/>
    <col min="13048" max="13048" width="2.7109375" style="17" customWidth="1"/>
    <col min="13049" max="13049" width="15.42578125" style="17" customWidth="1"/>
    <col min="13050" max="13050" width="1.28515625" style="17" customWidth="1"/>
    <col min="13051" max="13051" width="27.7109375" style="17" customWidth="1"/>
    <col min="13052" max="13052" width="6.7109375" style="17" customWidth="1"/>
    <col min="13053" max="13053" width="1.5703125" style="17" customWidth="1"/>
    <col min="13054" max="13054" width="10.5703125" style="17" customWidth="1"/>
    <col min="13055" max="13055" width="5.85546875" style="17" customWidth="1"/>
    <col min="13056" max="13056" width="1.5703125" style="17" customWidth="1"/>
    <col min="13057" max="13057" width="10.5703125" style="17" customWidth="1"/>
    <col min="13058" max="13058" width="6.7109375" style="17" customWidth="1"/>
    <col min="13059" max="13059" width="1.5703125" style="17" customWidth="1"/>
    <col min="13060" max="13060" width="10.5703125" style="17" customWidth="1"/>
    <col min="13061" max="13061" width="9.7109375" style="17" customWidth="1"/>
    <col min="13062" max="13062" width="13.28515625" style="17" bestFit="1" customWidth="1"/>
    <col min="13063" max="13063" width="7.7109375" style="17" customWidth="1"/>
    <col min="13064" max="13064" width="11.42578125" style="17"/>
    <col min="13065" max="13065" width="13.28515625" style="17" bestFit="1" customWidth="1"/>
    <col min="13066" max="13302" width="11.42578125" style="17"/>
    <col min="13303" max="13303" width="0.140625" style="17" customWidth="1"/>
    <col min="13304" max="13304" width="2.7109375" style="17" customWidth="1"/>
    <col min="13305" max="13305" width="15.42578125" style="17" customWidth="1"/>
    <col min="13306" max="13306" width="1.28515625" style="17" customWidth="1"/>
    <col min="13307" max="13307" width="27.7109375" style="17" customWidth="1"/>
    <col min="13308" max="13308" width="6.7109375" style="17" customWidth="1"/>
    <col min="13309" max="13309" width="1.5703125" style="17" customWidth="1"/>
    <col min="13310" max="13310" width="10.5703125" style="17" customWidth="1"/>
    <col min="13311" max="13311" width="5.85546875" style="17" customWidth="1"/>
    <col min="13312" max="13312" width="1.5703125" style="17" customWidth="1"/>
    <col min="13313" max="13313" width="10.5703125" style="17" customWidth="1"/>
    <col min="13314" max="13314" width="6.7109375" style="17" customWidth="1"/>
    <col min="13315" max="13315" width="1.5703125" style="17" customWidth="1"/>
    <col min="13316" max="13316" width="10.5703125" style="17" customWidth="1"/>
    <col min="13317" max="13317" width="9.7109375" style="17" customWidth="1"/>
    <col min="13318" max="13318" width="13.28515625" style="17" bestFit="1" customWidth="1"/>
    <col min="13319" max="13319" width="7.7109375" style="17" customWidth="1"/>
    <col min="13320" max="13320" width="11.42578125" style="17"/>
    <col min="13321" max="13321" width="13.28515625" style="17" bestFit="1" customWidth="1"/>
    <col min="13322" max="13558" width="11.42578125" style="17"/>
    <col min="13559" max="13559" width="0.140625" style="17" customWidth="1"/>
    <col min="13560" max="13560" width="2.7109375" style="17" customWidth="1"/>
    <col min="13561" max="13561" width="15.42578125" style="17" customWidth="1"/>
    <col min="13562" max="13562" width="1.28515625" style="17" customWidth="1"/>
    <col min="13563" max="13563" width="27.7109375" style="17" customWidth="1"/>
    <col min="13564" max="13564" width="6.7109375" style="17" customWidth="1"/>
    <col min="13565" max="13565" width="1.5703125" style="17" customWidth="1"/>
    <col min="13566" max="13566" width="10.5703125" style="17" customWidth="1"/>
    <col min="13567" max="13567" width="5.85546875" style="17" customWidth="1"/>
    <col min="13568" max="13568" width="1.5703125" style="17" customWidth="1"/>
    <col min="13569" max="13569" width="10.5703125" style="17" customWidth="1"/>
    <col min="13570" max="13570" width="6.7109375" style="17" customWidth="1"/>
    <col min="13571" max="13571" width="1.5703125" style="17" customWidth="1"/>
    <col min="13572" max="13572" width="10.5703125" style="17" customWidth="1"/>
    <col min="13573" max="13573" width="9.7109375" style="17" customWidth="1"/>
    <col min="13574" max="13574" width="13.28515625" style="17" bestFit="1" customWidth="1"/>
    <col min="13575" max="13575" width="7.7109375" style="17" customWidth="1"/>
    <col min="13576" max="13576" width="11.42578125" style="17"/>
    <col min="13577" max="13577" width="13.28515625" style="17" bestFit="1" customWidth="1"/>
    <col min="13578" max="13814" width="11.42578125" style="17"/>
    <col min="13815" max="13815" width="0.140625" style="17" customWidth="1"/>
    <col min="13816" max="13816" width="2.7109375" style="17" customWidth="1"/>
    <col min="13817" max="13817" width="15.42578125" style="17" customWidth="1"/>
    <col min="13818" max="13818" width="1.28515625" style="17" customWidth="1"/>
    <col min="13819" max="13819" width="27.7109375" style="17" customWidth="1"/>
    <col min="13820" max="13820" width="6.7109375" style="17" customWidth="1"/>
    <col min="13821" max="13821" width="1.5703125" style="17" customWidth="1"/>
    <col min="13822" max="13822" width="10.5703125" style="17" customWidth="1"/>
    <col min="13823" max="13823" width="5.85546875" style="17" customWidth="1"/>
    <col min="13824" max="13824" width="1.5703125" style="17" customWidth="1"/>
    <col min="13825" max="13825" width="10.5703125" style="17" customWidth="1"/>
    <col min="13826" max="13826" width="6.7109375" style="17" customWidth="1"/>
    <col min="13827" max="13827" width="1.5703125" style="17" customWidth="1"/>
    <col min="13828" max="13828" width="10.5703125" style="17" customWidth="1"/>
    <col min="13829" max="13829" width="9.7109375" style="17" customWidth="1"/>
    <col min="13830" max="13830" width="13.28515625" style="17" bestFit="1" customWidth="1"/>
    <col min="13831" max="13831" width="7.7109375" style="17" customWidth="1"/>
    <col min="13832" max="13832" width="11.42578125" style="17"/>
    <col min="13833" max="13833" width="13.28515625" style="17" bestFit="1" customWidth="1"/>
    <col min="13834" max="14070" width="11.42578125" style="17"/>
    <col min="14071" max="14071" width="0.140625" style="17" customWidth="1"/>
    <col min="14072" max="14072" width="2.7109375" style="17" customWidth="1"/>
    <col min="14073" max="14073" width="15.42578125" style="17" customWidth="1"/>
    <col min="14074" max="14074" width="1.28515625" style="17" customWidth="1"/>
    <col min="14075" max="14075" width="27.7109375" style="17" customWidth="1"/>
    <col min="14076" max="14076" width="6.7109375" style="17" customWidth="1"/>
    <col min="14077" max="14077" width="1.5703125" style="17" customWidth="1"/>
    <col min="14078" max="14078" width="10.5703125" style="17" customWidth="1"/>
    <col min="14079" max="14079" width="5.85546875" style="17" customWidth="1"/>
    <col min="14080" max="14080" width="1.5703125" style="17" customWidth="1"/>
    <col min="14081" max="14081" width="10.5703125" style="17" customWidth="1"/>
    <col min="14082" max="14082" width="6.7109375" style="17" customWidth="1"/>
    <col min="14083" max="14083" width="1.5703125" style="17" customWidth="1"/>
    <col min="14084" max="14084" width="10.5703125" style="17" customWidth="1"/>
    <col min="14085" max="14085" width="9.7109375" style="17" customWidth="1"/>
    <col min="14086" max="14086" width="13.28515625" style="17" bestFit="1" customWidth="1"/>
    <col min="14087" max="14087" width="7.7109375" style="17" customWidth="1"/>
    <col min="14088" max="14088" width="11.42578125" style="17"/>
    <col min="14089" max="14089" width="13.28515625" style="17" bestFit="1" customWidth="1"/>
    <col min="14090" max="14326" width="11.42578125" style="17"/>
    <col min="14327" max="14327" width="0.140625" style="17" customWidth="1"/>
    <col min="14328" max="14328" width="2.7109375" style="17" customWidth="1"/>
    <col min="14329" max="14329" width="15.42578125" style="17" customWidth="1"/>
    <col min="14330" max="14330" width="1.28515625" style="17" customWidth="1"/>
    <col min="14331" max="14331" width="27.7109375" style="17" customWidth="1"/>
    <col min="14332" max="14332" width="6.7109375" style="17" customWidth="1"/>
    <col min="14333" max="14333" width="1.5703125" style="17" customWidth="1"/>
    <col min="14334" max="14334" width="10.5703125" style="17" customWidth="1"/>
    <col min="14335" max="14335" width="5.85546875" style="17" customWidth="1"/>
    <col min="14336" max="14336" width="1.5703125" style="17" customWidth="1"/>
    <col min="14337" max="14337" width="10.5703125" style="17" customWidth="1"/>
    <col min="14338" max="14338" width="6.7109375" style="17" customWidth="1"/>
    <col min="14339" max="14339" width="1.5703125" style="17" customWidth="1"/>
    <col min="14340" max="14340" width="10.5703125" style="17" customWidth="1"/>
    <col min="14341" max="14341" width="9.7109375" style="17" customWidth="1"/>
    <col min="14342" max="14342" width="13.28515625" style="17" bestFit="1" customWidth="1"/>
    <col min="14343" max="14343" width="7.7109375" style="17" customWidth="1"/>
    <col min="14344" max="14344" width="11.42578125" style="17"/>
    <col min="14345" max="14345" width="13.28515625" style="17" bestFit="1" customWidth="1"/>
    <col min="14346" max="14582" width="11.42578125" style="17"/>
    <col min="14583" max="14583" width="0.140625" style="17" customWidth="1"/>
    <col min="14584" max="14584" width="2.7109375" style="17" customWidth="1"/>
    <col min="14585" max="14585" width="15.42578125" style="17" customWidth="1"/>
    <col min="14586" max="14586" width="1.28515625" style="17" customWidth="1"/>
    <col min="14587" max="14587" width="27.7109375" style="17" customWidth="1"/>
    <col min="14588" max="14588" width="6.7109375" style="17" customWidth="1"/>
    <col min="14589" max="14589" width="1.5703125" style="17" customWidth="1"/>
    <col min="14590" max="14590" width="10.5703125" style="17" customWidth="1"/>
    <col min="14591" max="14591" width="5.85546875" style="17" customWidth="1"/>
    <col min="14592" max="14592" width="1.5703125" style="17" customWidth="1"/>
    <col min="14593" max="14593" width="10.5703125" style="17" customWidth="1"/>
    <col min="14594" max="14594" width="6.7109375" style="17" customWidth="1"/>
    <col min="14595" max="14595" width="1.5703125" style="17" customWidth="1"/>
    <col min="14596" max="14596" width="10.5703125" style="17" customWidth="1"/>
    <col min="14597" max="14597" width="9.7109375" style="17" customWidth="1"/>
    <col min="14598" max="14598" width="13.28515625" style="17" bestFit="1" customWidth="1"/>
    <col min="14599" max="14599" width="7.7109375" style="17" customWidth="1"/>
    <col min="14600" max="14600" width="11.42578125" style="17"/>
    <col min="14601" max="14601" width="13.28515625" style="17" bestFit="1" customWidth="1"/>
    <col min="14602" max="14838" width="11.42578125" style="17"/>
    <col min="14839" max="14839" width="0.140625" style="17" customWidth="1"/>
    <col min="14840" max="14840" width="2.7109375" style="17" customWidth="1"/>
    <col min="14841" max="14841" width="15.42578125" style="17" customWidth="1"/>
    <col min="14842" max="14842" width="1.28515625" style="17" customWidth="1"/>
    <col min="14843" max="14843" width="27.7109375" style="17" customWidth="1"/>
    <col min="14844" max="14844" width="6.7109375" style="17" customWidth="1"/>
    <col min="14845" max="14845" width="1.5703125" style="17" customWidth="1"/>
    <col min="14846" max="14846" width="10.5703125" style="17" customWidth="1"/>
    <col min="14847" max="14847" width="5.85546875" style="17" customWidth="1"/>
    <col min="14848" max="14848" width="1.5703125" style="17" customWidth="1"/>
    <col min="14849" max="14849" width="10.5703125" style="17" customWidth="1"/>
    <col min="14850" max="14850" width="6.7109375" style="17" customWidth="1"/>
    <col min="14851" max="14851" width="1.5703125" style="17" customWidth="1"/>
    <col min="14852" max="14852" width="10.5703125" style="17" customWidth="1"/>
    <col min="14853" max="14853" width="9.7109375" style="17" customWidth="1"/>
    <col min="14854" max="14854" width="13.28515625" style="17" bestFit="1" customWidth="1"/>
    <col min="14855" max="14855" width="7.7109375" style="17" customWidth="1"/>
    <col min="14856" max="14856" width="11.42578125" style="17"/>
    <col min="14857" max="14857" width="13.28515625" style="17" bestFit="1" customWidth="1"/>
    <col min="14858" max="15094" width="11.42578125" style="17"/>
    <col min="15095" max="15095" width="0.140625" style="17" customWidth="1"/>
    <col min="15096" max="15096" width="2.7109375" style="17" customWidth="1"/>
    <col min="15097" max="15097" width="15.42578125" style="17" customWidth="1"/>
    <col min="15098" max="15098" width="1.28515625" style="17" customWidth="1"/>
    <col min="15099" max="15099" width="27.7109375" style="17" customWidth="1"/>
    <col min="15100" max="15100" width="6.7109375" style="17" customWidth="1"/>
    <col min="15101" max="15101" width="1.5703125" style="17" customWidth="1"/>
    <col min="15102" max="15102" width="10.5703125" style="17" customWidth="1"/>
    <col min="15103" max="15103" width="5.85546875" style="17" customWidth="1"/>
    <col min="15104" max="15104" width="1.5703125" style="17" customWidth="1"/>
    <col min="15105" max="15105" width="10.5703125" style="17" customWidth="1"/>
    <col min="15106" max="15106" width="6.7109375" style="17" customWidth="1"/>
    <col min="15107" max="15107" width="1.5703125" style="17" customWidth="1"/>
    <col min="15108" max="15108" width="10.5703125" style="17" customWidth="1"/>
    <col min="15109" max="15109" width="9.7109375" style="17" customWidth="1"/>
    <col min="15110" max="15110" width="13.28515625" style="17" bestFit="1" customWidth="1"/>
    <col min="15111" max="15111" width="7.7109375" style="17" customWidth="1"/>
    <col min="15112" max="15112" width="11.42578125" style="17"/>
    <col min="15113" max="15113" width="13.28515625" style="17" bestFit="1" customWidth="1"/>
    <col min="15114" max="15350" width="11.42578125" style="17"/>
    <col min="15351" max="15351" width="0.140625" style="17" customWidth="1"/>
    <col min="15352" max="15352" width="2.7109375" style="17" customWidth="1"/>
    <col min="15353" max="15353" width="15.42578125" style="17" customWidth="1"/>
    <col min="15354" max="15354" width="1.28515625" style="17" customWidth="1"/>
    <col min="15355" max="15355" width="27.7109375" style="17" customWidth="1"/>
    <col min="15356" max="15356" width="6.7109375" style="17" customWidth="1"/>
    <col min="15357" max="15357" width="1.5703125" style="17" customWidth="1"/>
    <col min="15358" max="15358" width="10.5703125" style="17" customWidth="1"/>
    <col min="15359" max="15359" width="5.85546875" style="17" customWidth="1"/>
    <col min="15360" max="15360" width="1.5703125" style="17" customWidth="1"/>
    <col min="15361" max="15361" width="10.5703125" style="17" customWidth="1"/>
    <col min="15362" max="15362" width="6.7109375" style="17" customWidth="1"/>
    <col min="15363" max="15363" width="1.5703125" style="17" customWidth="1"/>
    <col min="15364" max="15364" width="10.5703125" style="17" customWidth="1"/>
    <col min="15365" max="15365" width="9.7109375" style="17" customWidth="1"/>
    <col min="15366" max="15366" width="13.28515625" style="17" bestFit="1" customWidth="1"/>
    <col min="15367" max="15367" width="7.7109375" style="17" customWidth="1"/>
    <col min="15368" max="15368" width="11.42578125" style="17"/>
    <col min="15369" max="15369" width="13.28515625" style="17" bestFit="1" customWidth="1"/>
    <col min="15370" max="15606" width="11.42578125" style="17"/>
    <col min="15607" max="15607" width="0.140625" style="17" customWidth="1"/>
    <col min="15608" max="15608" width="2.7109375" style="17" customWidth="1"/>
    <col min="15609" max="15609" width="15.42578125" style="17" customWidth="1"/>
    <col min="15610" max="15610" width="1.28515625" style="17" customWidth="1"/>
    <col min="15611" max="15611" width="27.7109375" style="17" customWidth="1"/>
    <col min="15612" max="15612" width="6.7109375" style="17" customWidth="1"/>
    <col min="15613" max="15613" width="1.5703125" style="17" customWidth="1"/>
    <col min="15614" max="15614" width="10.5703125" style="17" customWidth="1"/>
    <col min="15615" max="15615" width="5.85546875" style="17" customWidth="1"/>
    <col min="15616" max="15616" width="1.5703125" style="17" customWidth="1"/>
    <col min="15617" max="15617" width="10.5703125" style="17" customWidth="1"/>
    <col min="15618" max="15618" width="6.7109375" style="17" customWidth="1"/>
    <col min="15619" max="15619" width="1.5703125" style="17" customWidth="1"/>
    <col min="15620" max="15620" width="10.5703125" style="17" customWidth="1"/>
    <col min="15621" max="15621" width="9.7109375" style="17" customWidth="1"/>
    <col min="15622" max="15622" width="13.28515625" style="17" bestFit="1" customWidth="1"/>
    <col min="15623" max="15623" width="7.7109375" style="17" customWidth="1"/>
    <col min="15624" max="15624" width="11.42578125" style="17"/>
    <col min="15625" max="15625" width="13.28515625" style="17" bestFit="1" customWidth="1"/>
    <col min="15626" max="15862" width="11.42578125" style="17"/>
    <col min="15863" max="15863" width="0.140625" style="17" customWidth="1"/>
    <col min="15864" max="15864" width="2.7109375" style="17" customWidth="1"/>
    <col min="15865" max="15865" width="15.42578125" style="17" customWidth="1"/>
    <col min="15866" max="15866" width="1.28515625" style="17" customWidth="1"/>
    <col min="15867" max="15867" width="27.7109375" style="17" customWidth="1"/>
    <col min="15868" max="15868" width="6.7109375" style="17" customWidth="1"/>
    <col min="15869" max="15869" width="1.5703125" style="17" customWidth="1"/>
    <col min="15870" max="15870" width="10.5703125" style="17" customWidth="1"/>
    <col min="15871" max="15871" width="5.85546875" style="17" customWidth="1"/>
    <col min="15872" max="15872" width="1.5703125" style="17" customWidth="1"/>
    <col min="15873" max="15873" width="10.5703125" style="17" customWidth="1"/>
    <col min="15874" max="15874" width="6.7109375" style="17" customWidth="1"/>
    <col min="15875" max="15875" width="1.5703125" style="17" customWidth="1"/>
    <col min="15876" max="15876" width="10.5703125" style="17" customWidth="1"/>
    <col min="15877" max="15877" width="9.7109375" style="17" customWidth="1"/>
    <col min="15878" max="15878" width="13.28515625" style="17" bestFit="1" customWidth="1"/>
    <col min="15879" max="15879" width="7.7109375" style="17" customWidth="1"/>
    <col min="15880" max="15880" width="11.42578125" style="17"/>
    <col min="15881" max="15881" width="13.28515625" style="17" bestFit="1" customWidth="1"/>
    <col min="15882" max="16118" width="11.42578125" style="17"/>
    <col min="16119" max="16119" width="0.140625" style="17" customWidth="1"/>
    <col min="16120" max="16120" width="2.7109375" style="17" customWidth="1"/>
    <col min="16121" max="16121" width="15.42578125" style="17" customWidth="1"/>
    <col min="16122" max="16122" width="1.28515625" style="17" customWidth="1"/>
    <col min="16123" max="16123" width="27.7109375" style="17" customWidth="1"/>
    <col min="16124" max="16124" width="6.7109375" style="17" customWidth="1"/>
    <col min="16125" max="16125" width="1.5703125" style="17" customWidth="1"/>
    <col min="16126" max="16126" width="10.5703125" style="17" customWidth="1"/>
    <col min="16127" max="16127" width="5.85546875" style="17" customWidth="1"/>
    <col min="16128" max="16128" width="1.5703125" style="17" customWidth="1"/>
    <col min="16129" max="16129" width="10.5703125" style="17" customWidth="1"/>
    <col min="16130" max="16130" width="6.7109375" style="17" customWidth="1"/>
    <col min="16131" max="16131" width="1.5703125" style="17" customWidth="1"/>
    <col min="16132" max="16132" width="10.5703125" style="17" customWidth="1"/>
    <col min="16133" max="16133" width="9.7109375" style="17" customWidth="1"/>
    <col min="16134" max="16134" width="13.28515625" style="17" bestFit="1" customWidth="1"/>
    <col min="16135" max="16135" width="7.7109375" style="17" customWidth="1"/>
    <col min="16136" max="16136" width="11.42578125" style="17"/>
    <col min="16137" max="16137" width="13.28515625" style="17" bestFit="1" customWidth="1"/>
    <col min="16138" max="16384" width="11.42578125" style="17"/>
  </cols>
  <sheetData>
    <row r="1" spans="1:19" s="5" customFormat="1" ht="0.75" customHeight="1"/>
    <row r="2" spans="1:19" s="5" customFormat="1" ht="21" customHeight="1">
      <c r="E2" s="6"/>
      <c r="K2" s="106" t="s">
        <v>1</v>
      </c>
    </row>
    <row r="3" spans="1:19" s="5" customFormat="1" ht="15" customHeight="1">
      <c r="E3" s="24"/>
      <c r="F3" s="24"/>
      <c r="G3" s="24"/>
      <c r="H3" s="24"/>
      <c r="I3" s="24"/>
      <c r="J3" s="24"/>
      <c r="K3" s="107" t="str">
        <f>Indice!E3</f>
        <v>Mayo 2019</v>
      </c>
    </row>
    <row r="4" spans="1:19" s="7" customFormat="1" ht="20.25" customHeight="1">
      <c r="B4" s="8"/>
      <c r="C4" s="105" t="s">
        <v>69</v>
      </c>
      <c r="L4" s="9"/>
    </row>
    <row r="5" spans="1:19" s="7" customFormat="1" ht="12.75" customHeight="1">
      <c r="B5" s="8"/>
      <c r="C5" s="10"/>
      <c r="L5" s="9"/>
    </row>
    <row r="6" spans="1:19" s="7" customFormat="1" ht="13.5" customHeight="1">
      <c r="B6" s="8"/>
      <c r="C6" s="11"/>
      <c r="D6" s="12"/>
      <c r="E6" s="12"/>
      <c r="L6" s="9"/>
    </row>
    <row r="7" spans="1:19" s="7" customFormat="1" ht="12.75" customHeight="1">
      <c r="B7" s="8"/>
      <c r="C7" s="297" t="s">
        <v>64</v>
      </c>
      <c r="D7" s="12"/>
      <c r="E7" s="13"/>
      <c r="F7" s="298" t="str">
        <f>K3</f>
        <v>Mayo 2019</v>
      </c>
      <c r="G7" s="299"/>
      <c r="H7" s="300" t="s">
        <v>65</v>
      </c>
      <c r="I7" s="300"/>
      <c r="J7" s="300" t="s">
        <v>73</v>
      </c>
      <c r="K7" s="300"/>
      <c r="L7" s="9"/>
    </row>
    <row r="8" spans="1:19" ht="12.75" customHeight="1">
      <c r="A8" s="7"/>
      <c r="B8" s="8"/>
      <c r="C8" s="297"/>
      <c r="D8" s="12"/>
      <c r="E8" s="14"/>
      <c r="F8" s="15" t="s">
        <v>0</v>
      </c>
      <c r="G8" s="25" t="str">
        <f>CONCATENATE("% ",MID(YEAR(F7),3,2),"/",MID(YEAR(F7)-1,3,2))</f>
        <v>% 19/18</v>
      </c>
      <c r="H8" s="15" t="s">
        <v>0</v>
      </c>
      <c r="I8" s="25" t="str">
        <f>G8</f>
        <v>% 19/18</v>
      </c>
      <c r="J8" s="15" t="s">
        <v>0</v>
      </c>
      <c r="K8" s="25" t="str">
        <f>G8</f>
        <v>% 19/18</v>
      </c>
      <c r="L8" s="16"/>
    </row>
    <row r="9" spans="1:19">
      <c r="A9" s="7"/>
      <c r="B9" s="8"/>
      <c r="C9" s="18"/>
      <c r="D9" s="12"/>
      <c r="E9" s="93" t="s">
        <v>2</v>
      </c>
      <c r="F9" s="94">
        <f>VLOOKUP("Hidráulica",Dat_01!$A$8:$G$29,2,FALSE)/1000</f>
        <v>1933.0273067759999</v>
      </c>
      <c r="G9" s="95">
        <f>VLOOKUP("Hidráulica",Dat_01!$A$8:$G$29,3,FALSE)*100</f>
        <v>-45.129035999999999</v>
      </c>
      <c r="H9" s="94">
        <f>VLOOKUP("Hidráulica",Dat_01!$A$8:$G$29,4,FALSE)/1000</f>
        <v>10596.746506743999</v>
      </c>
      <c r="I9" s="95">
        <f>VLOOKUP("Hidráulica",Dat_01!$A$8:$G$29,5,FALSE)*100</f>
        <v>-38.486215399999999</v>
      </c>
      <c r="J9" s="94">
        <f>VLOOKUP("Hidráulica",Dat_01!$A$8:$G$29,6,FALSE)/1000</f>
        <v>27473.209381354001</v>
      </c>
      <c r="K9" s="95">
        <f>VLOOKUP("Hidráulica",Dat_01!$A$8:$G$29,7,FALSE)*100</f>
        <v>9.2661317699999994</v>
      </c>
      <c r="L9" s="19"/>
      <c r="M9" s="196"/>
      <c r="N9" s="196"/>
      <c r="O9" s="197"/>
      <c r="P9" s="196"/>
      <c r="Q9" s="197"/>
      <c r="R9" s="196"/>
      <c r="S9" s="197"/>
    </row>
    <row r="10" spans="1:19">
      <c r="A10" s="7"/>
      <c r="B10" s="8"/>
      <c r="C10" s="18"/>
      <c r="D10" s="12"/>
      <c r="E10" s="93" t="s">
        <v>85</v>
      </c>
      <c r="F10" s="94">
        <f>VLOOKUP("Turbinación bombeo",Dat_01!$A$8:$G$29,2,FALSE)/1000</f>
        <v>127.53405822399999</v>
      </c>
      <c r="G10" s="95">
        <f>VLOOKUP("Turbinación bombeo",Dat_01!$A$8:$G$29,3,FALSE)*100</f>
        <v>-16.793612669999998</v>
      </c>
      <c r="H10" s="94">
        <f>VLOOKUP("Turbinación bombeo",Dat_01!$A$8:$G$29,4,FALSE)/1000</f>
        <v>801.97440825600006</v>
      </c>
      <c r="I10" s="95">
        <f>VLOOKUP("Turbinación bombeo",Dat_01!$A$8:$G$29,5,FALSE)*100</f>
        <v>-39.370624589999998</v>
      </c>
      <c r="J10" s="94">
        <f>VLOOKUP("Turbinación bombeo",Dat_01!$A$8:$G$29,6,FALSE)/1000</f>
        <v>1488.602676646</v>
      </c>
      <c r="K10" s="95">
        <f>VLOOKUP("Turbinación bombeo",Dat_01!$A$8:$G$29,7,FALSE)*100</f>
        <v>-38.223249889999998</v>
      </c>
      <c r="L10" s="19"/>
      <c r="M10" s="196"/>
      <c r="N10" s="196"/>
      <c r="O10" s="197"/>
      <c r="P10" s="196"/>
      <c r="Q10" s="197"/>
      <c r="R10" s="196"/>
      <c r="S10" s="197"/>
    </row>
    <row r="11" spans="1:19">
      <c r="A11" s="7"/>
      <c r="B11" s="8"/>
      <c r="C11" s="11"/>
      <c r="D11" s="12"/>
      <c r="E11" s="93" t="s">
        <v>3</v>
      </c>
      <c r="F11" s="94">
        <f>VLOOKUP("Nuclear",Dat_01!$A$8:$G$29,2,FALSE)/1000</f>
        <v>3976.917465</v>
      </c>
      <c r="G11" s="95">
        <f>VLOOKUP("Nuclear",Dat_01!$A$8:$G$29,3,FALSE)*100</f>
        <v>6.6576589300000002</v>
      </c>
      <c r="H11" s="94">
        <f>VLOOKUP("Nuclear",Dat_01!$A$8:$G$29,4,FALSE)/1000</f>
        <v>23681.480308999999</v>
      </c>
      <c r="I11" s="95">
        <f>VLOOKUP("Nuclear",Dat_01!$A$8:$G$29,5,FALSE)*100</f>
        <v>9.0366468100000006</v>
      </c>
      <c r="J11" s="94">
        <f>VLOOKUP("Nuclear",Dat_01!$A$8:$G$29,6,FALSE)/1000</f>
        <v>55160.271086000001</v>
      </c>
      <c r="K11" s="95">
        <f>VLOOKUP("Nuclear",Dat_01!$A$8:$G$29,7,FALSE)*100</f>
        <v>4.3084290999999997</v>
      </c>
      <c r="L11" s="19"/>
      <c r="M11" s="196"/>
      <c r="N11" s="196"/>
      <c r="O11" s="197"/>
      <c r="P11" s="196"/>
      <c r="Q11" s="197"/>
      <c r="R11" s="196"/>
      <c r="S11" s="197"/>
    </row>
    <row r="12" spans="1:19">
      <c r="A12" s="7"/>
      <c r="B12" s="8"/>
      <c r="C12" s="11"/>
      <c r="D12" s="12"/>
      <c r="E12" s="93" t="s">
        <v>4</v>
      </c>
      <c r="F12" s="94">
        <f>VLOOKUP("Carbón",Dat_01!$A$8:$G$29,2,FALSE)/1000</f>
        <v>343.03717999999998</v>
      </c>
      <c r="G12" s="95">
        <f>VLOOKUP("Carbón",Dat_01!$A$8:$G$29,3,FALSE)*100</f>
        <v>-84.783113259999993</v>
      </c>
      <c r="H12" s="94">
        <f>VLOOKUP("Carbón",Dat_01!$A$8:$G$29,4,FALSE)/1000</f>
        <v>7212.5187820000001</v>
      </c>
      <c r="I12" s="95">
        <f>VLOOKUP("Carbón",Dat_01!$A$8:$G$29,5,FALSE)*100</f>
        <v>-36.92233847</v>
      </c>
      <c r="J12" s="94">
        <f>VLOOKUP("Carbón",Dat_01!$A$8:$G$29,6,FALSE)/1000</f>
        <v>30659.811866</v>
      </c>
      <c r="K12" s="95">
        <f>VLOOKUP("Carbón",Dat_01!$A$8:$G$29,7,FALSE)*100</f>
        <v>-19.77853211</v>
      </c>
      <c r="L12" s="19"/>
      <c r="M12" s="196"/>
      <c r="N12" s="196"/>
      <c r="O12" s="197"/>
      <c r="P12" s="196"/>
      <c r="Q12" s="197"/>
      <c r="R12" s="196"/>
      <c r="S12" s="197"/>
    </row>
    <row r="13" spans="1:19">
      <c r="A13" s="7"/>
      <c r="B13" s="8"/>
      <c r="C13" s="20"/>
      <c r="D13" s="12"/>
      <c r="E13" s="93" t="s">
        <v>86</v>
      </c>
      <c r="F13" s="94">
        <f>VLOOKUP("Ciclo combinado",Dat_01!$A$8:$G$29,2,FALSE)/1000</f>
        <v>3896.510745</v>
      </c>
      <c r="G13" s="95">
        <f>VLOOKUP("Ciclo combinado",Dat_01!$A$8:$G$29,3,FALSE)*100</f>
        <v>97.950650279999991</v>
      </c>
      <c r="H13" s="94">
        <f>VLOOKUP("Ciclo combinado",Dat_01!$A$8:$G$29,4,FALSE)/1000</f>
        <v>14392.024209000001</v>
      </c>
      <c r="I13" s="95">
        <f>VLOOKUP("Ciclo combinado",Dat_01!$A$8:$G$29,5,FALSE)*100</f>
        <v>66.912744709999998</v>
      </c>
      <c r="J13" s="94">
        <f>VLOOKUP("Ciclo combinado",Dat_01!$A$8:$G$29,6,FALSE)/1000</f>
        <v>32172.463852000001</v>
      </c>
      <c r="K13" s="95">
        <f>VLOOKUP("Ciclo combinado",Dat_01!$A$8:$G$29,7,FALSE)*100</f>
        <v>-4.2570741300000003</v>
      </c>
      <c r="L13" s="19"/>
      <c r="M13" s="196"/>
      <c r="N13" s="196"/>
      <c r="O13" s="197"/>
      <c r="P13" s="196"/>
      <c r="Q13" s="197"/>
      <c r="R13" s="196"/>
      <c r="S13" s="197"/>
    </row>
    <row r="14" spans="1:19" ht="12.75" customHeight="1">
      <c r="A14" s="7"/>
      <c r="B14" s="8"/>
      <c r="C14" s="11"/>
      <c r="D14" s="12"/>
      <c r="E14" s="93" t="s">
        <v>5</v>
      </c>
      <c r="F14" s="94">
        <f>VLOOKUP("Eólica",Dat_01!$A$8:$G$29,2,FALSE)/1000</f>
        <v>4580.5968779999994</v>
      </c>
      <c r="G14" s="95">
        <f>VLOOKUP("Eólica",Dat_01!$A$8:$G$29,3,FALSE)*100</f>
        <v>40.330401129999998</v>
      </c>
      <c r="H14" s="94">
        <f>VLOOKUP("Eólica",Dat_01!$A$8:$G$29,4,FALSE)/1000</f>
        <v>23616.102170999999</v>
      </c>
      <c r="I14" s="95">
        <f>VLOOKUP("Eólica",Dat_01!$A$8:$G$29,5,FALSE)*100</f>
        <v>-6.5842311900000006</v>
      </c>
      <c r="J14" s="94">
        <f>VLOOKUP("Eólica",Dat_01!$A$8:$G$29,6,FALSE)/1000</f>
        <v>47281.113334000001</v>
      </c>
      <c r="K14" s="95">
        <f>VLOOKUP("Eólica",Dat_01!$A$8:$G$29,7,FALSE)*100</f>
        <v>-6.8915946500000009</v>
      </c>
      <c r="L14" s="19"/>
      <c r="M14" s="196"/>
      <c r="N14" s="196"/>
      <c r="O14" s="197"/>
      <c r="P14" s="196"/>
      <c r="Q14" s="197"/>
      <c r="R14" s="196"/>
      <c r="S14" s="197"/>
    </row>
    <row r="15" spans="1:19" ht="12.75" customHeight="1">
      <c r="A15" s="7"/>
      <c r="B15" s="8"/>
      <c r="C15" s="11"/>
      <c r="D15" s="12"/>
      <c r="E15" s="93" t="s">
        <v>6</v>
      </c>
      <c r="F15" s="94">
        <f>VLOOKUP("Solar fotovoltaica",Dat_01!$A$8:$G$29,2,FALSE)/1000</f>
        <v>889.528772</v>
      </c>
      <c r="G15" s="95">
        <f>VLOOKUP("Solar fotovoltaica",Dat_01!$A$8:$G$29,3,FALSE)*100</f>
        <v>14.241701949999999</v>
      </c>
      <c r="H15" s="94">
        <f>VLOOKUP("Solar fotovoltaica",Dat_01!$A$8:$G$29,4,FALSE)/1000</f>
        <v>3402.622222</v>
      </c>
      <c r="I15" s="95">
        <f>VLOOKUP("Solar fotovoltaica",Dat_01!$A$8:$G$29,5,FALSE)*100</f>
        <v>17.074412380000002</v>
      </c>
      <c r="J15" s="94">
        <f>VLOOKUP("Solar fotovoltaica",Dat_01!$A$8:$G$29,6,FALSE)/1000</f>
        <v>7870.2326709999998</v>
      </c>
      <c r="K15" s="95">
        <f>VLOOKUP("Solar fotovoltaica",Dat_01!$A$8:$G$29,7,FALSE)*100</f>
        <v>1.9022760400000001</v>
      </c>
      <c r="L15" s="19"/>
      <c r="M15" s="196"/>
      <c r="N15" s="196"/>
      <c r="O15" s="197"/>
      <c r="P15" s="196"/>
      <c r="Q15" s="197"/>
      <c r="R15" s="196"/>
      <c r="S15" s="197"/>
    </row>
    <row r="16" spans="1:19">
      <c r="A16" s="7"/>
      <c r="B16" s="8"/>
      <c r="C16" s="11"/>
      <c r="D16" s="12"/>
      <c r="E16" s="93" t="s">
        <v>7</v>
      </c>
      <c r="F16" s="94">
        <f>VLOOKUP("Solar térmica",Dat_01!$A$8:$G$29,2,FALSE)/1000</f>
        <v>740.99772699999994</v>
      </c>
      <c r="G16" s="95">
        <f>VLOOKUP("Solar térmica",Dat_01!$A$8:$G$29,3,FALSE)*100</f>
        <v>55.277193539999999</v>
      </c>
      <c r="H16" s="94">
        <f>VLOOKUP("Solar térmica",Dat_01!$A$8:$G$29,4,FALSE)/1000</f>
        <v>2026.3185039999998</v>
      </c>
      <c r="I16" s="95">
        <f>VLOOKUP("Solar térmica",Dat_01!$A$8:$G$29,5,FALSE)*100</f>
        <v>46.909583510000004</v>
      </c>
      <c r="J16" s="94">
        <f>VLOOKUP("Solar térmica",Dat_01!$A$8:$G$29,6,FALSE)/1000</f>
        <v>5071.348841</v>
      </c>
      <c r="K16" s="95">
        <f>VLOOKUP("Solar térmica",Dat_01!$A$8:$G$29,7,FALSE)*100</f>
        <v>1.3196291</v>
      </c>
      <c r="L16" s="19"/>
      <c r="M16" s="196"/>
      <c r="N16" s="196"/>
      <c r="O16" s="197"/>
      <c r="P16" s="196"/>
      <c r="Q16" s="197"/>
      <c r="R16" s="196"/>
      <c r="S16" s="197"/>
    </row>
    <row r="17" spans="1:19">
      <c r="A17" s="7"/>
      <c r="B17" s="8"/>
      <c r="C17" s="11"/>
      <c r="D17" s="12"/>
      <c r="E17" s="93" t="s">
        <v>87</v>
      </c>
      <c r="F17" s="94">
        <f>VLOOKUP("Otras renovables",Dat_01!$A$8:$G$29,2,FALSE)/1000</f>
        <v>282.06007699999998</v>
      </c>
      <c r="G17" s="95">
        <f>VLOOKUP("Otras renovables",Dat_01!$A$8:$G$29,3,FALSE)*100</f>
        <v>-3.0279418900000001</v>
      </c>
      <c r="H17" s="94">
        <f>VLOOKUP("Otras renovables",Dat_01!$A$8:$G$29,4,FALSE)/1000</f>
        <v>1453.4363089999999</v>
      </c>
      <c r="I17" s="95">
        <f>VLOOKUP("Otras renovables",Dat_01!$A$8:$G$29,5,FALSE)*100</f>
        <v>4.2072620199999999</v>
      </c>
      <c r="J17" s="94">
        <f>VLOOKUP("Otras renovables",Dat_01!$A$8:$G$29,6,FALSE)/1000</f>
        <v>3605.2043829999998</v>
      </c>
      <c r="K17" s="95">
        <f>VLOOKUP("Otras renovables",Dat_01!$A$8:$G$29,7,FALSE)*100</f>
        <v>0.69127543000000002</v>
      </c>
      <c r="L17" s="19"/>
      <c r="M17" s="196"/>
      <c r="N17" s="196"/>
      <c r="O17" s="197"/>
      <c r="P17" s="196"/>
      <c r="Q17" s="197"/>
      <c r="R17" s="196"/>
      <c r="S17" s="197"/>
    </row>
    <row r="18" spans="1:19">
      <c r="A18" s="7"/>
      <c r="B18" s="8"/>
      <c r="C18" s="11"/>
      <c r="D18" s="12"/>
      <c r="E18" s="93" t="s">
        <v>9</v>
      </c>
      <c r="F18" s="94">
        <f>VLOOKUP("Cogeneración",Dat_01!$A$8:$G$29,2,FALSE)/1000</f>
        <v>2544.1971940000003</v>
      </c>
      <c r="G18" s="95">
        <f>VLOOKUP("Cogeneración",Dat_01!$A$8:$G$29,3,FALSE)*100</f>
        <v>5.2057715800000004</v>
      </c>
      <c r="H18" s="94">
        <f>VLOOKUP("Cogeneración",Dat_01!$A$8:$G$29,4,FALSE)/1000</f>
        <v>12669.093049000001</v>
      </c>
      <c r="I18" s="95">
        <f>VLOOKUP("Cogeneración",Dat_01!$A$8:$G$29,5,FALSE)*100</f>
        <v>7.0052852200000002</v>
      </c>
      <c r="J18" s="94">
        <f>VLOOKUP("Cogeneración",Dat_01!$A$8:$G$29,6,FALSE)/1000</f>
        <v>29810.174485</v>
      </c>
      <c r="K18" s="95">
        <f>VLOOKUP("Cogeneración",Dat_01!$A$8:$G$29,7,FALSE)*100</f>
        <v>4.9376291000000005</v>
      </c>
      <c r="L18" s="19"/>
      <c r="M18" s="196"/>
      <c r="N18" s="196"/>
      <c r="O18" s="197"/>
      <c r="P18" s="196"/>
      <c r="Q18" s="197"/>
      <c r="R18" s="196"/>
      <c r="S18" s="197"/>
    </row>
    <row r="19" spans="1:19">
      <c r="A19" s="7"/>
      <c r="B19" s="8"/>
      <c r="C19" s="11"/>
      <c r="D19" s="12"/>
      <c r="E19" s="93" t="s">
        <v>72</v>
      </c>
      <c r="F19" s="94">
        <f>VLOOKUP("Residuos no renovables",Dat_01!$A$8:$G$29,2,FALSE)/1000</f>
        <v>154.68218999999999</v>
      </c>
      <c r="G19" s="95">
        <f>VLOOKUP("Residuos no renovables",Dat_01!$A$8:$G$29,3,FALSE)*100</f>
        <v>12.884188050000001</v>
      </c>
      <c r="H19" s="94">
        <f>VLOOKUP("Residuos no renovables",Dat_01!$A$8:$G$29,4,FALSE)/1000</f>
        <v>908.14796950000004</v>
      </c>
      <c r="I19" s="95">
        <f>VLOOKUP("Residuos no renovables",Dat_01!$A$8:$G$29,5,FALSE)*100</f>
        <v>-4.4894894499999998</v>
      </c>
      <c r="J19" s="94">
        <f>VLOOKUP("Residuos no renovables",Dat_01!$A$8:$G$29,6,FALSE)/1000</f>
        <v>2251.1636060000001</v>
      </c>
      <c r="K19" s="95">
        <f>VLOOKUP("Residuos no renovables",Dat_01!$A$8:$G$29,7,FALSE)*100</f>
        <v>-7.9218417499999996</v>
      </c>
      <c r="L19" s="19"/>
      <c r="M19" s="196"/>
      <c r="N19" s="196"/>
      <c r="O19" s="197"/>
      <c r="P19" s="196"/>
      <c r="Q19" s="197"/>
      <c r="R19" s="196"/>
      <c r="S19" s="197"/>
    </row>
    <row r="20" spans="1:19">
      <c r="A20" s="7"/>
      <c r="B20" s="8"/>
      <c r="C20" s="175">
        <f>ABS(F20)</f>
        <v>36.450610999999995</v>
      </c>
      <c r="D20" s="12"/>
      <c r="E20" s="93" t="s">
        <v>84</v>
      </c>
      <c r="F20" s="94">
        <f>VLOOKUP("Residuos renovables",Dat_01!$A$8:$G$29,2,FALSE)/1000</f>
        <v>36.450610999999995</v>
      </c>
      <c r="G20" s="95">
        <f>VLOOKUP("Residuos renovables",Dat_01!$A$8:$G$29,3,FALSE)*100</f>
        <v>49.726118759999999</v>
      </c>
      <c r="H20" s="94">
        <f>VLOOKUP("Residuos renovables",Dat_01!$A$8:$G$29,4,FALSE)/1000</f>
        <v>293.38502850000003</v>
      </c>
      <c r="I20" s="95">
        <f>VLOOKUP("Residuos renovables",Dat_01!$A$8:$G$29,5,FALSE)*100</f>
        <v>1.6430588400000001</v>
      </c>
      <c r="J20" s="94">
        <f>VLOOKUP("Residuos renovables",Dat_01!$A$8:$G$29,6,FALSE)/1000</f>
        <v>737.71322699999996</v>
      </c>
      <c r="K20" s="95">
        <f>VLOOKUP("Residuos renovables",Dat_01!$A$8:$G$29,7,FALSE)*100</f>
        <v>-2.3294461599999998</v>
      </c>
      <c r="L20" s="19"/>
      <c r="M20" s="196"/>
      <c r="N20" s="196"/>
      <c r="O20" s="197"/>
      <c r="P20" s="196"/>
      <c r="Q20" s="197"/>
      <c r="R20" s="196"/>
      <c r="S20" s="197"/>
    </row>
    <row r="21" spans="1:19">
      <c r="A21" s="7"/>
      <c r="B21" s="8"/>
      <c r="C21" s="11"/>
      <c r="D21" s="12"/>
      <c r="E21" s="96" t="s">
        <v>10</v>
      </c>
      <c r="F21" s="97">
        <f>SUM(F9:F20)</f>
        <v>19505.540203999997</v>
      </c>
      <c r="G21" s="98">
        <f>VLOOKUP("Generación",Dat_01!$A$8:$G$29,3,FALSE)*100</f>
        <v>2.5630448600000002</v>
      </c>
      <c r="H21" s="97">
        <f>SUM(H9:H20)</f>
        <v>101053.84946799999</v>
      </c>
      <c r="I21" s="98">
        <f>VLOOKUP("Generación",Dat_01!$A$8:$G$29,5,FALSE)*100</f>
        <v>-3.1729046300000001</v>
      </c>
      <c r="J21" s="97">
        <f>SUM(J9:J20)</f>
        <v>243581.30940899998</v>
      </c>
      <c r="K21" s="98">
        <f>VLOOKUP("Generación",Dat_01!$A$8:$G$29,7,FALSE)*100</f>
        <v>-2.93798249</v>
      </c>
      <c r="L21" s="19"/>
      <c r="M21" s="196"/>
      <c r="N21" s="196"/>
      <c r="O21" s="197"/>
      <c r="P21" s="196"/>
      <c r="Q21" s="197"/>
      <c r="R21" s="196"/>
      <c r="S21" s="197"/>
    </row>
    <row r="22" spans="1:19">
      <c r="A22" s="7"/>
      <c r="B22" s="8"/>
      <c r="C22" s="11"/>
      <c r="D22" s="12"/>
      <c r="E22" s="99" t="s">
        <v>12</v>
      </c>
      <c r="F22" s="94">
        <f>VLOOKUP("Consumo de bombeo",Dat_01!$A$8:$G$29,2,FALSE)/1000</f>
        <v>-244.46266399999999</v>
      </c>
      <c r="G22" s="95">
        <f>VLOOKUP("Consumo de bombeo",Dat_01!$A$8:$G$29,3,FALSE)*100</f>
        <v>14.640124009999999</v>
      </c>
      <c r="H22" s="94">
        <f>VLOOKUP("Consumo de bombeo",Dat_01!$A$8:$G$29,4,FALSE)/1000</f>
        <v>-1432.258695576</v>
      </c>
      <c r="I22" s="95">
        <f>VLOOKUP("Consumo de bombeo",Dat_01!$A$8:$G$29,5,FALSE)*100</f>
        <v>-33.449169210000001</v>
      </c>
      <c r="J22" s="94">
        <f>VLOOKUP("Consumo de bombeo",Dat_01!$A$8:$G$29,6,FALSE)/1000</f>
        <v>-2478.602292736</v>
      </c>
      <c r="K22" s="95">
        <f>VLOOKUP("Consumo de bombeo",Dat_01!$A$8:$G$29,7,FALSE)*100</f>
        <v>-37.025412779999996</v>
      </c>
      <c r="L22" s="19"/>
      <c r="M22" s="196"/>
      <c r="N22" s="196"/>
      <c r="O22" s="197"/>
      <c r="P22" s="196"/>
      <c r="Q22" s="197"/>
      <c r="R22" s="196"/>
      <c r="S22" s="197"/>
    </row>
    <row r="23" spans="1:19">
      <c r="A23" s="7"/>
      <c r="B23" s="8"/>
      <c r="C23" s="11"/>
      <c r="D23" s="12"/>
      <c r="E23" s="99" t="s">
        <v>77</v>
      </c>
      <c r="F23" s="94">
        <f>VLOOKUP("Enlace Península-Baleares",Dat_01!$A$8:$G$29,2,FALSE)/1000</f>
        <v>-143.16129999999998</v>
      </c>
      <c r="G23" s="95">
        <f>VLOOKUP("Enlace Península-Baleares",Dat_01!$A$8:$G$29,3,FALSE)*100</f>
        <v>59.840511970000001</v>
      </c>
      <c r="H23" s="94">
        <f>VLOOKUP("Enlace Península-Baleares",Dat_01!$A$8:$G$29,4,FALSE)/1000</f>
        <v>-646.396027</v>
      </c>
      <c r="I23" s="95">
        <f>VLOOKUP("Enlace Península-Baleares",Dat_01!$A$8:$G$29,5,FALSE)*100</f>
        <v>49.550225860000005</v>
      </c>
      <c r="J23" s="94">
        <f>VLOOKUP("Enlace Península-Baleares",Dat_01!$A$8:$G$29,6,FALSE)/1000</f>
        <v>-1447.5274550000001</v>
      </c>
      <c r="K23" s="95">
        <f>VLOOKUP("Enlace Península-Baleares",Dat_01!$A$8:$G$29,7,FALSE)*100</f>
        <v>16.74855496</v>
      </c>
      <c r="L23" s="19"/>
      <c r="M23" s="196"/>
      <c r="N23" s="196"/>
      <c r="O23" s="197"/>
      <c r="P23" s="196"/>
      <c r="Q23" s="197"/>
      <c r="R23" s="196"/>
      <c r="S23" s="197"/>
    </row>
    <row r="24" spans="1:19">
      <c r="A24" s="7"/>
      <c r="B24" s="8"/>
      <c r="C24" s="11"/>
      <c r="D24" s="12"/>
      <c r="E24" s="99" t="s">
        <v>78</v>
      </c>
      <c r="F24" s="100">
        <f>VLOOKUP("Saldos intercambios internacionales",Dat_01!$A$8:$G$29,2,FALSE)/1000</f>
        <v>747.80053699999996</v>
      </c>
      <c r="G24" s="101">
        <f>VLOOKUP("Saldos intercambios internacionales",Dat_01!$A$8:$G$29,3,FALSE)*100</f>
        <v>-45.350636900000005</v>
      </c>
      <c r="H24" s="100">
        <f>VLOOKUP("Saldos intercambios internacionales",Dat_01!$A$8:$G$29,4,FALSE)/1000</f>
        <v>4489.2274979999993</v>
      </c>
      <c r="I24" s="101">
        <f>VLOOKUP("Saldos intercambios internacionales",Dat_01!$A$8:$G$29,5,FALSE)*100</f>
        <v>7.5331376300000006</v>
      </c>
      <c r="J24" s="100">
        <f>VLOOKUP("Saldos intercambios internacionales",Dat_01!$A$8:$G$29,6,FALSE)/1000</f>
        <v>11416.799957000001</v>
      </c>
      <c r="K24" s="101">
        <f>VLOOKUP("Saldos intercambios internacionales",Dat_01!$A$8:$G$29,7,FALSE)*100</f>
        <v>21.570157569999999</v>
      </c>
      <c r="L24" s="19"/>
      <c r="M24" s="196"/>
      <c r="N24" s="196"/>
      <c r="O24" s="197"/>
      <c r="P24" s="196"/>
      <c r="Q24" s="197"/>
      <c r="R24" s="196"/>
      <c r="S24" s="197"/>
    </row>
    <row r="25" spans="1:19" ht="16.149999999999999" customHeight="1">
      <c r="E25" s="102" t="s">
        <v>13</v>
      </c>
      <c r="F25" s="103">
        <f>VLOOKUP("Demanda transporte (b.c.)",Dat_01!$A$8:$G$29,2,FALSE)/1000</f>
        <v>19865.716776000001</v>
      </c>
      <c r="G25" s="104">
        <f>VLOOKUP("Demanda transporte (b.c.)",Dat_01!$A$8:$G$29,3,FALSE)*100</f>
        <v>-1.08512819</v>
      </c>
      <c r="H25" s="103">
        <f>VLOOKUP("Demanda transporte (b.c.)",Dat_01!$A$8:$G$29,4,FALSE)/1000</f>
        <v>103464.42224342399</v>
      </c>
      <c r="I25" s="104">
        <f>VLOOKUP("Demanda transporte (b.c.)",Dat_01!$A$8:$G$29,5,FALSE)*100</f>
        <v>-2.3511932</v>
      </c>
      <c r="J25" s="103">
        <f>VLOOKUP("Demanda transporte (b.c.)",Dat_01!$A$8:$G$29,6,FALSE)/1000</f>
        <v>251071.97961826398</v>
      </c>
      <c r="K25" s="104">
        <f>VLOOKUP("Demanda transporte (b.c.)",Dat_01!$A$8:$G$29,7,FALSE)*100</f>
        <v>-1.6058723000000001</v>
      </c>
      <c r="L25" s="19"/>
      <c r="M25" s="196"/>
      <c r="N25" s="196"/>
      <c r="O25" s="197"/>
      <c r="P25" s="196"/>
      <c r="Q25" s="197"/>
      <c r="R25" s="196"/>
      <c r="S25" s="197"/>
    </row>
    <row r="26" spans="1:19" ht="16.149999999999999" customHeight="1">
      <c r="E26" s="302" t="s">
        <v>88</v>
      </c>
      <c r="F26" s="302"/>
      <c r="G26" s="302"/>
      <c r="H26" s="302"/>
      <c r="I26" s="302"/>
      <c r="J26" s="302"/>
      <c r="K26" s="302"/>
      <c r="L26" s="19"/>
    </row>
    <row r="27" spans="1:19" ht="16.899999999999999" customHeight="1">
      <c r="E27" s="303" t="s">
        <v>54</v>
      </c>
      <c r="F27" s="303"/>
      <c r="G27" s="303"/>
      <c r="H27" s="303"/>
      <c r="I27" s="303"/>
      <c r="J27" s="303"/>
      <c r="K27" s="303"/>
      <c r="L27" s="16"/>
      <c r="M27" s="303"/>
      <c r="N27" s="303"/>
      <c r="O27" s="303"/>
      <c r="P27" s="303"/>
      <c r="Q27" s="303"/>
      <c r="R27" s="303"/>
      <c r="S27" s="303"/>
    </row>
    <row r="28" spans="1:19" ht="12.75" customHeight="1">
      <c r="E28" s="303" t="s">
        <v>74</v>
      </c>
      <c r="F28" s="303"/>
      <c r="G28" s="303"/>
      <c r="H28" s="303"/>
      <c r="I28" s="303"/>
      <c r="J28" s="303"/>
      <c r="K28" s="303"/>
      <c r="L28" s="16"/>
    </row>
    <row r="29" spans="1:19" ht="12.75" customHeight="1">
      <c r="E29" s="301" t="s">
        <v>89</v>
      </c>
      <c r="F29" s="301"/>
      <c r="G29" s="301"/>
      <c r="H29" s="301"/>
      <c r="I29" s="301"/>
      <c r="J29" s="301"/>
      <c r="K29" s="301"/>
      <c r="L29" s="16"/>
    </row>
    <row r="30" spans="1:19" ht="12.75" customHeight="1">
      <c r="E30" s="303" t="s">
        <v>90</v>
      </c>
      <c r="F30" s="303"/>
      <c r="G30" s="303"/>
      <c r="H30" s="303"/>
      <c r="I30" s="303"/>
      <c r="J30" s="303"/>
      <c r="K30" s="303"/>
      <c r="L30" s="16"/>
    </row>
    <row r="31" spans="1:19" ht="12.75" customHeight="1">
      <c r="E31" s="303" t="s">
        <v>91</v>
      </c>
      <c r="F31" s="303"/>
      <c r="G31" s="303"/>
      <c r="H31" s="303"/>
      <c r="I31" s="303"/>
      <c r="J31" s="303"/>
      <c r="K31" s="303"/>
      <c r="L31" s="16"/>
    </row>
    <row r="32" spans="1:19" ht="12.75" customHeight="1">
      <c r="E32" s="301" t="s">
        <v>76</v>
      </c>
      <c r="F32" s="301"/>
      <c r="G32" s="301"/>
      <c r="H32" s="301"/>
      <c r="I32" s="301"/>
      <c r="J32" s="301"/>
      <c r="K32" s="301"/>
      <c r="L32" s="16"/>
    </row>
    <row r="33" spans="5:11" ht="25.5" customHeight="1">
      <c r="E33" s="301" t="s">
        <v>81</v>
      </c>
      <c r="F33" s="301"/>
      <c r="G33" s="301"/>
      <c r="H33" s="301"/>
      <c r="I33" s="301"/>
      <c r="J33" s="301"/>
      <c r="K33" s="301"/>
    </row>
    <row r="34" spans="5:11" ht="12.75" customHeight="1">
      <c r="E34" s="301"/>
      <c r="F34" s="301"/>
      <c r="G34" s="301"/>
      <c r="H34" s="301"/>
      <c r="I34" s="301"/>
      <c r="J34" s="301"/>
      <c r="K34" s="301"/>
    </row>
    <row r="35" spans="5:11">
      <c r="E35" s="21"/>
      <c r="F35" s="21"/>
    </row>
    <row r="36" spans="5:11">
      <c r="E36" s="21"/>
      <c r="F36" s="21"/>
    </row>
    <row r="37" spans="5:11">
      <c r="E37" s="21"/>
      <c r="F37" s="21"/>
    </row>
    <row r="38" spans="5:11">
      <c r="E38" s="21"/>
      <c r="F38" s="21"/>
    </row>
    <row r="39" spans="5:11">
      <c r="F39" s="21"/>
    </row>
    <row r="40" spans="5:11">
      <c r="E40" s="21"/>
      <c r="F40" s="23"/>
    </row>
    <row r="41" spans="5:11">
      <c r="E41" s="21"/>
      <c r="F41" s="21"/>
    </row>
    <row r="42" spans="5:11">
      <c r="E42" s="21"/>
      <c r="F42" s="21"/>
    </row>
    <row r="43" spans="5:11">
      <c r="E43" s="21"/>
      <c r="F43" s="21"/>
    </row>
    <row r="44" spans="5:11">
      <c r="E44" s="21"/>
      <c r="F44" s="21"/>
    </row>
    <row r="45" spans="5:11">
      <c r="E45" s="21"/>
      <c r="F45" s="21"/>
    </row>
    <row r="46" spans="5:11">
      <c r="E46" s="21"/>
      <c r="F46" s="21"/>
    </row>
    <row r="47" spans="5:11">
      <c r="E47" s="21"/>
      <c r="F47" s="21"/>
    </row>
    <row r="49" spans="1:19" s="22" customFormat="1">
      <c r="A49" s="5"/>
      <c r="B49" s="5"/>
      <c r="C49" s="5"/>
      <c r="D49" s="5"/>
      <c r="E49" s="17"/>
      <c r="F49" s="17"/>
      <c r="G49" s="17"/>
      <c r="I49" s="17"/>
      <c r="K49" s="17"/>
      <c r="L49" s="17"/>
      <c r="M49" s="17"/>
      <c r="N49" s="17"/>
      <c r="O49" s="17"/>
      <c r="P49" s="17"/>
      <c r="Q49" s="17"/>
      <c r="R49" s="17"/>
      <c r="S49" s="17"/>
    </row>
  </sheetData>
  <mergeCells count="14">
    <mergeCell ref="E34:K34"/>
    <mergeCell ref="M27:S27"/>
    <mergeCell ref="E33:K33"/>
    <mergeCell ref="E27:K27"/>
    <mergeCell ref="E28:K28"/>
    <mergeCell ref="E29:K29"/>
    <mergeCell ref="E30:K30"/>
    <mergeCell ref="E31:K31"/>
    <mergeCell ref="C7:C8"/>
    <mergeCell ref="F7:G7"/>
    <mergeCell ref="H7:I7"/>
    <mergeCell ref="J7:K7"/>
    <mergeCell ref="E32:K32"/>
    <mergeCell ref="E26:K26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verticalDpi="4294967292" r:id="rId1"/>
  <headerFooter alignWithMargins="0"/>
  <ignoredErrors>
    <ignoredError sqref="G21 I21" formula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3">
    <pageSetUpPr fitToPage="1"/>
  </sheetPr>
  <dimension ref="A1:H40"/>
  <sheetViews>
    <sheetView showGridLines="0" showRowColHeaders="0" zoomScaleNormal="100" workbookViewId="0">
      <selection activeCell="K30" sqref="K30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7" width="11.42578125" style="36"/>
    <col min="8" max="8" width="15.5703125" style="36" customWidth="1"/>
    <col min="9" max="252" width="11.42578125" style="36"/>
    <col min="253" max="253" width="0.140625" style="36" customWidth="1"/>
    <col min="254" max="254" width="2.7109375" style="36" customWidth="1"/>
    <col min="255" max="255" width="18.5703125" style="36" customWidth="1"/>
    <col min="256" max="256" width="1.28515625" style="36" customWidth="1"/>
    <col min="257" max="257" width="58.85546875" style="36" customWidth="1"/>
    <col min="258" max="259" width="11.42578125" style="36"/>
    <col min="260" max="260" width="2.140625" style="36" customWidth="1"/>
    <col min="261" max="261" width="11.42578125" style="36"/>
    <col min="262" max="262" width="9.5703125" style="36" customWidth="1"/>
    <col min="263" max="508" width="11.42578125" style="36"/>
    <col min="509" max="509" width="0.140625" style="36" customWidth="1"/>
    <col min="510" max="510" width="2.7109375" style="36" customWidth="1"/>
    <col min="511" max="511" width="18.5703125" style="36" customWidth="1"/>
    <col min="512" max="512" width="1.28515625" style="36" customWidth="1"/>
    <col min="513" max="513" width="58.85546875" style="36" customWidth="1"/>
    <col min="514" max="515" width="11.42578125" style="36"/>
    <col min="516" max="516" width="2.140625" style="36" customWidth="1"/>
    <col min="517" max="517" width="11.42578125" style="36"/>
    <col min="518" max="518" width="9.5703125" style="36" customWidth="1"/>
    <col min="519" max="764" width="11.42578125" style="36"/>
    <col min="765" max="765" width="0.140625" style="36" customWidth="1"/>
    <col min="766" max="766" width="2.7109375" style="36" customWidth="1"/>
    <col min="767" max="767" width="18.5703125" style="36" customWidth="1"/>
    <col min="768" max="768" width="1.28515625" style="36" customWidth="1"/>
    <col min="769" max="769" width="58.85546875" style="36" customWidth="1"/>
    <col min="770" max="771" width="11.42578125" style="36"/>
    <col min="772" max="772" width="2.140625" style="36" customWidth="1"/>
    <col min="773" max="773" width="11.42578125" style="36"/>
    <col min="774" max="774" width="9.5703125" style="36" customWidth="1"/>
    <col min="775" max="1020" width="11.42578125" style="36"/>
    <col min="1021" max="1021" width="0.140625" style="36" customWidth="1"/>
    <col min="1022" max="1022" width="2.7109375" style="36" customWidth="1"/>
    <col min="1023" max="1023" width="18.5703125" style="36" customWidth="1"/>
    <col min="1024" max="1024" width="1.28515625" style="36" customWidth="1"/>
    <col min="1025" max="1025" width="58.85546875" style="36" customWidth="1"/>
    <col min="1026" max="1027" width="11.42578125" style="36"/>
    <col min="1028" max="1028" width="2.140625" style="36" customWidth="1"/>
    <col min="1029" max="1029" width="11.42578125" style="36"/>
    <col min="1030" max="1030" width="9.5703125" style="36" customWidth="1"/>
    <col min="1031" max="1276" width="11.42578125" style="36"/>
    <col min="1277" max="1277" width="0.140625" style="36" customWidth="1"/>
    <col min="1278" max="1278" width="2.7109375" style="36" customWidth="1"/>
    <col min="1279" max="1279" width="18.5703125" style="36" customWidth="1"/>
    <col min="1280" max="1280" width="1.28515625" style="36" customWidth="1"/>
    <col min="1281" max="1281" width="58.85546875" style="36" customWidth="1"/>
    <col min="1282" max="1283" width="11.42578125" style="36"/>
    <col min="1284" max="1284" width="2.140625" style="36" customWidth="1"/>
    <col min="1285" max="1285" width="11.42578125" style="36"/>
    <col min="1286" max="1286" width="9.5703125" style="36" customWidth="1"/>
    <col min="1287" max="1532" width="11.42578125" style="36"/>
    <col min="1533" max="1533" width="0.140625" style="36" customWidth="1"/>
    <col min="1534" max="1534" width="2.7109375" style="36" customWidth="1"/>
    <col min="1535" max="1535" width="18.5703125" style="36" customWidth="1"/>
    <col min="1536" max="1536" width="1.28515625" style="36" customWidth="1"/>
    <col min="1537" max="1537" width="58.85546875" style="36" customWidth="1"/>
    <col min="1538" max="1539" width="11.42578125" style="36"/>
    <col min="1540" max="1540" width="2.140625" style="36" customWidth="1"/>
    <col min="1541" max="1541" width="11.42578125" style="36"/>
    <col min="1542" max="1542" width="9.5703125" style="36" customWidth="1"/>
    <col min="1543" max="1788" width="11.42578125" style="36"/>
    <col min="1789" max="1789" width="0.140625" style="36" customWidth="1"/>
    <col min="1790" max="1790" width="2.7109375" style="36" customWidth="1"/>
    <col min="1791" max="1791" width="18.5703125" style="36" customWidth="1"/>
    <col min="1792" max="1792" width="1.28515625" style="36" customWidth="1"/>
    <col min="1793" max="1793" width="58.85546875" style="36" customWidth="1"/>
    <col min="1794" max="1795" width="11.42578125" style="36"/>
    <col min="1796" max="1796" width="2.140625" style="36" customWidth="1"/>
    <col min="1797" max="1797" width="11.42578125" style="36"/>
    <col min="1798" max="1798" width="9.5703125" style="36" customWidth="1"/>
    <col min="1799" max="2044" width="11.42578125" style="36"/>
    <col min="2045" max="2045" width="0.140625" style="36" customWidth="1"/>
    <col min="2046" max="2046" width="2.7109375" style="36" customWidth="1"/>
    <col min="2047" max="2047" width="18.5703125" style="36" customWidth="1"/>
    <col min="2048" max="2048" width="1.28515625" style="36" customWidth="1"/>
    <col min="2049" max="2049" width="58.85546875" style="36" customWidth="1"/>
    <col min="2050" max="2051" width="11.42578125" style="36"/>
    <col min="2052" max="2052" width="2.140625" style="36" customWidth="1"/>
    <col min="2053" max="2053" width="11.42578125" style="36"/>
    <col min="2054" max="2054" width="9.5703125" style="36" customWidth="1"/>
    <col min="2055" max="2300" width="11.42578125" style="36"/>
    <col min="2301" max="2301" width="0.140625" style="36" customWidth="1"/>
    <col min="2302" max="2302" width="2.7109375" style="36" customWidth="1"/>
    <col min="2303" max="2303" width="18.5703125" style="36" customWidth="1"/>
    <col min="2304" max="2304" width="1.28515625" style="36" customWidth="1"/>
    <col min="2305" max="2305" width="58.85546875" style="36" customWidth="1"/>
    <col min="2306" max="2307" width="11.42578125" style="36"/>
    <col min="2308" max="2308" width="2.140625" style="36" customWidth="1"/>
    <col min="2309" max="2309" width="11.42578125" style="36"/>
    <col min="2310" max="2310" width="9.5703125" style="36" customWidth="1"/>
    <col min="2311" max="2556" width="11.42578125" style="36"/>
    <col min="2557" max="2557" width="0.140625" style="36" customWidth="1"/>
    <col min="2558" max="2558" width="2.7109375" style="36" customWidth="1"/>
    <col min="2559" max="2559" width="18.5703125" style="36" customWidth="1"/>
    <col min="2560" max="2560" width="1.28515625" style="36" customWidth="1"/>
    <col min="2561" max="2561" width="58.85546875" style="36" customWidth="1"/>
    <col min="2562" max="2563" width="11.42578125" style="36"/>
    <col min="2564" max="2564" width="2.140625" style="36" customWidth="1"/>
    <col min="2565" max="2565" width="11.42578125" style="36"/>
    <col min="2566" max="2566" width="9.5703125" style="36" customWidth="1"/>
    <col min="2567" max="2812" width="11.42578125" style="36"/>
    <col min="2813" max="2813" width="0.140625" style="36" customWidth="1"/>
    <col min="2814" max="2814" width="2.7109375" style="36" customWidth="1"/>
    <col min="2815" max="2815" width="18.5703125" style="36" customWidth="1"/>
    <col min="2816" max="2816" width="1.28515625" style="36" customWidth="1"/>
    <col min="2817" max="2817" width="58.85546875" style="36" customWidth="1"/>
    <col min="2818" max="2819" width="11.42578125" style="36"/>
    <col min="2820" max="2820" width="2.140625" style="36" customWidth="1"/>
    <col min="2821" max="2821" width="11.42578125" style="36"/>
    <col min="2822" max="2822" width="9.5703125" style="36" customWidth="1"/>
    <col min="2823" max="3068" width="11.42578125" style="36"/>
    <col min="3069" max="3069" width="0.140625" style="36" customWidth="1"/>
    <col min="3070" max="3070" width="2.7109375" style="36" customWidth="1"/>
    <col min="3071" max="3071" width="18.5703125" style="36" customWidth="1"/>
    <col min="3072" max="3072" width="1.28515625" style="36" customWidth="1"/>
    <col min="3073" max="3073" width="58.85546875" style="36" customWidth="1"/>
    <col min="3074" max="3075" width="11.42578125" style="36"/>
    <col min="3076" max="3076" width="2.140625" style="36" customWidth="1"/>
    <col min="3077" max="3077" width="11.42578125" style="36"/>
    <col min="3078" max="3078" width="9.5703125" style="36" customWidth="1"/>
    <col min="3079" max="3324" width="11.42578125" style="36"/>
    <col min="3325" max="3325" width="0.140625" style="36" customWidth="1"/>
    <col min="3326" max="3326" width="2.7109375" style="36" customWidth="1"/>
    <col min="3327" max="3327" width="18.5703125" style="36" customWidth="1"/>
    <col min="3328" max="3328" width="1.28515625" style="36" customWidth="1"/>
    <col min="3329" max="3329" width="58.85546875" style="36" customWidth="1"/>
    <col min="3330" max="3331" width="11.42578125" style="36"/>
    <col min="3332" max="3332" width="2.140625" style="36" customWidth="1"/>
    <col min="3333" max="3333" width="11.42578125" style="36"/>
    <col min="3334" max="3334" width="9.5703125" style="36" customWidth="1"/>
    <col min="3335" max="3580" width="11.42578125" style="36"/>
    <col min="3581" max="3581" width="0.140625" style="36" customWidth="1"/>
    <col min="3582" max="3582" width="2.7109375" style="36" customWidth="1"/>
    <col min="3583" max="3583" width="18.5703125" style="36" customWidth="1"/>
    <col min="3584" max="3584" width="1.28515625" style="36" customWidth="1"/>
    <col min="3585" max="3585" width="58.85546875" style="36" customWidth="1"/>
    <col min="3586" max="3587" width="11.42578125" style="36"/>
    <col min="3588" max="3588" width="2.140625" style="36" customWidth="1"/>
    <col min="3589" max="3589" width="11.42578125" style="36"/>
    <col min="3590" max="3590" width="9.5703125" style="36" customWidth="1"/>
    <col min="3591" max="3836" width="11.42578125" style="36"/>
    <col min="3837" max="3837" width="0.140625" style="36" customWidth="1"/>
    <col min="3838" max="3838" width="2.7109375" style="36" customWidth="1"/>
    <col min="3839" max="3839" width="18.5703125" style="36" customWidth="1"/>
    <col min="3840" max="3840" width="1.28515625" style="36" customWidth="1"/>
    <col min="3841" max="3841" width="58.85546875" style="36" customWidth="1"/>
    <col min="3842" max="3843" width="11.42578125" style="36"/>
    <col min="3844" max="3844" width="2.140625" style="36" customWidth="1"/>
    <col min="3845" max="3845" width="11.42578125" style="36"/>
    <col min="3846" max="3846" width="9.5703125" style="36" customWidth="1"/>
    <col min="3847" max="4092" width="11.42578125" style="36"/>
    <col min="4093" max="4093" width="0.140625" style="36" customWidth="1"/>
    <col min="4094" max="4094" width="2.7109375" style="36" customWidth="1"/>
    <col min="4095" max="4095" width="18.5703125" style="36" customWidth="1"/>
    <col min="4096" max="4096" width="1.28515625" style="36" customWidth="1"/>
    <col min="4097" max="4097" width="58.85546875" style="36" customWidth="1"/>
    <col min="4098" max="4099" width="11.42578125" style="36"/>
    <col min="4100" max="4100" width="2.140625" style="36" customWidth="1"/>
    <col min="4101" max="4101" width="11.42578125" style="36"/>
    <col min="4102" max="4102" width="9.5703125" style="36" customWidth="1"/>
    <col min="4103" max="4348" width="11.42578125" style="36"/>
    <col min="4349" max="4349" width="0.140625" style="36" customWidth="1"/>
    <col min="4350" max="4350" width="2.7109375" style="36" customWidth="1"/>
    <col min="4351" max="4351" width="18.5703125" style="36" customWidth="1"/>
    <col min="4352" max="4352" width="1.28515625" style="36" customWidth="1"/>
    <col min="4353" max="4353" width="58.85546875" style="36" customWidth="1"/>
    <col min="4354" max="4355" width="11.42578125" style="36"/>
    <col min="4356" max="4356" width="2.140625" style="36" customWidth="1"/>
    <col min="4357" max="4357" width="11.42578125" style="36"/>
    <col min="4358" max="4358" width="9.5703125" style="36" customWidth="1"/>
    <col min="4359" max="4604" width="11.42578125" style="36"/>
    <col min="4605" max="4605" width="0.140625" style="36" customWidth="1"/>
    <col min="4606" max="4606" width="2.7109375" style="36" customWidth="1"/>
    <col min="4607" max="4607" width="18.5703125" style="36" customWidth="1"/>
    <col min="4608" max="4608" width="1.28515625" style="36" customWidth="1"/>
    <col min="4609" max="4609" width="58.85546875" style="36" customWidth="1"/>
    <col min="4610" max="4611" width="11.42578125" style="36"/>
    <col min="4612" max="4612" width="2.140625" style="36" customWidth="1"/>
    <col min="4613" max="4613" width="11.42578125" style="36"/>
    <col min="4614" max="4614" width="9.5703125" style="36" customWidth="1"/>
    <col min="4615" max="4860" width="11.42578125" style="36"/>
    <col min="4861" max="4861" width="0.140625" style="36" customWidth="1"/>
    <col min="4862" max="4862" width="2.7109375" style="36" customWidth="1"/>
    <col min="4863" max="4863" width="18.5703125" style="36" customWidth="1"/>
    <col min="4864" max="4864" width="1.28515625" style="36" customWidth="1"/>
    <col min="4865" max="4865" width="58.85546875" style="36" customWidth="1"/>
    <col min="4866" max="4867" width="11.42578125" style="36"/>
    <col min="4868" max="4868" width="2.140625" style="36" customWidth="1"/>
    <col min="4869" max="4869" width="11.42578125" style="36"/>
    <col min="4870" max="4870" width="9.5703125" style="36" customWidth="1"/>
    <col min="4871" max="5116" width="11.42578125" style="36"/>
    <col min="5117" max="5117" width="0.140625" style="36" customWidth="1"/>
    <col min="5118" max="5118" width="2.7109375" style="36" customWidth="1"/>
    <col min="5119" max="5119" width="18.5703125" style="36" customWidth="1"/>
    <col min="5120" max="5120" width="1.28515625" style="36" customWidth="1"/>
    <col min="5121" max="5121" width="58.85546875" style="36" customWidth="1"/>
    <col min="5122" max="5123" width="11.42578125" style="36"/>
    <col min="5124" max="5124" width="2.140625" style="36" customWidth="1"/>
    <col min="5125" max="5125" width="11.42578125" style="36"/>
    <col min="5126" max="5126" width="9.5703125" style="36" customWidth="1"/>
    <col min="5127" max="5372" width="11.42578125" style="36"/>
    <col min="5373" max="5373" width="0.140625" style="36" customWidth="1"/>
    <col min="5374" max="5374" width="2.7109375" style="36" customWidth="1"/>
    <col min="5375" max="5375" width="18.5703125" style="36" customWidth="1"/>
    <col min="5376" max="5376" width="1.28515625" style="36" customWidth="1"/>
    <col min="5377" max="5377" width="58.85546875" style="36" customWidth="1"/>
    <col min="5378" max="5379" width="11.42578125" style="36"/>
    <col min="5380" max="5380" width="2.140625" style="36" customWidth="1"/>
    <col min="5381" max="5381" width="11.42578125" style="36"/>
    <col min="5382" max="5382" width="9.5703125" style="36" customWidth="1"/>
    <col min="5383" max="5628" width="11.42578125" style="36"/>
    <col min="5629" max="5629" width="0.140625" style="36" customWidth="1"/>
    <col min="5630" max="5630" width="2.7109375" style="36" customWidth="1"/>
    <col min="5631" max="5631" width="18.5703125" style="36" customWidth="1"/>
    <col min="5632" max="5632" width="1.28515625" style="36" customWidth="1"/>
    <col min="5633" max="5633" width="58.85546875" style="36" customWidth="1"/>
    <col min="5634" max="5635" width="11.42578125" style="36"/>
    <col min="5636" max="5636" width="2.140625" style="36" customWidth="1"/>
    <col min="5637" max="5637" width="11.42578125" style="36"/>
    <col min="5638" max="5638" width="9.5703125" style="36" customWidth="1"/>
    <col min="5639" max="5884" width="11.42578125" style="36"/>
    <col min="5885" max="5885" width="0.140625" style="36" customWidth="1"/>
    <col min="5886" max="5886" width="2.7109375" style="36" customWidth="1"/>
    <col min="5887" max="5887" width="18.5703125" style="36" customWidth="1"/>
    <col min="5888" max="5888" width="1.28515625" style="36" customWidth="1"/>
    <col min="5889" max="5889" width="58.85546875" style="36" customWidth="1"/>
    <col min="5890" max="5891" width="11.42578125" style="36"/>
    <col min="5892" max="5892" width="2.140625" style="36" customWidth="1"/>
    <col min="5893" max="5893" width="11.42578125" style="36"/>
    <col min="5894" max="5894" width="9.5703125" style="36" customWidth="1"/>
    <col min="5895" max="6140" width="11.42578125" style="36"/>
    <col min="6141" max="6141" width="0.140625" style="36" customWidth="1"/>
    <col min="6142" max="6142" width="2.7109375" style="36" customWidth="1"/>
    <col min="6143" max="6143" width="18.5703125" style="36" customWidth="1"/>
    <col min="6144" max="6144" width="1.28515625" style="36" customWidth="1"/>
    <col min="6145" max="6145" width="58.85546875" style="36" customWidth="1"/>
    <col min="6146" max="6147" width="11.42578125" style="36"/>
    <col min="6148" max="6148" width="2.140625" style="36" customWidth="1"/>
    <col min="6149" max="6149" width="11.42578125" style="36"/>
    <col min="6150" max="6150" width="9.5703125" style="36" customWidth="1"/>
    <col min="6151" max="6396" width="11.42578125" style="36"/>
    <col min="6397" max="6397" width="0.140625" style="36" customWidth="1"/>
    <col min="6398" max="6398" width="2.7109375" style="36" customWidth="1"/>
    <col min="6399" max="6399" width="18.5703125" style="36" customWidth="1"/>
    <col min="6400" max="6400" width="1.28515625" style="36" customWidth="1"/>
    <col min="6401" max="6401" width="58.85546875" style="36" customWidth="1"/>
    <col min="6402" max="6403" width="11.42578125" style="36"/>
    <col min="6404" max="6404" width="2.140625" style="36" customWidth="1"/>
    <col min="6405" max="6405" width="11.42578125" style="36"/>
    <col min="6406" max="6406" width="9.5703125" style="36" customWidth="1"/>
    <col min="6407" max="6652" width="11.42578125" style="36"/>
    <col min="6653" max="6653" width="0.140625" style="36" customWidth="1"/>
    <col min="6654" max="6654" width="2.7109375" style="36" customWidth="1"/>
    <col min="6655" max="6655" width="18.5703125" style="36" customWidth="1"/>
    <col min="6656" max="6656" width="1.28515625" style="36" customWidth="1"/>
    <col min="6657" max="6657" width="58.85546875" style="36" customWidth="1"/>
    <col min="6658" max="6659" width="11.42578125" style="36"/>
    <col min="6660" max="6660" width="2.140625" style="36" customWidth="1"/>
    <col min="6661" max="6661" width="11.42578125" style="36"/>
    <col min="6662" max="6662" width="9.5703125" style="36" customWidth="1"/>
    <col min="6663" max="6908" width="11.42578125" style="36"/>
    <col min="6909" max="6909" width="0.140625" style="36" customWidth="1"/>
    <col min="6910" max="6910" width="2.7109375" style="36" customWidth="1"/>
    <col min="6911" max="6911" width="18.5703125" style="36" customWidth="1"/>
    <col min="6912" max="6912" width="1.28515625" style="36" customWidth="1"/>
    <col min="6913" max="6913" width="58.85546875" style="36" customWidth="1"/>
    <col min="6914" max="6915" width="11.42578125" style="36"/>
    <col min="6916" max="6916" width="2.140625" style="36" customWidth="1"/>
    <col min="6917" max="6917" width="11.42578125" style="36"/>
    <col min="6918" max="6918" width="9.5703125" style="36" customWidth="1"/>
    <col min="6919" max="7164" width="11.42578125" style="36"/>
    <col min="7165" max="7165" width="0.140625" style="36" customWidth="1"/>
    <col min="7166" max="7166" width="2.7109375" style="36" customWidth="1"/>
    <col min="7167" max="7167" width="18.5703125" style="36" customWidth="1"/>
    <col min="7168" max="7168" width="1.28515625" style="36" customWidth="1"/>
    <col min="7169" max="7169" width="58.85546875" style="36" customWidth="1"/>
    <col min="7170" max="7171" width="11.42578125" style="36"/>
    <col min="7172" max="7172" width="2.140625" style="36" customWidth="1"/>
    <col min="7173" max="7173" width="11.42578125" style="36"/>
    <col min="7174" max="7174" width="9.5703125" style="36" customWidth="1"/>
    <col min="7175" max="7420" width="11.42578125" style="36"/>
    <col min="7421" max="7421" width="0.140625" style="36" customWidth="1"/>
    <col min="7422" max="7422" width="2.7109375" style="36" customWidth="1"/>
    <col min="7423" max="7423" width="18.5703125" style="36" customWidth="1"/>
    <col min="7424" max="7424" width="1.28515625" style="36" customWidth="1"/>
    <col min="7425" max="7425" width="58.85546875" style="36" customWidth="1"/>
    <col min="7426" max="7427" width="11.42578125" style="36"/>
    <col min="7428" max="7428" width="2.140625" style="36" customWidth="1"/>
    <col min="7429" max="7429" width="11.42578125" style="36"/>
    <col min="7430" max="7430" width="9.5703125" style="36" customWidth="1"/>
    <col min="7431" max="7676" width="11.42578125" style="36"/>
    <col min="7677" max="7677" width="0.140625" style="36" customWidth="1"/>
    <col min="7678" max="7678" width="2.7109375" style="36" customWidth="1"/>
    <col min="7679" max="7679" width="18.5703125" style="36" customWidth="1"/>
    <col min="7680" max="7680" width="1.28515625" style="36" customWidth="1"/>
    <col min="7681" max="7681" width="58.85546875" style="36" customWidth="1"/>
    <col min="7682" max="7683" width="11.42578125" style="36"/>
    <col min="7684" max="7684" width="2.140625" style="36" customWidth="1"/>
    <col min="7685" max="7685" width="11.42578125" style="36"/>
    <col min="7686" max="7686" width="9.5703125" style="36" customWidth="1"/>
    <col min="7687" max="7932" width="11.42578125" style="36"/>
    <col min="7933" max="7933" width="0.140625" style="36" customWidth="1"/>
    <col min="7934" max="7934" width="2.7109375" style="36" customWidth="1"/>
    <col min="7935" max="7935" width="18.5703125" style="36" customWidth="1"/>
    <col min="7936" max="7936" width="1.28515625" style="36" customWidth="1"/>
    <col min="7937" max="7937" width="58.85546875" style="36" customWidth="1"/>
    <col min="7938" max="7939" width="11.42578125" style="36"/>
    <col min="7940" max="7940" width="2.140625" style="36" customWidth="1"/>
    <col min="7941" max="7941" width="11.42578125" style="36"/>
    <col min="7942" max="7942" width="9.5703125" style="36" customWidth="1"/>
    <col min="7943" max="8188" width="11.42578125" style="36"/>
    <col min="8189" max="8189" width="0.140625" style="36" customWidth="1"/>
    <col min="8190" max="8190" width="2.7109375" style="36" customWidth="1"/>
    <col min="8191" max="8191" width="18.5703125" style="36" customWidth="1"/>
    <col min="8192" max="8192" width="1.28515625" style="36" customWidth="1"/>
    <col min="8193" max="8193" width="58.85546875" style="36" customWidth="1"/>
    <col min="8194" max="8195" width="11.42578125" style="36"/>
    <col min="8196" max="8196" width="2.140625" style="36" customWidth="1"/>
    <col min="8197" max="8197" width="11.42578125" style="36"/>
    <col min="8198" max="8198" width="9.5703125" style="36" customWidth="1"/>
    <col min="8199" max="8444" width="11.42578125" style="36"/>
    <col min="8445" max="8445" width="0.140625" style="36" customWidth="1"/>
    <col min="8446" max="8446" width="2.7109375" style="36" customWidth="1"/>
    <col min="8447" max="8447" width="18.5703125" style="36" customWidth="1"/>
    <col min="8448" max="8448" width="1.28515625" style="36" customWidth="1"/>
    <col min="8449" max="8449" width="58.85546875" style="36" customWidth="1"/>
    <col min="8450" max="8451" width="11.42578125" style="36"/>
    <col min="8452" max="8452" width="2.140625" style="36" customWidth="1"/>
    <col min="8453" max="8453" width="11.42578125" style="36"/>
    <col min="8454" max="8454" width="9.5703125" style="36" customWidth="1"/>
    <col min="8455" max="8700" width="11.42578125" style="36"/>
    <col min="8701" max="8701" width="0.140625" style="36" customWidth="1"/>
    <col min="8702" max="8702" width="2.7109375" style="36" customWidth="1"/>
    <col min="8703" max="8703" width="18.5703125" style="36" customWidth="1"/>
    <col min="8704" max="8704" width="1.28515625" style="36" customWidth="1"/>
    <col min="8705" max="8705" width="58.85546875" style="36" customWidth="1"/>
    <col min="8706" max="8707" width="11.42578125" style="36"/>
    <col min="8708" max="8708" width="2.140625" style="36" customWidth="1"/>
    <col min="8709" max="8709" width="11.42578125" style="36"/>
    <col min="8710" max="8710" width="9.5703125" style="36" customWidth="1"/>
    <col min="8711" max="8956" width="11.42578125" style="36"/>
    <col min="8957" max="8957" width="0.140625" style="36" customWidth="1"/>
    <col min="8958" max="8958" width="2.7109375" style="36" customWidth="1"/>
    <col min="8959" max="8959" width="18.5703125" style="36" customWidth="1"/>
    <col min="8960" max="8960" width="1.28515625" style="36" customWidth="1"/>
    <col min="8961" max="8961" width="58.85546875" style="36" customWidth="1"/>
    <col min="8962" max="8963" width="11.42578125" style="36"/>
    <col min="8964" max="8964" width="2.140625" style="36" customWidth="1"/>
    <col min="8965" max="8965" width="11.42578125" style="36"/>
    <col min="8966" max="8966" width="9.5703125" style="36" customWidth="1"/>
    <col min="8967" max="9212" width="11.42578125" style="36"/>
    <col min="9213" max="9213" width="0.140625" style="36" customWidth="1"/>
    <col min="9214" max="9214" width="2.7109375" style="36" customWidth="1"/>
    <col min="9215" max="9215" width="18.5703125" style="36" customWidth="1"/>
    <col min="9216" max="9216" width="1.28515625" style="36" customWidth="1"/>
    <col min="9217" max="9217" width="58.85546875" style="36" customWidth="1"/>
    <col min="9218" max="9219" width="11.42578125" style="36"/>
    <col min="9220" max="9220" width="2.140625" style="36" customWidth="1"/>
    <col min="9221" max="9221" width="11.42578125" style="36"/>
    <col min="9222" max="9222" width="9.5703125" style="36" customWidth="1"/>
    <col min="9223" max="9468" width="11.42578125" style="36"/>
    <col min="9469" max="9469" width="0.140625" style="36" customWidth="1"/>
    <col min="9470" max="9470" width="2.7109375" style="36" customWidth="1"/>
    <col min="9471" max="9471" width="18.5703125" style="36" customWidth="1"/>
    <col min="9472" max="9472" width="1.28515625" style="36" customWidth="1"/>
    <col min="9473" max="9473" width="58.85546875" style="36" customWidth="1"/>
    <col min="9474" max="9475" width="11.42578125" style="36"/>
    <col min="9476" max="9476" width="2.140625" style="36" customWidth="1"/>
    <col min="9477" max="9477" width="11.42578125" style="36"/>
    <col min="9478" max="9478" width="9.5703125" style="36" customWidth="1"/>
    <col min="9479" max="9724" width="11.42578125" style="36"/>
    <col min="9725" max="9725" width="0.140625" style="36" customWidth="1"/>
    <col min="9726" max="9726" width="2.7109375" style="36" customWidth="1"/>
    <col min="9727" max="9727" width="18.5703125" style="36" customWidth="1"/>
    <col min="9728" max="9728" width="1.28515625" style="36" customWidth="1"/>
    <col min="9729" max="9729" width="58.85546875" style="36" customWidth="1"/>
    <col min="9730" max="9731" width="11.42578125" style="36"/>
    <col min="9732" max="9732" width="2.140625" style="36" customWidth="1"/>
    <col min="9733" max="9733" width="11.42578125" style="36"/>
    <col min="9734" max="9734" width="9.5703125" style="36" customWidth="1"/>
    <col min="9735" max="9980" width="11.42578125" style="36"/>
    <col min="9981" max="9981" width="0.140625" style="36" customWidth="1"/>
    <col min="9982" max="9982" width="2.7109375" style="36" customWidth="1"/>
    <col min="9983" max="9983" width="18.5703125" style="36" customWidth="1"/>
    <col min="9984" max="9984" width="1.28515625" style="36" customWidth="1"/>
    <col min="9985" max="9985" width="58.85546875" style="36" customWidth="1"/>
    <col min="9986" max="9987" width="11.42578125" style="36"/>
    <col min="9988" max="9988" width="2.140625" style="36" customWidth="1"/>
    <col min="9989" max="9989" width="11.42578125" style="36"/>
    <col min="9990" max="9990" width="9.5703125" style="36" customWidth="1"/>
    <col min="9991" max="10236" width="11.42578125" style="36"/>
    <col min="10237" max="10237" width="0.140625" style="36" customWidth="1"/>
    <col min="10238" max="10238" width="2.7109375" style="36" customWidth="1"/>
    <col min="10239" max="10239" width="18.5703125" style="36" customWidth="1"/>
    <col min="10240" max="10240" width="1.28515625" style="36" customWidth="1"/>
    <col min="10241" max="10241" width="58.85546875" style="36" customWidth="1"/>
    <col min="10242" max="10243" width="11.42578125" style="36"/>
    <col min="10244" max="10244" width="2.140625" style="36" customWidth="1"/>
    <col min="10245" max="10245" width="11.42578125" style="36"/>
    <col min="10246" max="10246" width="9.5703125" style="36" customWidth="1"/>
    <col min="10247" max="10492" width="11.42578125" style="36"/>
    <col min="10493" max="10493" width="0.140625" style="36" customWidth="1"/>
    <col min="10494" max="10494" width="2.7109375" style="36" customWidth="1"/>
    <col min="10495" max="10495" width="18.5703125" style="36" customWidth="1"/>
    <col min="10496" max="10496" width="1.28515625" style="36" customWidth="1"/>
    <col min="10497" max="10497" width="58.85546875" style="36" customWidth="1"/>
    <col min="10498" max="10499" width="11.42578125" style="36"/>
    <col min="10500" max="10500" width="2.140625" style="36" customWidth="1"/>
    <col min="10501" max="10501" width="11.42578125" style="36"/>
    <col min="10502" max="10502" width="9.5703125" style="36" customWidth="1"/>
    <col min="10503" max="10748" width="11.42578125" style="36"/>
    <col min="10749" max="10749" width="0.140625" style="36" customWidth="1"/>
    <col min="10750" max="10750" width="2.7109375" style="36" customWidth="1"/>
    <col min="10751" max="10751" width="18.5703125" style="36" customWidth="1"/>
    <col min="10752" max="10752" width="1.28515625" style="36" customWidth="1"/>
    <col min="10753" max="10753" width="58.85546875" style="36" customWidth="1"/>
    <col min="10754" max="10755" width="11.42578125" style="36"/>
    <col min="10756" max="10756" width="2.140625" style="36" customWidth="1"/>
    <col min="10757" max="10757" width="11.42578125" style="36"/>
    <col min="10758" max="10758" width="9.5703125" style="36" customWidth="1"/>
    <col min="10759" max="11004" width="11.42578125" style="36"/>
    <col min="11005" max="11005" width="0.140625" style="36" customWidth="1"/>
    <col min="11006" max="11006" width="2.7109375" style="36" customWidth="1"/>
    <col min="11007" max="11007" width="18.5703125" style="36" customWidth="1"/>
    <col min="11008" max="11008" width="1.28515625" style="36" customWidth="1"/>
    <col min="11009" max="11009" width="58.85546875" style="36" customWidth="1"/>
    <col min="11010" max="11011" width="11.42578125" style="36"/>
    <col min="11012" max="11012" width="2.140625" style="36" customWidth="1"/>
    <col min="11013" max="11013" width="11.42578125" style="36"/>
    <col min="11014" max="11014" width="9.5703125" style="36" customWidth="1"/>
    <col min="11015" max="11260" width="11.42578125" style="36"/>
    <col min="11261" max="11261" width="0.140625" style="36" customWidth="1"/>
    <col min="11262" max="11262" width="2.7109375" style="36" customWidth="1"/>
    <col min="11263" max="11263" width="18.5703125" style="36" customWidth="1"/>
    <col min="11264" max="11264" width="1.28515625" style="36" customWidth="1"/>
    <col min="11265" max="11265" width="58.85546875" style="36" customWidth="1"/>
    <col min="11266" max="11267" width="11.42578125" style="36"/>
    <col min="11268" max="11268" width="2.140625" style="36" customWidth="1"/>
    <col min="11269" max="11269" width="11.42578125" style="36"/>
    <col min="11270" max="11270" width="9.5703125" style="36" customWidth="1"/>
    <col min="11271" max="11516" width="11.42578125" style="36"/>
    <col min="11517" max="11517" width="0.140625" style="36" customWidth="1"/>
    <col min="11518" max="11518" width="2.7109375" style="36" customWidth="1"/>
    <col min="11519" max="11519" width="18.5703125" style="36" customWidth="1"/>
    <col min="11520" max="11520" width="1.28515625" style="36" customWidth="1"/>
    <col min="11521" max="11521" width="58.85546875" style="36" customWidth="1"/>
    <col min="11522" max="11523" width="11.42578125" style="36"/>
    <col min="11524" max="11524" width="2.140625" style="36" customWidth="1"/>
    <col min="11525" max="11525" width="11.42578125" style="36"/>
    <col min="11526" max="11526" width="9.5703125" style="36" customWidth="1"/>
    <col min="11527" max="11772" width="11.42578125" style="36"/>
    <col min="11773" max="11773" width="0.140625" style="36" customWidth="1"/>
    <col min="11774" max="11774" width="2.7109375" style="36" customWidth="1"/>
    <col min="11775" max="11775" width="18.5703125" style="36" customWidth="1"/>
    <col min="11776" max="11776" width="1.28515625" style="36" customWidth="1"/>
    <col min="11777" max="11777" width="58.85546875" style="36" customWidth="1"/>
    <col min="11778" max="11779" width="11.42578125" style="36"/>
    <col min="11780" max="11780" width="2.140625" style="36" customWidth="1"/>
    <col min="11781" max="11781" width="11.42578125" style="36"/>
    <col min="11782" max="11782" width="9.5703125" style="36" customWidth="1"/>
    <col min="11783" max="12028" width="11.42578125" style="36"/>
    <col min="12029" max="12029" width="0.140625" style="36" customWidth="1"/>
    <col min="12030" max="12030" width="2.7109375" style="36" customWidth="1"/>
    <col min="12031" max="12031" width="18.5703125" style="36" customWidth="1"/>
    <col min="12032" max="12032" width="1.28515625" style="36" customWidth="1"/>
    <col min="12033" max="12033" width="58.85546875" style="36" customWidth="1"/>
    <col min="12034" max="12035" width="11.42578125" style="36"/>
    <col min="12036" max="12036" width="2.140625" style="36" customWidth="1"/>
    <col min="12037" max="12037" width="11.42578125" style="36"/>
    <col min="12038" max="12038" width="9.5703125" style="36" customWidth="1"/>
    <col min="12039" max="12284" width="11.42578125" style="36"/>
    <col min="12285" max="12285" width="0.140625" style="36" customWidth="1"/>
    <col min="12286" max="12286" width="2.7109375" style="36" customWidth="1"/>
    <col min="12287" max="12287" width="18.5703125" style="36" customWidth="1"/>
    <col min="12288" max="12288" width="1.28515625" style="36" customWidth="1"/>
    <col min="12289" max="12289" width="58.85546875" style="36" customWidth="1"/>
    <col min="12290" max="12291" width="11.42578125" style="36"/>
    <col min="12292" max="12292" width="2.140625" style="36" customWidth="1"/>
    <col min="12293" max="12293" width="11.42578125" style="36"/>
    <col min="12294" max="12294" width="9.5703125" style="36" customWidth="1"/>
    <col min="12295" max="12540" width="11.42578125" style="36"/>
    <col min="12541" max="12541" width="0.140625" style="36" customWidth="1"/>
    <col min="12542" max="12542" width="2.7109375" style="36" customWidth="1"/>
    <col min="12543" max="12543" width="18.5703125" style="36" customWidth="1"/>
    <col min="12544" max="12544" width="1.28515625" style="36" customWidth="1"/>
    <col min="12545" max="12545" width="58.85546875" style="36" customWidth="1"/>
    <col min="12546" max="12547" width="11.42578125" style="36"/>
    <col min="12548" max="12548" width="2.140625" style="36" customWidth="1"/>
    <col min="12549" max="12549" width="11.42578125" style="36"/>
    <col min="12550" max="12550" width="9.5703125" style="36" customWidth="1"/>
    <col min="12551" max="12796" width="11.42578125" style="36"/>
    <col min="12797" max="12797" width="0.140625" style="36" customWidth="1"/>
    <col min="12798" max="12798" width="2.7109375" style="36" customWidth="1"/>
    <col min="12799" max="12799" width="18.5703125" style="36" customWidth="1"/>
    <col min="12800" max="12800" width="1.28515625" style="36" customWidth="1"/>
    <col min="12801" max="12801" width="58.85546875" style="36" customWidth="1"/>
    <col min="12802" max="12803" width="11.42578125" style="36"/>
    <col min="12804" max="12804" width="2.140625" style="36" customWidth="1"/>
    <col min="12805" max="12805" width="11.42578125" style="36"/>
    <col min="12806" max="12806" width="9.5703125" style="36" customWidth="1"/>
    <col min="12807" max="13052" width="11.42578125" style="36"/>
    <col min="13053" max="13053" width="0.140625" style="36" customWidth="1"/>
    <col min="13054" max="13054" width="2.7109375" style="36" customWidth="1"/>
    <col min="13055" max="13055" width="18.5703125" style="36" customWidth="1"/>
    <col min="13056" max="13056" width="1.28515625" style="36" customWidth="1"/>
    <col min="13057" max="13057" width="58.85546875" style="36" customWidth="1"/>
    <col min="13058" max="13059" width="11.42578125" style="36"/>
    <col min="13060" max="13060" width="2.140625" style="36" customWidth="1"/>
    <col min="13061" max="13061" width="11.42578125" style="36"/>
    <col min="13062" max="13062" width="9.5703125" style="36" customWidth="1"/>
    <col min="13063" max="13308" width="11.42578125" style="36"/>
    <col min="13309" max="13309" width="0.140625" style="36" customWidth="1"/>
    <col min="13310" max="13310" width="2.7109375" style="36" customWidth="1"/>
    <col min="13311" max="13311" width="18.5703125" style="36" customWidth="1"/>
    <col min="13312" max="13312" width="1.28515625" style="36" customWidth="1"/>
    <col min="13313" max="13313" width="58.85546875" style="36" customWidth="1"/>
    <col min="13314" max="13315" width="11.42578125" style="36"/>
    <col min="13316" max="13316" width="2.140625" style="36" customWidth="1"/>
    <col min="13317" max="13317" width="11.42578125" style="36"/>
    <col min="13318" max="13318" width="9.5703125" style="36" customWidth="1"/>
    <col min="13319" max="13564" width="11.42578125" style="36"/>
    <col min="13565" max="13565" width="0.140625" style="36" customWidth="1"/>
    <col min="13566" max="13566" width="2.7109375" style="36" customWidth="1"/>
    <col min="13567" max="13567" width="18.5703125" style="36" customWidth="1"/>
    <col min="13568" max="13568" width="1.28515625" style="36" customWidth="1"/>
    <col min="13569" max="13569" width="58.85546875" style="36" customWidth="1"/>
    <col min="13570" max="13571" width="11.42578125" style="36"/>
    <col min="13572" max="13572" width="2.140625" style="36" customWidth="1"/>
    <col min="13573" max="13573" width="11.42578125" style="36"/>
    <col min="13574" max="13574" width="9.5703125" style="36" customWidth="1"/>
    <col min="13575" max="13820" width="11.42578125" style="36"/>
    <col min="13821" max="13821" width="0.140625" style="36" customWidth="1"/>
    <col min="13822" max="13822" width="2.7109375" style="36" customWidth="1"/>
    <col min="13823" max="13823" width="18.5703125" style="36" customWidth="1"/>
    <col min="13824" max="13824" width="1.28515625" style="36" customWidth="1"/>
    <col min="13825" max="13825" width="58.85546875" style="36" customWidth="1"/>
    <col min="13826" max="13827" width="11.42578125" style="36"/>
    <col min="13828" max="13828" width="2.140625" style="36" customWidth="1"/>
    <col min="13829" max="13829" width="11.42578125" style="36"/>
    <col min="13830" max="13830" width="9.5703125" style="36" customWidth="1"/>
    <col min="13831" max="14076" width="11.42578125" style="36"/>
    <col min="14077" max="14077" width="0.140625" style="36" customWidth="1"/>
    <col min="14078" max="14078" width="2.7109375" style="36" customWidth="1"/>
    <col min="14079" max="14079" width="18.5703125" style="36" customWidth="1"/>
    <col min="14080" max="14080" width="1.28515625" style="36" customWidth="1"/>
    <col min="14081" max="14081" width="58.85546875" style="36" customWidth="1"/>
    <col min="14082" max="14083" width="11.42578125" style="36"/>
    <col min="14084" max="14084" width="2.140625" style="36" customWidth="1"/>
    <col min="14085" max="14085" width="11.42578125" style="36"/>
    <col min="14086" max="14086" width="9.5703125" style="36" customWidth="1"/>
    <col min="14087" max="14332" width="11.42578125" style="36"/>
    <col min="14333" max="14333" width="0.140625" style="36" customWidth="1"/>
    <col min="14334" max="14334" width="2.7109375" style="36" customWidth="1"/>
    <col min="14335" max="14335" width="18.5703125" style="36" customWidth="1"/>
    <col min="14336" max="14336" width="1.28515625" style="36" customWidth="1"/>
    <col min="14337" max="14337" width="58.85546875" style="36" customWidth="1"/>
    <col min="14338" max="14339" width="11.42578125" style="36"/>
    <col min="14340" max="14340" width="2.140625" style="36" customWidth="1"/>
    <col min="14341" max="14341" width="11.42578125" style="36"/>
    <col min="14342" max="14342" width="9.5703125" style="36" customWidth="1"/>
    <col min="14343" max="14588" width="11.42578125" style="36"/>
    <col min="14589" max="14589" width="0.140625" style="36" customWidth="1"/>
    <col min="14590" max="14590" width="2.7109375" style="36" customWidth="1"/>
    <col min="14591" max="14591" width="18.5703125" style="36" customWidth="1"/>
    <col min="14592" max="14592" width="1.28515625" style="36" customWidth="1"/>
    <col min="14593" max="14593" width="58.85546875" style="36" customWidth="1"/>
    <col min="14594" max="14595" width="11.42578125" style="36"/>
    <col min="14596" max="14596" width="2.140625" style="36" customWidth="1"/>
    <col min="14597" max="14597" width="11.42578125" style="36"/>
    <col min="14598" max="14598" width="9.5703125" style="36" customWidth="1"/>
    <col min="14599" max="14844" width="11.42578125" style="36"/>
    <col min="14845" max="14845" width="0.140625" style="36" customWidth="1"/>
    <col min="14846" max="14846" width="2.7109375" style="36" customWidth="1"/>
    <col min="14847" max="14847" width="18.5703125" style="36" customWidth="1"/>
    <col min="14848" max="14848" width="1.28515625" style="36" customWidth="1"/>
    <col min="14849" max="14849" width="58.85546875" style="36" customWidth="1"/>
    <col min="14850" max="14851" width="11.42578125" style="36"/>
    <col min="14852" max="14852" width="2.140625" style="36" customWidth="1"/>
    <col min="14853" max="14853" width="11.42578125" style="36"/>
    <col min="14854" max="14854" width="9.5703125" style="36" customWidth="1"/>
    <col min="14855" max="15100" width="11.42578125" style="36"/>
    <col min="15101" max="15101" width="0.140625" style="36" customWidth="1"/>
    <col min="15102" max="15102" width="2.7109375" style="36" customWidth="1"/>
    <col min="15103" max="15103" width="18.5703125" style="36" customWidth="1"/>
    <col min="15104" max="15104" width="1.28515625" style="36" customWidth="1"/>
    <col min="15105" max="15105" width="58.85546875" style="36" customWidth="1"/>
    <col min="15106" max="15107" width="11.42578125" style="36"/>
    <col min="15108" max="15108" width="2.140625" style="36" customWidth="1"/>
    <col min="15109" max="15109" width="11.42578125" style="36"/>
    <col min="15110" max="15110" width="9.5703125" style="36" customWidth="1"/>
    <col min="15111" max="15356" width="11.42578125" style="36"/>
    <col min="15357" max="15357" width="0.140625" style="36" customWidth="1"/>
    <col min="15358" max="15358" width="2.7109375" style="36" customWidth="1"/>
    <col min="15359" max="15359" width="18.5703125" style="36" customWidth="1"/>
    <col min="15360" max="15360" width="1.28515625" style="36" customWidth="1"/>
    <col min="15361" max="15361" width="58.85546875" style="36" customWidth="1"/>
    <col min="15362" max="15363" width="11.42578125" style="36"/>
    <col min="15364" max="15364" width="2.140625" style="36" customWidth="1"/>
    <col min="15365" max="15365" width="11.42578125" style="36"/>
    <col min="15366" max="15366" width="9.5703125" style="36" customWidth="1"/>
    <col min="15367" max="15612" width="11.42578125" style="36"/>
    <col min="15613" max="15613" width="0.140625" style="36" customWidth="1"/>
    <col min="15614" max="15614" width="2.7109375" style="36" customWidth="1"/>
    <col min="15615" max="15615" width="18.5703125" style="36" customWidth="1"/>
    <col min="15616" max="15616" width="1.28515625" style="36" customWidth="1"/>
    <col min="15617" max="15617" width="58.85546875" style="36" customWidth="1"/>
    <col min="15618" max="15619" width="11.42578125" style="36"/>
    <col min="15620" max="15620" width="2.140625" style="36" customWidth="1"/>
    <col min="15621" max="15621" width="11.42578125" style="36"/>
    <col min="15622" max="15622" width="9.5703125" style="36" customWidth="1"/>
    <col min="15623" max="15868" width="11.42578125" style="36"/>
    <col min="15869" max="15869" width="0.140625" style="36" customWidth="1"/>
    <col min="15870" max="15870" width="2.7109375" style="36" customWidth="1"/>
    <col min="15871" max="15871" width="18.5703125" style="36" customWidth="1"/>
    <col min="15872" max="15872" width="1.28515625" style="36" customWidth="1"/>
    <col min="15873" max="15873" width="58.85546875" style="36" customWidth="1"/>
    <col min="15874" max="15875" width="11.42578125" style="36"/>
    <col min="15876" max="15876" width="2.140625" style="36" customWidth="1"/>
    <col min="15877" max="15877" width="11.42578125" style="36"/>
    <col min="15878" max="15878" width="9.5703125" style="36" customWidth="1"/>
    <col min="15879" max="16124" width="11.42578125" style="36"/>
    <col min="16125" max="16125" width="0.140625" style="36" customWidth="1"/>
    <col min="16126" max="16126" width="2.7109375" style="36" customWidth="1"/>
    <col min="16127" max="16127" width="18.5703125" style="36" customWidth="1"/>
    <col min="16128" max="16128" width="1.28515625" style="36" customWidth="1"/>
    <col min="16129" max="16129" width="58.85546875" style="36" customWidth="1"/>
    <col min="16130" max="16131" width="11.42578125" style="36"/>
    <col min="16132" max="16132" width="2.140625" style="36" customWidth="1"/>
    <col min="16133" max="16133" width="11.42578125" style="36"/>
    <col min="16134" max="16134" width="9.5703125" style="36" customWidth="1"/>
    <col min="16135" max="16384" width="11.42578125" style="36"/>
  </cols>
  <sheetData>
    <row r="1" spans="2:7" s="26" customFormat="1" ht="0.75" customHeight="1"/>
    <row r="2" spans="2:7" s="26" customFormat="1" ht="21" customHeight="1">
      <c r="E2" s="106" t="s">
        <v>1</v>
      </c>
    </row>
    <row r="3" spans="2:7" s="26" customFormat="1" ht="15" customHeight="1">
      <c r="E3" s="107" t="str">
        <f>Indice!E3</f>
        <v>Mayo 2019</v>
      </c>
    </row>
    <row r="4" spans="2:7" s="29" customFormat="1" ht="20.25" customHeight="1">
      <c r="B4" s="28"/>
      <c r="C4" s="105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</row>
    <row r="7" spans="2:7" s="29" customFormat="1" ht="12.75" customHeight="1">
      <c r="B7" s="28"/>
      <c r="C7" s="304" t="s">
        <v>58</v>
      </c>
      <c r="D7" s="32"/>
      <c r="E7" s="39"/>
    </row>
    <row r="8" spans="2:7" s="29" customFormat="1" ht="12.75" customHeight="1">
      <c r="B8" s="28"/>
      <c r="C8" s="304"/>
      <c r="D8" s="32"/>
      <c r="E8" s="39"/>
      <c r="F8" s="33"/>
    </row>
    <row r="9" spans="2:7" s="29" customFormat="1" ht="12.75" customHeight="1">
      <c r="B9" s="28"/>
      <c r="C9" s="138"/>
      <c r="D9" s="32"/>
      <c r="E9" s="39"/>
      <c r="F9" s="278"/>
      <c r="G9" s="279"/>
    </row>
    <row r="10" spans="2:7" s="29" customFormat="1" ht="12.75" customHeight="1">
      <c r="B10" s="28"/>
      <c r="C10" s="136"/>
      <c r="D10" s="32"/>
      <c r="E10" s="39"/>
      <c r="F10" s="33"/>
    </row>
    <row r="11" spans="2:7" s="29" customFormat="1" ht="12.75" customHeight="1">
      <c r="B11" s="28"/>
      <c r="C11" s="34"/>
      <c r="D11" s="32"/>
      <c r="E11" s="39"/>
      <c r="F11" s="33"/>
    </row>
    <row r="12" spans="2:7" s="29" customFormat="1" ht="12.75" customHeight="1">
      <c r="B12" s="28"/>
      <c r="D12" s="32"/>
      <c r="E12" s="32"/>
      <c r="F12" s="33"/>
    </row>
    <row r="13" spans="2:7" s="29" customFormat="1" ht="12.75" customHeight="1">
      <c r="B13" s="28"/>
      <c r="C13" s="35"/>
      <c r="D13" s="32"/>
      <c r="E13" s="32"/>
      <c r="F13" s="33"/>
    </row>
    <row r="14" spans="2:7" s="29" customFormat="1" ht="12.75" customHeight="1">
      <c r="B14" s="28"/>
      <c r="C14" s="35"/>
      <c r="D14" s="32"/>
      <c r="E14" s="32"/>
      <c r="F14" s="33"/>
    </row>
    <row r="15" spans="2:7" s="29" customFormat="1" ht="12.75" customHeight="1">
      <c r="B15" s="28"/>
      <c r="C15" s="35"/>
      <c r="D15" s="32"/>
      <c r="E15" s="32"/>
      <c r="F15" s="33"/>
    </row>
    <row r="16" spans="2:7" s="29" customFormat="1" ht="12.75" customHeight="1">
      <c r="B16" s="28"/>
      <c r="C16" s="35"/>
      <c r="D16" s="32"/>
      <c r="E16" s="32"/>
      <c r="F16" s="33"/>
    </row>
    <row r="17" spans="2:6" s="29" customFormat="1" ht="12.75" customHeight="1">
      <c r="B17" s="28"/>
      <c r="D17" s="32"/>
      <c r="E17" s="32"/>
      <c r="F17" s="33"/>
    </row>
    <row r="18" spans="2:6" s="29" customFormat="1" ht="12.75" customHeight="1">
      <c r="B18" s="28"/>
      <c r="D18" s="32"/>
      <c r="E18" s="32"/>
      <c r="F18" s="33"/>
    </row>
    <row r="19" spans="2:6" s="29" customFormat="1" ht="12.75" customHeight="1">
      <c r="B19" s="28"/>
      <c r="C19" s="35"/>
      <c r="D19" s="32"/>
      <c r="E19" s="32"/>
      <c r="F19" s="33"/>
    </row>
    <row r="20" spans="2:6" s="29" customFormat="1" ht="12.75" customHeight="1">
      <c r="B20" s="28"/>
      <c r="C20" s="31"/>
      <c r="D20" s="32"/>
      <c r="E20" s="32"/>
      <c r="F20" s="33"/>
    </row>
    <row r="21" spans="2:6" s="29" customFormat="1" ht="12.75" customHeight="1">
      <c r="B21" s="28"/>
      <c r="C21" s="31"/>
      <c r="D21" s="32"/>
      <c r="E21" s="32"/>
      <c r="F21" s="33"/>
    </row>
    <row r="22" spans="2:6" s="29" customFormat="1" ht="12.75" customHeight="1">
      <c r="B22" s="28"/>
      <c r="C22" s="31"/>
      <c r="D22" s="32"/>
      <c r="E22" s="32"/>
    </row>
    <row r="23" spans="2:6" ht="12.75" customHeight="1">
      <c r="C23" s="304" t="s">
        <v>60</v>
      </c>
      <c r="E23" s="41"/>
    </row>
    <row r="24" spans="2:6" ht="12.75" customHeight="1">
      <c r="C24" s="304"/>
      <c r="E24" s="37"/>
    </row>
    <row r="25" spans="2:6" ht="12.75" customHeight="1">
      <c r="C25" s="304"/>
      <c r="E25" s="38"/>
    </row>
    <row r="26" spans="2:6" ht="12.75" customHeight="1">
      <c r="C26" s="136"/>
    </row>
    <row r="27" spans="2:6">
      <c r="C27" s="136"/>
    </row>
    <row r="28" spans="2:6">
      <c r="C28" s="40"/>
      <c r="F28" s="33"/>
    </row>
    <row r="29" spans="2:6">
      <c r="C29" s="40"/>
      <c r="F29" s="33"/>
    </row>
    <row r="30" spans="2:6">
      <c r="C30" s="34"/>
      <c r="F30" s="33"/>
    </row>
    <row r="31" spans="2:6">
      <c r="F31" s="33"/>
    </row>
    <row r="32" spans="2:6" ht="12.75" customHeight="1">
      <c r="F32" s="33"/>
    </row>
    <row r="33" spans="5:8">
      <c r="F33" s="33"/>
    </row>
    <row r="34" spans="5:8">
      <c r="F34" s="33"/>
    </row>
    <row r="35" spans="5:8">
      <c r="F35" s="33"/>
    </row>
    <row r="36" spans="5:8">
      <c r="F36" s="33"/>
    </row>
    <row r="37" spans="5:8">
      <c r="F37" s="33"/>
    </row>
    <row r="38" spans="5:8">
      <c r="F38" s="33"/>
    </row>
    <row r="39" spans="5:8">
      <c r="E39" s="41"/>
      <c r="F39" s="33"/>
    </row>
    <row r="40" spans="5:8">
      <c r="F40" s="33"/>
      <c r="H40" s="108"/>
    </row>
  </sheetData>
  <mergeCells count="2">
    <mergeCell ref="C7:C8"/>
    <mergeCell ref="C23:C25"/>
  </mergeCells>
  <printOptions horizontalCentered="1" verticalCentered="1"/>
  <pageMargins left="0.78740157480314965" right="0.78740157480314965" top="0.98425196850393704" bottom="0.98425196850393704" header="0" footer="0"/>
  <pageSetup paperSize="9" scale="94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4">
    <pageSetUpPr fitToPage="1"/>
  </sheetPr>
  <dimension ref="A1:G30"/>
  <sheetViews>
    <sheetView showGridLines="0" showRowColHeaders="0" zoomScaleNormal="100" workbookViewId="0">
      <selection activeCell="G24" sqref="G24"/>
    </sheetView>
  </sheetViews>
  <sheetFormatPr baseColWidth="10" defaultRowHeight="12.75"/>
  <cols>
    <col min="1" max="1" width="0.140625" style="26" customWidth="1"/>
    <col min="2" max="2" width="2.7109375" style="26" customWidth="1"/>
    <col min="3" max="3" width="23.7109375" style="26" customWidth="1"/>
    <col min="4" max="4" width="1.28515625" style="26" customWidth="1"/>
    <col min="5" max="5" width="58.85546875" style="26" customWidth="1"/>
    <col min="6" max="6" width="1.28515625" style="26" customWidth="1"/>
    <col min="7" max="7" width="58.85546875" style="36" customWidth="1"/>
    <col min="8" max="8" width="11.42578125" style="36"/>
    <col min="9" max="9" width="15.5703125" style="36" customWidth="1"/>
    <col min="10" max="255" width="11.42578125" style="36"/>
    <col min="256" max="256" width="0.140625" style="36" customWidth="1"/>
    <col min="257" max="257" width="2.7109375" style="36" customWidth="1"/>
    <col min="258" max="258" width="18.5703125" style="36" customWidth="1"/>
    <col min="259" max="259" width="1.28515625" style="36" customWidth="1"/>
    <col min="260" max="260" width="58.85546875" style="36" customWidth="1"/>
    <col min="261" max="262" width="11.42578125" style="36"/>
    <col min="263" max="263" width="2.140625" style="36" customWidth="1"/>
    <col min="264" max="264" width="11.42578125" style="36"/>
    <col min="265" max="265" width="9.5703125" style="36" customWidth="1"/>
    <col min="266" max="511" width="11.42578125" style="36"/>
    <col min="512" max="512" width="0.140625" style="36" customWidth="1"/>
    <col min="513" max="513" width="2.7109375" style="36" customWidth="1"/>
    <col min="514" max="514" width="18.5703125" style="36" customWidth="1"/>
    <col min="515" max="515" width="1.28515625" style="36" customWidth="1"/>
    <col min="516" max="516" width="58.85546875" style="36" customWidth="1"/>
    <col min="517" max="518" width="11.42578125" style="36"/>
    <col min="519" max="519" width="2.140625" style="36" customWidth="1"/>
    <col min="520" max="520" width="11.42578125" style="36"/>
    <col min="521" max="521" width="9.5703125" style="36" customWidth="1"/>
    <col min="522" max="767" width="11.42578125" style="36"/>
    <col min="768" max="768" width="0.140625" style="36" customWidth="1"/>
    <col min="769" max="769" width="2.7109375" style="36" customWidth="1"/>
    <col min="770" max="770" width="18.5703125" style="36" customWidth="1"/>
    <col min="771" max="771" width="1.28515625" style="36" customWidth="1"/>
    <col min="772" max="772" width="58.85546875" style="36" customWidth="1"/>
    <col min="773" max="774" width="11.42578125" style="36"/>
    <col min="775" max="775" width="2.140625" style="36" customWidth="1"/>
    <col min="776" max="776" width="11.42578125" style="36"/>
    <col min="777" max="777" width="9.5703125" style="36" customWidth="1"/>
    <col min="778" max="1023" width="11.42578125" style="36"/>
    <col min="1024" max="1024" width="0.140625" style="36" customWidth="1"/>
    <col min="1025" max="1025" width="2.7109375" style="36" customWidth="1"/>
    <col min="1026" max="1026" width="18.5703125" style="36" customWidth="1"/>
    <col min="1027" max="1027" width="1.28515625" style="36" customWidth="1"/>
    <col min="1028" max="1028" width="58.85546875" style="36" customWidth="1"/>
    <col min="1029" max="1030" width="11.42578125" style="36"/>
    <col min="1031" max="1031" width="2.140625" style="36" customWidth="1"/>
    <col min="1032" max="1032" width="11.42578125" style="36"/>
    <col min="1033" max="1033" width="9.5703125" style="36" customWidth="1"/>
    <col min="1034" max="1279" width="11.42578125" style="36"/>
    <col min="1280" max="1280" width="0.140625" style="36" customWidth="1"/>
    <col min="1281" max="1281" width="2.7109375" style="36" customWidth="1"/>
    <col min="1282" max="1282" width="18.5703125" style="36" customWidth="1"/>
    <col min="1283" max="1283" width="1.28515625" style="36" customWidth="1"/>
    <col min="1284" max="1284" width="58.85546875" style="36" customWidth="1"/>
    <col min="1285" max="1286" width="11.42578125" style="36"/>
    <col min="1287" max="1287" width="2.140625" style="36" customWidth="1"/>
    <col min="1288" max="1288" width="11.42578125" style="36"/>
    <col min="1289" max="1289" width="9.5703125" style="36" customWidth="1"/>
    <col min="1290" max="1535" width="11.42578125" style="36"/>
    <col min="1536" max="1536" width="0.140625" style="36" customWidth="1"/>
    <col min="1537" max="1537" width="2.7109375" style="36" customWidth="1"/>
    <col min="1538" max="1538" width="18.5703125" style="36" customWidth="1"/>
    <col min="1539" max="1539" width="1.28515625" style="36" customWidth="1"/>
    <col min="1540" max="1540" width="58.85546875" style="36" customWidth="1"/>
    <col min="1541" max="1542" width="11.42578125" style="36"/>
    <col min="1543" max="1543" width="2.140625" style="36" customWidth="1"/>
    <col min="1544" max="1544" width="11.42578125" style="36"/>
    <col min="1545" max="1545" width="9.5703125" style="36" customWidth="1"/>
    <col min="1546" max="1791" width="11.42578125" style="36"/>
    <col min="1792" max="1792" width="0.140625" style="36" customWidth="1"/>
    <col min="1793" max="1793" width="2.7109375" style="36" customWidth="1"/>
    <col min="1794" max="1794" width="18.5703125" style="36" customWidth="1"/>
    <col min="1795" max="1795" width="1.28515625" style="36" customWidth="1"/>
    <col min="1796" max="1796" width="58.85546875" style="36" customWidth="1"/>
    <col min="1797" max="1798" width="11.42578125" style="36"/>
    <col min="1799" max="1799" width="2.140625" style="36" customWidth="1"/>
    <col min="1800" max="1800" width="11.42578125" style="36"/>
    <col min="1801" max="1801" width="9.5703125" style="36" customWidth="1"/>
    <col min="1802" max="2047" width="11.42578125" style="36"/>
    <col min="2048" max="2048" width="0.140625" style="36" customWidth="1"/>
    <col min="2049" max="2049" width="2.7109375" style="36" customWidth="1"/>
    <col min="2050" max="2050" width="18.5703125" style="36" customWidth="1"/>
    <col min="2051" max="2051" width="1.28515625" style="36" customWidth="1"/>
    <col min="2052" max="2052" width="58.85546875" style="36" customWidth="1"/>
    <col min="2053" max="2054" width="11.42578125" style="36"/>
    <col min="2055" max="2055" width="2.140625" style="36" customWidth="1"/>
    <col min="2056" max="2056" width="11.42578125" style="36"/>
    <col min="2057" max="2057" width="9.5703125" style="36" customWidth="1"/>
    <col min="2058" max="2303" width="11.42578125" style="36"/>
    <col min="2304" max="2304" width="0.140625" style="36" customWidth="1"/>
    <col min="2305" max="2305" width="2.7109375" style="36" customWidth="1"/>
    <col min="2306" max="2306" width="18.5703125" style="36" customWidth="1"/>
    <col min="2307" max="2307" width="1.28515625" style="36" customWidth="1"/>
    <col min="2308" max="2308" width="58.85546875" style="36" customWidth="1"/>
    <col min="2309" max="2310" width="11.42578125" style="36"/>
    <col min="2311" max="2311" width="2.140625" style="36" customWidth="1"/>
    <col min="2312" max="2312" width="11.42578125" style="36"/>
    <col min="2313" max="2313" width="9.5703125" style="36" customWidth="1"/>
    <col min="2314" max="2559" width="11.42578125" style="36"/>
    <col min="2560" max="2560" width="0.140625" style="36" customWidth="1"/>
    <col min="2561" max="2561" width="2.7109375" style="36" customWidth="1"/>
    <col min="2562" max="2562" width="18.5703125" style="36" customWidth="1"/>
    <col min="2563" max="2563" width="1.28515625" style="36" customWidth="1"/>
    <col min="2564" max="2564" width="58.85546875" style="36" customWidth="1"/>
    <col min="2565" max="2566" width="11.42578125" style="36"/>
    <col min="2567" max="2567" width="2.140625" style="36" customWidth="1"/>
    <col min="2568" max="2568" width="11.42578125" style="36"/>
    <col min="2569" max="2569" width="9.5703125" style="36" customWidth="1"/>
    <col min="2570" max="2815" width="11.42578125" style="36"/>
    <col min="2816" max="2816" width="0.140625" style="36" customWidth="1"/>
    <col min="2817" max="2817" width="2.7109375" style="36" customWidth="1"/>
    <col min="2818" max="2818" width="18.5703125" style="36" customWidth="1"/>
    <col min="2819" max="2819" width="1.28515625" style="36" customWidth="1"/>
    <col min="2820" max="2820" width="58.85546875" style="36" customWidth="1"/>
    <col min="2821" max="2822" width="11.42578125" style="36"/>
    <col min="2823" max="2823" width="2.140625" style="36" customWidth="1"/>
    <col min="2824" max="2824" width="11.42578125" style="36"/>
    <col min="2825" max="2825" width="9.5703125" style="36" customWidth="1"/>
    <col min="2826" max="3071" width="11.42578125" style="36"/>
    <col min="3072" max="3072" width="0.140625" style="36" customWidth="1"/>
    <col min="3073" max="3073" width="2.7109375" style="36" customWidth="1"/>
    <col min="3074" max="3074" width="18.5703125" style="36" customWidth="1"/>
    <col min="3075" max="3075" width="1.28515625" style="36" customWidth="1"/>
    <col min="3076" max="3076" width="58.85546875" style="36" customWidth="1"/>
    <col min="3077" max="3078" width="11.42578125" style="36"/>
    <col min="3079" max="3079" width="2.140625" style="36" customWidth="1"/>
    <col min="3080" max="3080" width="11.42578125" style="36"/>
    <col min="3081" max="3081" width="9.5703125" style="36" customWidth="1"/>
    <col min="3082" max="3327" width="11.42578125" style="36"/>
    <col min="3328" max="3328" width="0.140625" style="36" customWidth="1"/>
    <col min="3329" max="3329" width="2.7109375" style="36" customWidth="1"/>
    <col min="3330" max="3330" width="18.5703125" style="36" customWidth="1"/>
    <col min="3331" max="3331" width="1.28515625" style="36" customWidth="1"/>
    <col min="3332" max="3332" width="58.85546875" style="36" customWidth="1"/>
    <col min="3333" max="3334" width="11.42578125" style="36"/>
    <col min="3335" max="3335" width="2.140625" style="36" customWidth="1"/>
    <col min="3336" max="3336" width="11.42578125" style="36"/>
    <col min="3337" max="3337" width="9.5703125" style="36" customWidth="1"/>
    <col min="3338" max="3583" width="11.42578125" style="36"/>
    <col min="3584" max="3584" width="0.140625" style="36" customWidth="1"/>
    <col min="3585" max="3585" width="2.7109375" style="36" customWidth="1"/>
    <col min="3586" max="3586" width="18.5703125" style="36" customWidth="1"/>
    <col min="3587" max="3587" width="1.28515625" style="36" customWidth="1"/>
    <col min="3588" max="3588" width="58.85546875" style="36" customWidth="1"/>
    <col min="3589" max="3590" width="11.42578125" style="36"/>
    <col min="3591" max="3591" width="2.140625" style="36" customWidth="1"/>
    <col min="3592" max="3592" width="11.42578125" style="36"/>
    <col min="3593" max="3593" width="9.5703125" style="36" customWidth="1"/>
    <col min="3594" max="3839" width="11.42578125" style="36"/>
    <col min="3840" max="3840" width="0.140625" style="36" customWidth="1"/>
    <col min="3841" max="3841" width="2.7109375" style="36" customWidth="1"/>
    <col min="3842" max="3842" width="18.5703125" style="36" customWidth="1"/>
    <col min="3843" max="3843" width="1.28515625" style="36" customWidth="1"/>
    <col min="3844" max="3844" width="58.85546875" style="36" customWidth="1"/>
    <col min="3845" max="3846" width="11.42578125" style="36"/>
    <col min="3847" max="3847" width="2.140625" style="36" customWidth="1"/>
    <col min="3848" max="3848" width="11.42578125" style="36"/>
    <col min="3849" max="3849" width="9.5703125" style="36" customWidth="1"/>
    <col min="3850" max="4095" width="11.42578125" style="36"/>
    <col min="4096" max="4096" width="0.140625" style="36" customWidth="1"/>
    <col min="4097" max="4097" width="2.7109375" style="36" customWidth="1"/>
    <col min="4098" max="4098" width="18.5703125" style="36" customWidth="1"/>
    <col min="4099" max="4099" width="1.28515625" style="36" customWidth="1"/>
    <col min="4100" max="4100" width="58.85546875" style="36" customWidth="1"/>
    <col min="4101" max="4102" width="11.42578125" style="36"/>
    <col min="4103" max="4103" width="2.140625" style="36" customWidth="1"/>
    <col min="4104" max="4104" width="11.42578125" style="36"/>
    <col min="4105" max="4105" width="9.5703125" style="36" customWidth="1"/>
    <col min="4106" max="4351" width="11.42578125" style="36"/>
    <col min="4352" max="4352" width="0.140625" style="36" customWidth="1"/>
    <col min="4353" max="4353" width="2.7109375" style="36" customWidth="1"/>
    <col min="4354" max="4354" width="18.5703125" style="36" customWidth="1"/>
    <col min="4355" max="4355" width="1.28515625" style="36" customWidth="1"/>
    <col min="4356" max="4356" width="58.85546875" style="36" customWidth="1"/>
    <col min="4357" max="4358" width="11.42578125" style="36"/>
    <col min="4359" max="4359" width="2.140625" style="36" customWidth="1"/>
    <col min="4360" max="4360" width="11.42578125" style="36"/>
    <col min="4361" max="4361" width="9.5703125" style="36" customWidth="1"/>
    <col min="4362" max="4607" width="11.42578125" style="36"/>
    <col min="4608" max="4608" width="0.140625" style="36" customWidth="1"/>
    <col min="4609" max="4609" width="2.7109375" style="36" customWidth="1"/>
    <col min="4610" max="4610" width="18.5703125" style="36" customWidth="1"/>
    <col min="4611" max="4611" width="1.28515625" style="36" customWidth="1"/>
    <col min="4612" max="4612" width="58.85546875" style="36" customWidth="1"/>
    <col min="4613" max="4614" width="11.42578125" style="36"/>
    <col min="4615" max="4615" width="2.140625" style="36" customWidth="1"/>
    <col min="4616" max="4616" width="11.42578125" style="36"/>
    <col min="4617" max="4617" width="9.5703125" style="36" customWidth="1"/>
    <col min="4618" max="4863" width="11.42578125" style="36"/>
    <col min="4864" max="4864" width="0.140625" style="36" customWidth="1"/>
    <col min="4865" max="4865" width="2.7109375" style="36" customWidth="1"/>
    <col min="4866" max="4866" width="18.5703125" style="36" customWidth="1"/>
    <col min="4867" max="4867" width="1.28515625" style="36" customWidth="1"/>
    <col min="4868" max="4868" width="58.85546875" style="36" customWidth="1"/>
    <col min="4869" max="4870" width="11.42578125" style="36"/>
    <col min="4871" max="4871" width="2.140625" style="36" customWidth="1"/>
    <col min="4872" max="4872" width="11.42578125" style="36"/>
    <col min="4873" max="4873" width="9.5703125" style="36" customWidth="1"/>
    <col min="4874" max="5119" width="11.42578125" style="36"/>
    <col min="5120" max="5120" width="0.140625" style="36" customWidth="1"/>
    <col min="5121" max="5121" width="2.7109375" style="36" customWidth="1"/>
    <col min="5122" max="5122" width="18.5703125" style="36" customWidth="1"/>
    <col min="5123" max="5123" width="1.28515625" style="36" customWidth="1"/>
    <col min="5124" max="5124" width="58.85546875" style="36" customWidth="1"/>
    <col min="5125" max="5126" width="11.42578125" style="36"/>
    <col min="5127" max="5127" width="2.140625" style="36" customWidth="1"/>
    <col min="5128" max="5128" width="11.42578125" style="36"/>
    <col min="5129" max="5129" width="9.5703125" style="36" customWidth="1"/>
    <col min="5130" max="5375" width="11.42578125" style="36"/>
    <col min="5376" max="5376" width="0.140625" style="36" customWidth="1"/>
    <col min="5377" max="5377" width="2.7109375" style="36" customWidth="1"/>
    <col min="5378" max="5378" width="18.5703125" style="36" customWidth="1"/>
    <col min="5379" max="5379" width="1.28515625" style="36" customWidth="1"/>
    <col min="5380" max="5380" width="58.85546875" style="36" customWidth="1"/>
    <col min="5381" max="5382" width="11.42578125" style="36"/>
    <col min="5383" max="5383" width="2.140625" style="36" customWidth="1"/>
    <col min="5384" max="5384" width="11.42578125" style="36"/>
    <col min="5385" max="5385" width="9.5703125" style="36" customWidth="1"/>
    <col min="5386" max="5631" width="11.42578125" style="36"/>
    <col min="5632" max="5632" width="0.140625" style="36" customWidth="1"/>
    <col min="5633" max="5633" width="2.7109375" style="36" customWidth="1"/>
    <col min="5634" max="5634" width="18.5703125" style="36" customWidth="1"/>
    <col min="5635" max="5635" width="1.28515625" style="36" customWidth="1"/>
    <col min="5636" max="5636" width="58.85546875" style="36" customWidth="1"/>
    <col min="5637" max="5638" width="11.42578125" style="36"/>
    <col min="5639" max="5639" width="2.140625" style="36" customWidth="1"/>
    <col min="5640" max="5640" width="11.42578125" style="36"/>
    <col min="5641" max="5641" width="9.5703125" style="36" customWidth="1"/>
    <col min="5642" max="5887" width="11.42578125" style="36"/>
    <col min="5888" max="5888" width="0.140625" style="36" customWidth="1"/>
    <col min="5889" max="5889" width="2.7109375" style="36" customWidth="1"/>
    <col min="5890" max="5890" width="18.5703125" style="36" customWidth="1"/>
    <col min="5891" max="5891" width="1.28515625" style="36" customWidth="1"/>
    <col min="5892" max="5892" width="58.85546875" style="36" customWidth="1"/>
    <col min="5893" max="5894" width="11.42578125" style="36"/>
    <col min="5895" max="5895" width="2.140625" style="36" customWidth="1"/>
    <col min="5896" max="5896" width="11.42578125" style="36"/>
    <col min="5897" max="5897" width="9.5703125" style="36" customWidth="1"/>
    <col min="5898" max="6143" width="11.42578125" style="36"/>
    <col min="6144" max="6144" width="0.140625" style="36" customWidth="1"/>
    <col min="6145" max="6145" width="2.7109375" style="36" customWidth="1"/>
    <col min="6146" max="6146" width="18.5703125" style="36" customWidth="1"/>
    <col min="6147" max="6147" width="1.28515625" style="36" customWidth="1"/>
    <col min="6148" max="6148" width="58.85546875" style="36" customWidth="1"/>
    <col min="6149" max="6150" width="11.42578125" style="36"/>
    <col min="6151" max="6151" width="2.140625" style="36" customWidth="1"/>
    <col min="6152" max="6152" width="11.42578125" style="36"/>
    <col min="6153" max="6153" width="9.5703125" style="36" customWidth="1"/>
    <col min="6154" max="6399" width="11.42578125" style="36"/>
    <col min="6400" max="6400" width="0.140625" style="36" customWidth="1"/>
    <col min="6401" max="6401" width="2.7109375" style="36" customWidth="1"/>
    <col min="6402" max="6402" width="18.5703125" style="36" customWidth="1"/>
    <col min="6403" max="6403" width="1.28515625" style="36" customWidth="1"/>
    <col min="6404" max="6404" width="58.85546875" style="36" customWidth="1"/>
    <col min="6405" max="6406" width="11.42578125" style="36"/>
    <col min="6407" max="6407" width="2.140625" style="36" customWidth="1"/>
    <col min="6408" max="6408" width="11.42578125" style="36"/>
    <col min="6409" max="6409" width="9.5703125" style="36" customWidth="1"/>
    <col min="6410" max="6655" width="11.42578125" style="36"/>
    <col min="6656" max="6656" width="0.140625" style="36" customWidth="1"/>
    <col min="6657" max="6657" width="2.7109375" style="36" customWidth="1"/>
    <col min="6658" max="6658" width="18.5703125" style="36" customWidth="1"/>
    <col min="6659" max="6659" width="1.28515625" style="36" customWidth="1"/>
    <col min="6660" max="6660" width="58.85546875" style="36" customWidth="1"/>
    <col min="6661" max="6662" width="11.42578125" style="36"/>
    <col min="6663" max="6663" width="2.140625" style="36" customWidth="1"/>
    <col min="6664" max="6664" width="11.42578125" style="36"/>
    <col min="6665" max="6665" width="9.5703125" style="36" customWidth="1"/>
    <col min="6666" max="6911" width="11.42578125" style="36"/>
    <col min="6912" max="6912" width="0.140625" style="36" customWidth="1"/>
    <col min="6913" max="6913" width="2.7109375" style="36" customWidth="1"/>
    <col min="6914" max="6914" width="18.5703125" style="36" customWidth="1"/>
    <col min="6915" max="6915" width="1.28515625" style="36" customWidth="1"/>
    <col min="6916" max="6916" width="58.85546875" style="36" customWidth="1"/>
    <col min="6917" max="6918" width="11.42578125" style="36"/>
    <col min="6919" max="6919" width="2.140625" style="36" customWidth="1"/>
    <col min="6920" max="6920" width="11.42578125" style="36"/>
    <col min="6921" max="6921" width="9.5703125" style="36" customWidth="1"/>
    <col min="6922" max="7167" width="11.42578125" style="36"/>
    <col min="7168" max="7168" width="0.140625" style="36" customWidth="1"/>
    <col min="7169" max="7169" width="2.7109375" style="36" customWidth="1"/>
    <col min="7170" max="7170" width="18.5703125" style="36" customWidth="1"/>
    <col min="7171" max="7171" width="1.28515625" style="36" customWidth="1"/>
    <col min="7172" max="7172" width="58.85546875" style="36" customWidth="1"/>
    <col min="7173" max="7174" width="11.42578125" style="36"/>
    <col min="7175" max="7175" width="2.140625" style="36" customWidth="1"/>
    <col min="7176" max="7176" width="11.42578125" style="36"/>
    <col min="7177" max="7177" width="9.5703125" style="36" customWidth="1"/>
    <col min="7178" max="7423" width="11.42578125" style="36"/>
    <col min="7424" max="7424" width="0.140625" style="36" customWidth="1"/>
    <col min="7425" max="7425" width="2.7109375" style="36" customWidth="1"/>
    <col min="7426" max="7426" width="18.5703125" style="36" customWidth="1"/>
    <col min="7427" max="7427" width="1.28515625" style="36" customWidth="1"/>
    <col min="7428" max="7428" width="58.85546875" style="36" customWidth="1"/>
    <col min="7429" max="7430" width="11.42578125" style="36"/>
    <col min="7431" max="7431" width="2.140625" style="36" customWidth="1"/>
    <col min="7432" max="7432" width="11.42578125" style="36"/>
    <col min="7433" max="7433" width="9.5703125" style="36" customWidth="1"/>
    <col min="7434" max="7679" width="11.42578125" style="36"/>
    <col min="7680" max="7680" width="0.140625" style="36" customWidth="1"/>
    <col min="7681" max="7681" width="2.7109375" style="36" customWidth="1"/>
    <col min="7682" max="7682" width="18.5703125" style="36" customWidth="1"/>
    <col min="7683" max="7683" width="1.28515625" style="36" customWidth="1"/>
    <col min="7684" max="7684" width="58.85546875" style="36" customWidth="1"/>
    <col min="7685" max="7686" width="11.42578125" style="36"/>
    <col min="7687" max="7687" width="2.140625" style="36" customWidth="1"/>
    <col min="7688" max="7688" width="11.42578125" style="36"/>
    <col min="7689" max="7689" width="9.5703125" style="36" customWidth="1"/>
    <col min="7690" max="7935" width="11.42578125" style="36"/>
    <col min="7936" max="7936" width="0.140625" style="36" customWidth="1"/>
    <col min="7937" max="7937" width="2.7109375" style="36" customWidth="1"/>
    <col min="7938" max="7938" width="18.5703125" style="36" customWidth="1"/>
    <col min="7939" max="7939" width="1.28515625" style="36" customWidth="1"/>
    <col min="7940" max="7940" width="58.85546875" style="36" customWidth="1"/>
    <col min="7941" max="7942" width="11.42578125" style="36"/>
    <col min="7943" max="7943" width="2.140625" style="36" customWidth="1"/>
    <col min="7944" max="7944" width="11.42578125" style="36"/>
    <col min="7945" max="7945" width="9.5703125" style="36" customWidth="1"/>
    <col min="7946" max="8191" width="11.42578125" style="36"/>
    <col min="8192" max="8192" width="0.140625" style="36" customWidth="1"/>
    <col min="8193" max="8193" width="2.7109375" style="36" customWidth="1"/>
    <col min="8194" max="8194" width="18.5703125" style="36" customWidth="1"/>
    <col min="8195" max="8195" width="1.28515625" style="36" customWidth="1"/>
    <col min="8196" max="8196" width="58.85546875" style="36" customWidth="1"/>
    <col min="8197" max="8198" width="11.42578125" style="36"/>
    <col min="8199" max="8199" width="2.140625" style="36" customWidth="1"/>
    <col min="8200" max="8200" width="11.42578125" style="36"/>
    <col min="8201" max="8201" width="9.5703125" style="36" customWidth="1"/>
    <col min="8202" max="8447" width="11.42578125" style="36"/>
    <col min="8448" max="8448" width="0.140625" style="36" customWidth="1"/>
    <col min="8449" max="8449" width="2.7109375" style="36" customWidth="1"/>
    <col min="8450" max="8450" width="18.5703125" style="36" customWidth="1"/>
    <col min="8451" max="8451" width="1.28515625" style="36" customWidth="1"/>
    <col min="8452" max="8452" width="58.85546875" style="36" customWidth="1"/>
    <col min="8453" max="8454" width="11.42578125" style="36"/>
    <col min="8455" max="8455" width="2.140625" style="36" customWidth="1"/>
    <col min="8456" max="8456" width="11.42578125" style="36"/>
    <col min="8457" max="8457" width="9.5703125" style="36" customWidth="1"/>
    <col min="8458" max="8703" width="11.42578125" style="36"/>
    <col min="8704" max="8704" width="0.140625" style="36" customWidth="1"/>
    <col min="8705" max="8705" width="2.7109375" style="36" customWidth="1"/>
    <col min="8706" max="8706" width="18.5703125" style="36" customWidth="1"/>
    <col min="8707" max="8707" width="1.28515625" style="36" customWidth="1"/>
    <col min="8708" max="8708" width="58.85546875" style="36" customWidth="1"/>
    <col min="8709" max="8710" width="11.42578125" style="36"/>
    <col min="8711" max="8711" width="2.140625" style="36" customWidth="1"/>
    <col min="8712" max="8712" width="11.42578125" style="36"/>
    <col min="8713" max="8713" width="9.5703125" style="36" customWidth="1"/>
    <col min="8714" max="8959" width="11.42578125" style="36"/>
    <col min="8960" max="8960" width="0.140625" style="36" customWidth="1"/>
    <col min="8961" max="8961" width="2.7109375" style="36" customWidth="1"/>
    <col min="8962" max="8962" width="18.5703125" style="36" customWidth="1"/>
    <col min="8963" max="8963" width="1.28515625" style="36" customWidth="1"/>
    <col min="8964" max="8964" width="58.85546875" style="36" customWidth="1"/>
    <col min="8965" max="8966" width="11.42578125" style="36"/>
    <col min="8967" max="8967" width="2.140625" style="36" customWidth="1"/>
    <col min="8968" max="8968" width="11.42578125" style="36"/>
    <col min="8969" max="8969" width="9.5703125" style="36" customWidth="1"/>
    <col min="8970" max="9215" width="11.42578125" style="36"/>
    <col min="9216" max="9216" width="0.140625" style="36" customWidth="1"/>
    <col min="9217" max="9217" width="2.7109375" style="36" customWidth="1"/>
    <col min="9218" max="9218" width="18.5703125" style="36" customWidth="1"/>
    <col min="9219" max="9219" width="1.28515625" style="36" customWidth="1"/>
    <col min="9220" max="9220" width="58.85546875" style="36" customWidth="1"/>
    <col min="9221" max="9222" width="11.42578125" style="36"/>
    <col min="9223" max="9223" width="2.140625" style="36" customWidth="1"/>
    <col min="9224" max="9224" width="11.42578125" style="36"/>
    <col min="9225" max="9225" width="9.5703125" style="36" customWidth="1"/>
    <col min="9226" max="9471" width="11.42578125" style="36"/>
    <col min="9472" max="9472" width="0.140625" style="36" customWidth="1"/>
    <col min="9473" max="9473" width="2.7109375" style="36" customWidth="1"/>
    <col min="9474" max="9474" width="18.5703125" style="36" customWidth="1"/>
    <col min="9475" max="9475" width="1.28515625" style="36" customWidth="1"/>
    <col min="9476" max="9476" width="58.85546875" style="36" customWidth="1"/>
    <col min="9477" max="9478" width="11.42578125" style="36"/>
    <col min="9479" max="9479" width="2.140625" style="36" customWidth="1"/>
    <col min="9480" max="9480" width="11.42578125" style="36"/>
    <col min="9481" max="9481" width="9.5703125" style="36" customWidth="1"/>
    <col min="9482" max="9727" width="11.42578125" style="36"/>
    <col min="9728" max="9728" width="0.140625" style="36" customWidth="1"/>
    <col min="9729" max="9729" width="2.7109375" style="36" customWidth="1"/>
    <col min="9730" max="9730" width="18.5703125" style="36" customWidth="1"/>
    <col min="9731" max="9731" width="1.28515625" style="36" customWidth="1"/>
    <col min="9732" max="9732" width="58.85546875" style="36" customWidth="1"/>
    <col min="9733" max="9734" width="11.42578125" style="36"/>
    <col min="9735" max="9735" width="2.140625" style="36" customWidth="1"/>
    <col min="9736" max="9736" width="11.42578125" style="36"/>
    <col min="9737" max="9737" width="9.5703125" style="36" customWidth="1"/>
    <col min="9738" max="9983" width="11.42578125" style="36"/>
    <col min="9984" max="9984" width="0.140625" style="36" customWidth="1"/>
    <col min="9985" max="9985" width="2.7109375" style="36" customWidth="1"/>
    <col min="9986" max="9986" width="18.5703125" style="36" customWidth="1"/>
    <col min="9987" max="9987" width="1.28515625" style="36" customWidth="1"/>
    <col min="9988" max="9988" width="58.85546875" style="36" customWidth="1"/>
    <col min="9989" max="9990" width="11.42578125" style="36"/>
    <col min="9991" max="9991" width="2.140625" style="36" customWidth="1"/>
    <col min="9992" max="9992" width="11.42578125" style="36"/>
    <col min="9993" max="9993" width="9.5703125" style="36" customWidth="1"/>
    <col min="9994" max="10239" width="11.42578125" style="36"/>
    <col min="10240" max="10240" width="0.140625" style="36" customWidth="1"/>
    <col min="10241" max="10241" width="2.7109375" style="36" customWidth="1"/>
    <col min="10242" max="10242" width="18.5703125" style="36" customWidth="1"/>
    <col min="10243" max="10243" width="1.28515625" style="36" customWidth="1"/>
    <col min="10244" max="10244" width="58.85546875" style="36" customWidth="1"/>
    <col min="10245" max="10246" width="11.42578125" style="36"/>
    <col min="10247" max="10247" width="2.140625" style="36" customWidth="1"/>
    <col min="10248" max="10248" width="11.42578125" style="36"/>
    <col min="10249" max="10249" width="9.5703125" style="36" customWidth="1"/>
    <col min="10250" max="10495" width="11.42578125" style="36"/>
    <col min="10496" max="10496" width="0.140625" style="36" customWidth="1"/>
    <col min="10497" max="10497" width="2.7109375" style="36" customWidth="1"/>
    <col min="10498" max="10498" width="18.5703125" style="36" customWidth="1"/>
    <col min="10499" max="10499" width="1.28515625" style="36" customWidth="1"/>
    <col min="10500" max="10500" width="58.85546875" style="36" customWidth="1"/>
    <col min="10501" max="10502" width="11.42578125" style="36"/>
    <col min="10503" max="10503" width="2.140625" style="36" customWidth="1"/>
    <col min="10504" max="10504" width="11.42578125" style="36"/>
    <col min="10505" max="10505" width="9.5703125" style="36" customWidth="1"/>
    <col min="10506" max="10751" width="11.42578125" style="36"/>
    <col min="10752" max="10752" width="0.140625" style="36" customWidth="1"/>
    <col min="10753" max="10753" width="2.7109375" style="36" customWidth="1"/>
    <col min="10754" max="10754" width="18.5703125" style="36" customWidth="1"/>
    <col min="10755" max="10755" width="1.28515625" style="36" customWidth="1"/>
    <col min="10756" max="10756" width="58.85546875" style="36" customWidth="1"/>
    <col min="10757" max="10758" width="11.42578125" style="36"/>
    <col min="10759" max="10759" width="2.140625" style="36" customWidth="1"/>
    <col min="10760" max="10760" width="11.42578125" style="36"/>
    <col min="10761" max="10761" width="9.5703125" style="36" customWidth="1"/>
    <col min="10762" max="11007" width="11.42578125" style="36"/>
    <col min="11008" max="11008" width="0.140625" style="36" customWidth="1"/>
    <col min="11009" max="11009" width="2.7109375" style="36" customWidth="1"/>
    <col min="11010" max="11010" width="18.5703125" style="36" customWidth="1"/>
    <col min="11011" max="11011" width="1.28515625" style="36" customWidth="1"/>
    <col min="11012" max="11012" width="58.85546875" style="36" customWidth="1"/>
    <col min="11013" max="11014" width="11.42578125" style="36"/>
    <col min="11015" max="11015" width="2.140625" style="36" customWidth="1"/>
    <col min="11016" max="11016" width="11.42578125" style="36"/>
    <col min="11017" max="11017" width="9.5703125" style="36" customWidth="1"/>
    <col min="11018" max="11263" width="11.42578125" style="36"/>
    <col min="11264" max="11264" width="0.140625" style="36" customWidth="1"/>
    <col min="11265" max="11265" width="2.7109375" style="36" customWidth="1"/>
    <col min="11266" max="11266" width="18.5703125" style="36" customWidth="1"/>
    <col min="11267" max="11267" width="1.28515625" style="36" customWidth="1"/>
    <col min="11268" max="11268" width="58.85546875" style="36" customWidth="1"/>
    <col min="11269" max="11270" width="11.42578125" style="36"/>
    <col min="11271" max="11271" width="2.140625" style="36" customWidth="1"/>
    <col min="11272" max="11272" width="11.42578125" style="36"/>
    <col min="11273" max="11273" width="9.5703125" style="36" customWidth="1"/>
    <col min="11274" max="11519" width="11.42578125" style="36"/>
    <col min="11520" max="11520" width="0.140625" style="36" customWidth="1"/>
    <col min="11521" max="11521" width="2.7109375" style="36" customWidth="1"/>
    <col min="11522" max="11522" width="18.5703125" style="36" customWidth="1"/>
    <col min="11523" max="11523" width="1.28515625" style="36" customWidth="1"/>
    <col min="11524" max="11524" width="58.85546875" style="36" customWidth="1"/>
    <col min="11525" max="11526" width="11.42578125" style="36"/>
    <col min="11527" max="11527" width="2.140625" style="36" customWidth="1"/>
    <col min="11528" max="11528" width="11.42578125" style="36"/>
    <col min="11529" max="11529" width="9.5703125" style="36" customWidth="1"/>
    <col min="11530" max="11775" width="11.42578125" style="36"/>
    <col min="11776" max="11776" width="0.140625" style="36" customWidth="1"/>
    <col min="11777" max="11777" width="2.7109375" style="36" customWidth="1"/>
    <col min="11778" max="11778" width="18.5703125" style="36" customWidth="1"/>
    <col min="11779" max="11779" width="1.28515625" style="36" customWidth="1"/>
    <col min="11780" max="11780" width="58.85546875" style="36" customWidth="1"/>
    <col min="11781" max="11782" width="11.42578125" style="36"/>
    <col min="11783" max="11783" width="2.140625" style="36" customWidth="1"/>
    <col min="11784" max="11784" width="11.42578125" style="36"/>
    <col min="11785" max="11785" width="9.5703125" style="36" customWidth="1"/>
    <col min="11786" max="12031" width="11.42578125" style="36"/>
    <col min="12032" max="12032" width="0.140625" style="36" customWidth="1"/>
    <col min="12033" max="12033" width="2.7109375" style="36" customWidth="1"/>
    <col min="12034" max="12034" width="18.5703125" style="36" customWidth="1"/>
    <col min="12035" max="12035" width="1.28515625" style="36" customWidth="1"/>
    <col min="12036" max="12036" width="58.85546875" style="36" customWidth="1"/>
    <col min="12037" max="12038" width="11.42578125" style="36"/>
    <col min="12039" max="12039" width="2.140625" style="36" customWidth="1"/>
    <col min="12040" max="12040" width="11.42578125" style="36"/>
    <col min="12041" max="12041" width="9.5703125" style="36" customWidth="1"/>
    <col min="12042" max="12287" width="11.42578125" style="36"/>
    <col min="12288" max="12288" width="0.140625" style="36" customWidth="1"/>
    <col min="12289" max="12289" width="2.7109375" style="36" customWidth="1"/>
    <col min="12290" max="12290" width="18.5703125" style="36" customWidth="1"/>
    <col min="12291" max="12291" width="1.28515625" style="36" customWidth="1"/>
    <col min="12292" max="12292" width="58.85546875" style="36" customWidth="1"/>
    <col min="12293" max="12294" width="11.42578125" style="36"/>
    <col min="12295" max="12295" width="2.140625" style="36" customWidth="1"/>
    <col min="12296" max="12296" width="11.42578125" style="36"/>
    <col min="12297" max="12297" width="9.5703125" style="36" customWidth="1"/>
    <col min="12298" max="12543" width="11.42578125" style="36"/>
    <col min="12544" max="12544" width="0.140625" style="36" customWidth="1"/>
    <col min="12545" max="12545" width="2.7109375" style="36" customWidth="1"/>
    <col min="12546" max="12546" width="18.5703125" style="36" customWidth="1"/>
    <col min="12547" max="12547" width="1.28515625" style="36" customWidth="1"/>
    <col min="12548" max="12548" width="58.85546875" style="36" customWidth="1"/>
    <col min="12549" max="12550" width="11.42578125" style="36"/>
    <col min="12551" max="12551" width="2.140625" style="36" customWidth="1"/>
    <col min="12552" max="12552" width="11.42578125" style="36"/>
    <col min="12553" max="12553" width="9.5703125" style="36" customWidth="1"/>
    <col min="12554" max="12799" width="11.42578125" style="36"/>
    <col min="12800" max="12800" width="0.140625" style="36" customWidth="1"/>
    <col min="12801" max="12801" width="2.7109375" style="36" customWidth="1"/>
    <col min="12802" max="12802" width="18.5703125" style="36" customWidth="1"/>
    <col min="12803" max="12803" width="1.28515625" style="36" customWidth="1"/>
    <col min="12804" max="12804" width="58.85546875" style="36" customWidth="1"/>
    <col min="12805" max="12806" width="11.42578125" style="36"/>
    <col min="12807" max="12807" width="2.140625" style="36" customWidth="1"/>
    <col min="12808" max="12808" width="11.42578125" style="36"/>
    <col min="12809" max="12809" width="9.5703125" style="36" customWidth="1"/>
    <col min="12810" max="13055" width="11.42578125" style="36"/>
    <col min="13056" max="13056" width="0.140625" style="36" customWidth="1"/>
    <col min="13057" max="13057" width="2.7109375" style="36" customWidth="1"/>
    <col min="13058" max="13058" width="18.5703125" style="36" customWidth="1"/>
    <col min="13059" max="13059" width="1.28515625" style="36" customWidth="1"/>
    <col min="13060" max="13060" width="58.85546875" style="36" customWidth="1"/>
    <col min="13061" max="13062" width="11.42578125" style="36"/>
    <col min="13063" max="13063" width="2.140625" style="36" customWidth="1"/>
    <col min="13064" max="13064" width="11.42578125" style="36"/>
    <col min="13065" max="13065" width="9.5703125" style="36" customWidth="1"/>
    <col min="13066" max="13311" width="11.42578125" style="36"/>
    <col min="13312" max="13312" width="0.140625" style="36" customWidth="1"/>
    <col min="13313" max="13313" width="2.7109375" style="36" customWidth="1"/>
    <col min="13314" max="13314" width="18.5703125" style="36" customWidth="1"/>
    <col min="13315" max="13315" width="1.28515625" style="36" customWidth="1"/>
    <col min="13316" max="13316" width="58.85546875" style="36" customWidth="1"/>
    <col min="13317" max="13318" width="11.42578125" style="36"/>
    <col min="13319" max="13319" width="2.140625" style="36" customWidth="1"/>
    <col min="13320" max="13320" width="11.42578125" style="36"/>
    <col min="13321" max="13321" width="9.5703125" style="36" customWidth="1"/>
    <col min="13322" max="13567" width="11.42578125" style="36"/>
    <col min="13568" max="13568" width="0.140625" style="36" customWidth="1"/>
    <col min="13569" max="13569" width="2.7109375" style="36" customWidth="1"/>
    <col min="13570" max="13570" width="18.5703125" style="36" customWidth="1"/>
    <col min="13571" max="13571" width="1.28515625" style="36" customWidth="1"/>
    <col min="13572" max="13572" width="58.85546875" style="36" customWidth="1"/>
    <col min="13573" max="13574" width="11.42578125" style="36"/>
    <col min="13575" max="13575" width="2.140625" style="36" customWidth="1"/>
    <col min="13576" max="13576" width="11.42578125" style="36"/>
    <col min="13577" max="13577" width="9.5703125" style="36" customWidth="1"/>
    <col min="13578" max="13823" width="11.42578125" style="36"/>
    <col min="13824" max="13824" width="0.140625" style="36" customWidth="1"/>
    <col min="13825" max="13825" width="2.7109375" style="36" customWidth="1"/>
    <col min="13826" max="13826" width="18.5703125" style="36" customWidth="1"/>
    <col min="13827" max="13827" width="1.28515625" style="36" customWidth="1"/>
    <col min="13828" max="13828" width="58.85546875" style="36" customWidth="1"/>
    <col min="13829" max="13830" width="11.42578125" style="36"/>
    <col min="13831" max="13831" width="2.140625" style="36" customWidth="1"/>
    <col min="13832" max="13832" width="11.42578125" style="36"/>
    <col min="13833" max="13833" width="9.5703125" style="36" customWidth="1"/>
    <col min="13834" max="14079" width="11.42578125" style="36"/>
    <col min="14080" max="14080" width="0.140625" style="36" customWidth="1"/>
    <col min="14081" max="14081" width="2.7109375" style="36" customWidth="1"/>
    <col min="14082" max="14082" width="18.5703125" style="36" customWidth="1"/>
    <col min="14083" max="14083" width="1.28515625" style="36" customWidth="1"/>
    <col min="14084" max="14084" width="58.85546875" style="36" customWidth="1"/>
    <col min="14085" max="14086" width="11.42578125" style="36"/>
    <col min="14087" max="14087" width="2.140625" style="36" customWidth="1"/>
    <col min="14088" max="14088" width="11.42578125" style="36"/>
    <col min="14089" max="14089" width="9.5703125" style="36" customWidth="1"/>
    <col min="14090" max="14335" width="11.42578125" style="36"/>
    <col min="14336" max="14336" width="0.140625" style="36" customWidth="1"/>
    <col min="14337" max="14337" width="2.7109375" style="36" customWidth="1"/>
    <col min="14338" max="14338" width="18.5703125" style="36" customWidth="1"/>
    <col min="14339" max="14339" width="1.28515625" style="36" customWidth="1"/>
    <col min="14340" max="14340" width="58.85546875" style="36" customWidth="1"/>
    <col min="14341" max="14342" width="11.42578125" style="36"/>
    <col min="14343" max="14343" width="2.140625" style="36" customWidth="1"/>
    <col min="14344" max="14344" width="11.42578125" style="36"/>
    <col min="14345" max="14345" width="9.5703125" style="36" customWidth="1"/>
    <col min="14346" max="14591" width="11.42578125" style="36"/>
    <col min="14592" max="14592" width="0.140625" style="36" customWidth="1"/>
    <col min="14593" max="14593" width="2.7109375" style="36" customWidth="1"/>
    <col min="14594" max="14594" width="18.5703125" style="36" customWidth="1"/>
    <col min="14595" max="14595" width="1.28515625" style="36" customWidth="1"/>
    <col min="14596" max="14596" width="58.85546875" style="36" customWidth="1"/>
    <col min="14597" max="14598" width="11.42578125" style="36"/>
    <col min="14599" max="14599" width="2.140625" style="36" customWidth="1"/>
    <col min="14600" max="14600" width="11.42578125" style="36"/>
    <col min="14601" max="14601" width="9.5703125" style="36" customWidth="1"/>
    <col min="14602" max="14847" width="11.42578125" style="36"/>
    <col min="14848" max="14848" width="0.140625" style="36" customWidth="1"/>
    <col min="14849" max="14849" width="2.7109375" style="36" customWidth="1"/>
    <col min="14850" max="14850" width="18.5703125" style="36" customWidth="1"/>
    <col min="14851" max="14851" width="1.28515625" style="36" customWidth="1"/>
    <col min="14852" max="14852" width="58.85546875" style="36" customWidth="1"/>
    <col min="14853" max="14854" width="11.42578125" style="36"/>
    <col min="14855" max="14855" width="2.140625" style="36" customWidth="1"/>
    <col min="14856" max="14856" width="11.42578125" style="36"/>
    <col min="14857" max="14857" width="9.5703125" style="36" customWidth="1"/>
    <col min="14858" max="15103" width="11.42578125" style="36"/>
    <col min="15104" max="15104" width="0.140625" style="36" customWidth="1"/>
    <col min="15105" max="15105" width="2.7109375" style="36" customWidth="1"/>
    <col min="15106" max="15106" width="18.5703125" style="36" customWidth="1"/>
    <col min="15107" max="15107" width="1.28515625" style="36" customWidth="1"/>
    <col min="15108" max="15108" width="58.85546875" style="36" customWidth="1"/>
    <col min="15109" max="15110" width="11.42578125" style="36"/>
    <col min="15111" max="15111" width="2.140625" style="36" customWidth="1"/>
    <col min="15112" max="15112" width="11.42578125" style="36"/>
    <col min="15113" max="15113" width="9.5703125" style="36" customWidth="1"/>
    <col min="15114" max="15359" width="11.42578125" style="36"/>
    <col min="15360" max="15360" width="0.140625" style="36" customWidth="1"/>
    <col min="15361" max="15361" width="2.7109375" style="36" customWidth="1"/>
    <col min="15362" max="15362" width="18.5703125" style="36" customWidth="1"/>
    <col min="15363" max="15363" width="1.28515625" style="36" customWidth="1"/>
    <col min="15364" max="15364" width="58.85546875" style="36" customWidth="1"/>
    <col min="15365" max="15366" width="11.42578125" style="36"/>
    <col min="15367" max="15367" width="2.140625" style="36" customWidth="1"/>
    <col min="15368" max="15368" width="11.42578125" style="36"/>
    <col min="15369" max="15369" width="9.5703125" style="36" customWidth="1"/>
    <col min="15370" max="15615" width="11.42578125" style="36"/>
    <col min="15616" max="15616" width="0.140625" style="36" customWidth="1"/>
    <col min="15617" max="15617" width="2.7109375" style="36" customWidth="1"/>
    <col min="15618" max="15618" width="18.5703125" style="36" customWidth="1"/>
    <col min="15619" max="15619" width="1.28515625" style="36" customWidth="1"/>
    <col min="15620" max="15620" width="58.85546875" style="36" customWidth="1"/>
    <col min="15621" max="15622" width="11.42578125" style="36"/>
    <col min="15623" max="15623" width="2.140625" style="36" customWidth="1"/>
    <col min="15624" max="15624" width="11.42578125" style="36"/>
    <col min="15625" max="15625" width="9.5703125" style="36" customWidth="1"/>
    <col min="15626" max="15871" width="11.42578125" style="36"/>
    <col min="15872" max="15872" width="0.140625" style="36" customWidth="1"/>
    <col min="15873" max="15873" width="2.7109375" style="36" customWidth="1"/>
    <col min="15874" max="15874" width="18.5703125" style="36" customWidth="1"/>
    <col min="15875" max="15875" width="1.28515625" style="36" customWidth="1"/>
    <col min="15876" max="15876" width="58.85546875" style="36" customWidth="1"/>
    <col min="15877" max="15878" width="11.42578125" style="36"/>
    <col min="15879" max="15879" width="2.140625" style="36" customWidth="1"/>
    <col min="15880" max="15880" width="11.42578125" style="36"/>
    <col min="15881" max="15881" width="9.5703125" style="36" customWidth="1"/>
    <col min="15882" max="16127" width="11.42578125" style="36"/>
    <col min="16128" max="16128" width="0.140625" style="36" customWidth="1"/>
    <col min="16129" max="16129" width="2.7109375" style="36" customWidth="1"/>
    <col min="16130" max="16130" width="18.5703125" style="36" customWidth="1"/>
    <col min="16131" max="16131" width="1.28515625" style="36" customWidth="1"/>
    <col min="16132" max="16132" width="58.85546875" style="36" customWidth="1"/>
    <col min="16133" max="16134" width="11.42578125" style="36"/>
    <col min="16135" max="16135" width="2.140625" style="36" customWidth="1"/>
    <col min="16136" max="16136" width="11.42578125" style="36"/>
    <col min="16137" max="16137" width="9.5703125" style="36" customWidth="1"/>
    <col min="16138" max="16384" width="11.42578125" style="36"/>
  </cols>
  <sheetData>
    <row r="1" spans="2:7" s="26" customFormat="1" ht="0.75" customHeight="1"/>
    <row r="2" spans="2:7" s="26" customFormat="1" ht="21" customHeight="1">
      <c r="E2" s="1"/>
      <c r="G2" s="106" t="s">
        <v>1</v>
      </c>
    </row>
    <row r="3" spans="2:7" s="26" customFormat="1" ht="15" customHeight="1">
      <c r="E3" s="27"/>
      <c r="G3" s="107" t="str">
        <f>Indice!E3</f>
        <v>Mayo 2019</v>
      </c>
    </row>
    <row r="4" spans="2:7" s="29" customFormat="1" ht="20.25" customHeight="1">
      <c r="B4" s="28"/>
      <c r="C4" s="105" t="s">
        <v>69</v>
      </c>
    </row>
    <row r="5" spans="2:7" s="29" customFormat="1" ht="12.75" customHeight="1">
      <c r="B5" s="28"/>
      <c r="C5" s="30"/>
    </row>
    <row r="6" spans="2:7" s="29" customFormat="1" ht="13.5" customHeight="1">
      <c r="B6" s="28"/>
      <c r="C6" s="31"/>
      <c r="D6" s="32"/>
      <c r="E6" s="32"/>
      <c r="F6" s="32"/>
    </row>
    <row r="7" spans="2:7" s="29" customFormat="1" ht="12.75" customHeight="1">
      <c r="B7" s="28"/>
      <c r="C7" s="305" t="s">
        <v>75</v>
      </c>
      <c r="D7" s="32"/>
      <c r="E7" s="39"/>
      <c r="F7" s="32"/>
    </row>
    <row r="8" spans="2:7" s="29" customFormat="1" ht="12.75" customHeight="1">
      <c r="B8" s="28"/>
      <c r="C8" s="305"/>
      <c r="D8" s="32"/>
      <c r="E8" s="39"/>
      <c r="F8" s="32"/>
    </row>
    <row r="9" spans="2:7" s="29" customFormat="1" ht="12.75" customHeight="1">
      <c r="B9" s="28"/>
      <c r="C9" s="305"/>
      <c r="D9" s="32"/>
      <c r="E9" s="39"/>
      <c r="F9" s="32"/>
    </row>
    <row r="10" spans="2:7" s="29" customFormat="1" ht="12.75" customHeight="1">
      <c r="B10" s="28"/>
      <c r="C10" s="305"/>
      <c r="D10" s="32"/>
      <c r="E10" s="39"/>
      <c r="F10" s="32"/>
    </row>
    <row r="11" spans="2:7" s="29" customFormat="1" ht="12.75" customHeight="1">
      <c r="B11" s="28"/>
      <c r="C11" s="138"/>
      <c r="D11" s="32"/>
      <c r="E11" s="32"/>
      <c r="F11" s="32"/>
    </row>
    <row r="12" spans="2:7" s="29" customFormat="1" ht="12.75" customHeight="1">
      <c r="B12" s="28"/>
      <c r="D12" s="32"/>
      <c r="E12" s="32"/>
      <c r="F12" s="32"/>
    </row>
    <row r="13" spans="2:7" s="29" customFormat="1" ht="12.75" customHeight="1">
      <c r="B13" s="28"/>
      <c r="D13" s="32"/>
      <c r="E13" s="32"/>
      <c r="F13" s="32"/>
    </row>
    <row r="14" spans="2:7" s="29" customFormat="1" ht="12.75" customHeight="1">
      <c r="B14" s="28"/>
      <c r="D14" s="32"/>
      <c r="E14" s="32"/>
      <c r="F14" s="32"/>
    </row>
    <row r="15" spans="2:7" s="29" customFormat="1" ht="12.75" customHeight="1">
      <c r="B15" s="28"/>
      <c r="D15" s="32"/>
      <c r="E15" s="32"/>
      <c r="F15" s="32"/>
    </row>
    <row r="16" spans="2:7" s="29" customFormat="1" ht="12.75" customHeight="1">
      <c r="B16" s="28"/>
      <c r="D16" s="32"/>
      <c r="E16" s="32"/>
      <c r="F16" s="32"/>
    </row>
    <row r="17" spans="2:7" s="29" customFormat="1" ht="12.75" customHeight="1">
      <c r="B17" s="28"/>
      <c r="D17" s="32"/>
      <c r="E17" s="32"/>
      <c r="F17" s="32"/>
    </row>
    <row r="18" spans="2:7" s="29" customFormat="1" ht="12.75" customHeight="1">
      <c r="B18" s="28"/>
      <c r="C18" s="35"/>
      <c r="D18" s="32"/>
      <c r="E18" s="32"/>
      <c r="F18" s="32"/>
    </row>
    <row r="19" spans="2:7" s="29" customFormat="1" ht="12.75" customHeight="1">
      <c r="B19" s="28"/>
      <c r="C19" s="31"/>
      <c r="D19" s="32"/>
      <c r="E19" s="32"/>
      <c r="F19" s="32"/>
    </row>
    <row r="20" spans="2:7" s="29" customFormat="1" ht="12.75" customHeight="1">
      <c r="B20" s="28"/>
      <c r="C20" s="31"/>
      <c r="D20" s="32"/>
      <c r="E20" s="32"/>
      <c r="F20" s="32"/>
    </row>
    <row r="21" spans="2:7" s="29" customFormat="1" ht="12.75" customHeight="1">
      <c r="B21" s="28"/>
      <c r="C21" s="31"/>
      <c r="D21" s="32"/>
      <c r="E21" s="32"/>
      <c r="F21" s="32"/>
    </row>
    <row r="22" spans="2:7">
      <c r="E22" s="116"/>
      <c r="G22" s="116"/>
    </row>
    <row r="23" spans="2:7">
      <c r="E23" s="37"/>
    </row>
    <row r="24" spans="2:7">
      <c r="E24" s="38"/>
    </row>
    <row r="25" spans="2:7" ht="12.75" customHeight="1">
      <c r="C25" s="40"/>
    </row>
    <row r="26" spans="2:7">
      <c r="C26" s="40"/>
    </row>
    <row r="27" spans="2:7">
      <c r="C27" s="40"/>
    </row>
    <row r="28" spans="2:7">
      <c r="C28" s="34"/>
    </row>
    <row r="30" spans="2:7" ht="12.75" customHeight="1"/>
  </sheetData>
  <mergeCells count="1">
    <mergeCell ref="C7:C10"/>
  </mergeCells>
  <printOptions horizontalCentered="1" verticalCentered="1"/>
  <pageMargins left="0.78740157480314965" right="0.78740157480314965" top="0.98425196850393704" bottom="0.98425196850393704" header="0" footer="0"/>
  <pageSetup paperSize="9" scale="8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5"/>
  <dimension ref="C1:Y51"/>
  <sheetViews>
    <sheetView showGridLines="0" showRowColHeaders="0" topLeftCell="B2" workbookViewId="0">
      <selection activeCell="H17" sqref="H17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Mayo 2019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5" t="s">
        <v>62</v>
      </c>
      <c r="E7" s="4"/>
    </row>
    <row r="8" spans="3:25">
      <c r="C8" s="305"/>
      <c r="E8" s="4"/>
    </row>
    <row r="9" spans="3:25">
      <c r="C9" s="305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41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  <row r="50" spans="8:20">
      <c r="H50" s="44"/>
      <c r="I50" s="44"/>
      <c r="J50" s="44"/>
      <c r="K50" s="44"/>
      <c r="L50" s="44"/>
      <c r="M50" s="44"/>
      <c r="N50" s="44"/>
      <c r="O50" s="44"/>
      <c r="P50" s="44"/>
      <c r="Q50" s="44"/>
      <c r="R50" s="44"/>
      <c r="S50" s="44"/>
      <c r="T50" s="44"/>
    </row>
    <row r="51" spans="8:20">
      <c r="H51" s="44"/>
      <c r="I51" s="44"/>
      <c r="J51" s="44"/>
      <c r="K51" s="44"/>
      <c r="L51" s="44"/>
      <c r="M51" s="44"/>
      <c r="N51" s="44"/>
      <c r="O51" s="44"/>
      <c r="P51" s="44"/>
      <c r="Q51" s="44"/>
      <c r="R51" s="44"/>
      <c r="S51" s="44"/>
      <c r="T51" s="44"/>
    </row>
  </sheetData>
  <mergeCells count="1">
    <mergeCell ref="C7:C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6"/>
  <dimension ref="C1:Y65"/>
  <sheetViews>
    <sheetView showGridLines="0" showRowColHeaders="0" topLeftCell="A2" workbookViewId="0">
      <selection activeCell="G18" sqref="G1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Mayo 2019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>
      <c r="C7" s="305" t="s">
        <v>63</v>
      </c>
      <c r="E7" s="4"/>
    </row>
    <row r="8" spans="3:25">
      <c r="C8" s="305"/>
      <c r="E8" s="4"/>
    </row>
    <row r="9" spans="3:25">
      <c r="C9" s="305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3:5">
      <c r="E17" s="4"/>
    </row>
    <row r="18" spans="3:5">
      <c r="E18" s="4"/>
    </row>
    <row r="19" spans="3:5">
      <c r="E19" s="4"/>
    </row>
    <row r="20" spans="3:5">
      <c r="E20" s="4"/>
    </row>
    <row r="21" spans="3:5">
      <c r="E21" s="4"/>
    </row>
    <row r="22" spans="3:5">
      <c r="E22" s="4"/>
    </row>
    <row r="23" spans="3:5">
      <c r="E23" s="41"/>
    </row>
    <row r="25" spans="3:5">
      <c r="C25" s="43"/>
    </row>
    <row r="26" spans="3:5">
      <c r="C26" s="43"/>
    </row>
    <row r="27" spans="3:5">
      <c r="C27" s="43"/>
    </row>
    <row r="33" spans="5:20" ht="12.75" customHeight="1"/>
    <row r="35" spans="5:20">
      <c r="G35" s="46"/>
      <c r="H35" s="44"/>
      <c r="I35" s="44"/>
      <c r="J35" s="44"/>
      <c r="K35" s="44"/>
      <c r="L35" s="44"/>
      <c r="M35" s="44"/>
      <c r="N35" s="44"/>
      <c r="O35" s="44"/>
      <c r="P35" s="44"/>
      <c r="Q35" s="44"/>
      <c r="R35" s="44"/>
      <c r="S35" s="44"/>
      <c r="T35" s="44"/>
    </row>
    <row r="36" spans="5:20">
      <c r="G36" s="46"/>
      <c r="H36" s="44"/>
      <c r="I36" s="44"/>
      <c r="J36" s="44"/>
      <c r="K36" s="44"/>
      <c r="L36" s="44"/>
      <c r="M36" s="44"/>
      <c r="N36" s="44"/>
      <c r="O36" s="44"/>
      <c r="P36" s="44"/>
      <c r="Q36" s="44"/>
      <c r="R36" s="44"/>
      <c r="S36" s="44"/>
      <c r="T36" s="44"/>
    </row>
    <row r="37" spans="5:20">
      <c r="G37" s="46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</row>
    <row r="38" spans="5:20">
      <c r="G38" s="46"/>
      <c r="H38" s="44"/>
      <c r="I38" s="44"/>
      <c r="J38" s="44"/>
      <c r="K38" s="44"/>
      <c r="L38" s="44"/>
      <c r="M38" s="44"/>
      <c r="N38" s="44"/>
      <c r="O38" s="44"/>
      <c r="P38" s="44"/>
      <c r="Q38" s="44"/>
      <c r="R38" s="44"/>
      <c r="S38" s="44"/>
      <c r="T38" s="44"/>
    </row>
    <row r="39" spans="5:20">
      <c r="G39" s="46"/>
    </row>
    <row r="40" spans="5:20">
      <c r="E40" s="41"/>
      <c r="G40" s="46"/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</row>
    <row r="41" spans="5:20">
      <c r="G41" s="46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</row>
    <row r="42" spans="5:20">
      <c r="G42" s="46"/>
      <c r="H42" s="44"/>
      <c r="I42" s="44"/>
      <c r="J42" s="44"/>
      <c r="K42" s="44"/>
      <c r="L42" s="44"/>
      <c r="M42" s="44"/>
      <c r="N42" s="44"/>
      <c r="O42" s="44"/>
      <c r="P42" s="44"/>
      <c r="Q42" s="44"/>
      <c r="R42" s="44"/>
      <c r="S42" s="44"/>
      <c r="T42" s="44"/>
    </row>
    <row r="43" spans="5:20">
      <c r="G43" s="46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</row>
    <row r="44" spans="5:20">
      <c r="G44" s="46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</row>
    <row r="45" spans="5:20">
      <c r="G45" s="46"/>
      <c r="H45" s="44"/>
      <c r="I45" s="44"/>
      <c r="J45" s="44"/>
      <c r="K45" s="44"/>
      <c r="L45" s="44"/>
      <c r="M45" s="44"/>
      <c r="N45" s="44"/>
      <c r="O45" s="44"/>
      <c r="P45" s="44"/>
      <c r="Q45" s="44"/>
      <c r="R45" s="44"/>
      <c r="S45" s="44"/>
      <c r="T45" s="44"/>
    </row>
    <row r="46" spans="5:20">
      <c r="G46" s="46"/>
    </row>
    <row r="47" spans="5:20">
      <c r="G47" s="46"/>
    </row>
    <row r="48" spans="5:20">
      <c r="G48" s="46"/>
    </row>
    <row r="49" spans="5:7">
      <c r="G49" s="46"/>
    </row>
    <row r="50" spans="5:7">
      <c r="G50" s="46"/>
    </row>
    <row r="51" spans="5:7">
      <c r="G51" s="46"/>
    </row>
    <row r="52" spans="5:7">
      <c r="G52" s="46"/>
    </row>
    <row r="53" spans="5:7">
      <c r="G53" s="46"/>
    </row>
    <row r="54" spans="5:7">
      <c r="G54" s="46"/>
    </row>
    <row r="55" spans="5:7">
      <c r="G55" s="46"/>
    </row>
    <row r="56" spans="5:7">
      <c r="G56" s="46"/>
    </row>
    <row r="57" spans="5:7">
      <c r="E57" s="41"/>
      <c r="G57" s="46"/>
    </row>
    <row r="58" spans="5:7">
      <c r="G58" s="46"/>
    </row>
    <row r="59" spans="5:7">
      <c r="G59" s="46"/>
    </row>
    <row r="60" spans="5:7">
      <c r="G60" s="46"/>
    </row>
    <row r="61" spans="5:7">
      <c r="G61" s="46"/>
    </row>
    <row r="62" spans="5:7">
      <c r="G62" s="46"/>
    </row>
    <row r="63" spans="5:7">
      <c r="G63" s="46"/>
    </row>
    <row r="64" spans="5:7">
      <c r="G64" s="46"/>
    </row>
    <row r="65" spans="7:7">
      <c r="G65" s="46"/>
    </row>
  </sheetData>
  <mergeCells count="1">
    <mergeCell ref="C7:C9"/>
  </mergeCells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7"/>
  <dimension ref="C1:Y44"/>
  <sheetViews>
    <sheetView showGridLines="0" showRowColHeaders="0" topLeftCell="A2" workbookViewId="0">
      <selection activeCell="F39" sqref="F3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Mayo 2019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5" t="s">
        <v>55</v>
      </c>
      <c r="E7" s="4"/>
    </row>
    <row r="8" spans="3:25">
      <c r="C8" s="305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8"/>
  <dimension ref="C1:Y44"/>
  <sheetViews>
    <sheetView showGridLines="0" showRowColHeaders="0" topLeftCell="A2" workbookViewId="0">
      <selection activeCell="J25" sqref="J25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25" ht="0.6" customHeight="1"/>
    <row r="2" spans="3:25" ht="21" customHeight="1">
      <c r="E2" s="106" t="s">
        <v>1</v>
      </c>
    </row>
    <row r="3" spans="3:25" ht="15" customHeight="1">
      <c r="E3" s="115" t="str">
        <f>Indice!E3</f>
        <v>Mayo 2019</v>
      </c>
    </row>
    <row r="4" spans="3:25" ht="19.899999999999999" customHeight="1">
      <c r="C4" s="105" t="s">
        <v>69</v>
      </c>
    </row>
    <row r="5" spans="3:25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</row>
    <row r="7" spans="3:25" ht="12.75" customHeight="1">
      <c r="C7" s="305" t="s">
        <v>61</v>
      </c>
      <c r="E7" s="4"/>
    </row>
    <row r="8" spans="3:25">
      <c r="C8" s="305"/>
      <c r="E8" s="4"/>
    </row>
    <row r="9" spans="3:25">
      <c r="C9" s="123"/>
      <c r="E9" s="4"/>
    </row>
    <row r="10" spans="3:25">
      <c r="E10" s="4"/>
    </row>
    <row r="11" spans="3:25">
      <c r="E11" s="4"/>
    </row>
    <row r="12" spans="3:25">
      <c r="E12" s="4"/>
    </row>
    <row r="13" spans="3:25">
      <c r="E13" s="4"/>
    </row>
    <row r="14" spans="3:25">
      <c r="E14" s="4"/>
    </row>
    <row r="15" spans="3:25">
      <c r="E15" s="4"/>
    </row>
    <row r="16" spans="3:2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6" spans="5:5">
      <c r="E26" s="116"/>
    </row>
    <row r="40" spans="3:5">
      <c r="E40" s="41"/>
    </row>
    <row r="42" spans="3:5">
      <c r="C42" s="123"/>
    </row>
    <row r="43" spans="3:5">
      <c r="C43" s="123"/>
    </row>
    <row r="44" spans="3:5">
      <c r="C44" s="123"/>
    </row>
  </sheetData>
  <mergeCells count="1">
    <mergeCell ref="C7:C8"/>
  </mergeCells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9"/>
  <dimension ref="C1:AA39"/>
  <sheetViews>
    <sheetView showGridLines="0" showRowColHeaders="0" topLeftCell="A2" zoomScaleNormal="100" workbookViewId="0">
      <selection activeCell="G36" sqref="G36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10" max="10" width="17" customWidth="1"/>
  </cols>
  <sheetData>
    <row r="1" spans="3:27" ht="0.6" customHeight="1"/>
    <row r="2" spans="3:27" ht="21" customHeight="1">
      <c r="E2" s="106" t="s">
        <v>1</v>
      </c>
    </row>
    <row r="3" spans="3:27" ht="15" customHeight="1">
      <c r="E3" s="115" t="str">
        <f>Indice!E3</f>
        <v>Mayo 2019</v>
      </c>
    </row>
    <row r="4" spans="3:27" ht="19.899999999999999" customHeight="1">
      <c r="C4" s="105" t="s">
        <v>69</v>
      </c>
    </row>
    <row r="5" spans="3:27" ht="12.6" customHeight="1">
      <c r="K5" s="3"/>
      <c r="L5" s="3"/>
      <c r="M5" s="3"/>
    </row>
    <row r="6" spans="3:27"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</row>
    <row r="7" spans="3:27" ht="12.75" customHeight="1">
      <c r="C7" s="305" t="s">
        <v>24</v>
      </c>
      <c r="E7" s="4"/>
      <c r="K7" s="2"/>
      <c r="L7" s="2"/>
      <c r="M7" s="2"/>
      <c r="N7" s="2"/>
      <c r="O7" s="2"/>
      <c r="P7" s="2"/>
      <c r="Q7" s="2"/>
      <c r="R7" s="2"/>
      <c r="S7" s="2"/>
    </row>
    <row r="8" spans="3:27">
      <c r="C8" s="305"/>
      <c r="E8" s="4"/>
      <c r="K8" s="2"/>
      <c r="L8" s="2"/>
      <c r="M8" s="2"/>
      <c r="N8" s="2"/>
      <c r="O8" s="2"/>
      <c r="P8" s="2"/>
      <c r="Q8" s="2"/>
      <c r="R8" s="2"/>
      <c r="S8" s="2"/>
    </row>
    <row r="9" spans="3:27">
      <c r="C9" s="123"/>
      <c r="E9" s="4"/>
      <c r="K9" s="2"/>
      <c r="L9" s="2"/>
      <c r="M9" s="2"/>
      <c r="N9" s="2"/>
      <c r="O9" s="2"/>
      <c r="P9" s="2"/>
      <c r="Q9" s="2"/>
      <c r="R9" s="2"/>
      <c r="S9" s="2"/>
    </row>
    <row r="10" spans="3:27">
      <c r="E10" s="4"/>
      <c r="K10" s="2"/>
      <c r="L10" s="2"/>
      <c r="M10" s="2"/>
      <c r="N10" s="2"/>
      <c r="O10" s="2"/>
      <c r="P10" s="2"/>
      <c r="Q10" s="2"/>
      <c r="R10" s="2"/>
      <c r="S10" s="2"/>
    </row>
    <row r="11" spans="3:27">
      <c r="E11" s="4"/>
      <c r="K11" s="2"/>
      <c r="L11" s="2"/>
      <c r="M11" s="2"/>
      <c r="N11" s="2"/>
      <c r="O11" s="2"/>
      <c r="P11" s="2"/>
      <c r="Q11" s="2"/>
      <c r="R11" s="2"/>
      <c r="S11" s="2"/>
    </row>
    <row r="12" spans="3:27">
      <c r="E12" s="4"/>
      <c r="K12" s="2"/>
      <c r="L12" s="2"/>
      <c r="M12" s="2"/>
      <c r="N12" s="2"/>
      <c r="O12" s="2"/>
      <c r="P12" s="2"/>
      <c r="Q12" s="2"/>
      <c r="R12" s="2"/>
      <c r="S12" s="2"/>
    </row>
    <row r="13" spans="3:27">
      <c r="E13" s="4"/>
      <c r="K13" s="2"/>
      <c r="L13" s="2"/>
      <c r="M13" s="2"/>
      <c r="N13" s="2"/>
      <c r="O13" s="2"/>
      <c r="P13" s="2"/>
      <c r="Q13" s="2"/>
      <c r="R13" s="2"/>
      <c r="S13" s="2"/>
    </row>
    <row r="14" spans="3:27">
      <c r="E14" s="4"/>
      <c r="K14" s="2"/>
      <c r="L14" s="2"/>
      <c r="M14" s="2"/>
      <c r="N14" s="2"/>
      <c r="O14" s="2"/>
      <c r="P14" s="2"/>
      <c r="Q14" s="2"/>
      <c r="R14" s="2"/>
      <c r="S14" s="2"/>
    </row>
    <row r="15" spans="3:27">
      <c r="E15" s="4"/>
      <c r="K15" s="2"/>
      <c r="L15" s="2"/>
      <c r="M15" s="2"/>
      <c r="N15" s="2"/>
      <c r="O15" s="2"/>
      <c r="P15" s="2"/>
      <c r="Q15" s="2"/>
      <c r="R15" s="2"/>
      <c r="S15" s="2"/>
    </row>
    <row r="16" spans="3:27">
      <c r="E16" s="4"/>
      <c r="K16" s="2"/>
      <c r="L16" s="2"/>
      <c r="M16" s="2"/>
      <c r="N16" s="2"/>
      <c r="O16" s="2"/>
      <c r="P16" s="2"/>
      <c r="Q16" s="2"/>
      <c r="R16" s="2"/>
      <c r="S16" s="2"/>
      <c r="U16" s="2"/>
      <c r="V16" s="2"/>
      <c r="W16" s="2"/>
      <c r="X16" s="2"/>
      <c r="Y16" s="2"/>
      <c r="Z16" s="2"/>
    </row>
    <row r="17" spans="5:27">
      <c r="E17" s="4"/>
      <c r="K17" s="2"/>
      <c r="L17" s="2"/>
      <c r="M17" s="2"/>
      <c r="N17" s="2"/>
      <c r="O17" s="2"/>
      <c r="P17" s="2"/>
      <c r="Q17" s="2"/>
      <c r="R17" s="2"/>
      <c r="S17" s="2"/>
    </row>
    <row r="18" spans="5:27">
      <c r="E18" s="4"/>
      <c r="K18" s="2"/>
      <c r="L18" s="2"/>
      <c r="M18" s="2"/>
      <c r="N18" s="2"/>
      <c r="O18" s="2"/>
      <c r="P18" s="2"/>
      <c r="Q18" s="2"/>
      <c r="R18" s="2"/>
      <c r="S18" s="2"/>
    </row>
    <row r="19" spans="5:27">
      <c r="E19" s="4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</row>
    <row r="20" spans="5:27">
      <c r="E20" s="4"/>
      <c r="K20" s="2"/>
      <c r="L20" s="2"/>
      <c r="M20" s="2"/>
      <c r="N20" s="2"/>
      <c r="O20" s="2"/>
      <c r="P20" s="2"/>
      <c r="Q20" s="2"/>
      <c r="R20" s="2"/>
      <c r="S20" s="2"/>
    </row>
    <row r="21" spans="5:27">
      <c r="E21" s="4"/>
      <c r="K21" s="2"/>
      <c r="L21" s="2"/>
      <c r="M21" s="2"/>
      <c r="N21" s="2"/>
      <c r="O21" s="2"/>
      <c r="P21" s="2"/>
      <c r="Q21" s="2"/>
      <c r="R21" s="2"/>
      <c r="S21" s="2"/>
    </row>
    <row r="22" spans="5:27"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</row>
    <row r="25" spans="5:27">
      <c r="E25" s="116"/>
    </row>
    <row r="39" spans="5:5">
      <c r="E39" s="41"/>
    </row>
  </sheetData>
  <mergeCells count="1">
    <mergeCell ref="C7:C8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10"/>
  <dimension ref="C1:AF40"/>
  <sheetViews>
    <sheetView showGridLines="0" showRowColHeaders="0" topLeftCell="A2" zoomScaleNormal="100" workbookViewId="0">
      <selection activeCell="G9" sqref="G9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24" bestFit="1" customWidth="1"/>
    <col min="6" max="6" width="6.5703125" bestFit="1" customWidth="1"/>
    <col min="7" max="7" width="24.7109375" customWidth="1"/>
    <col min="8" max="8" width="6.5703125" customWidth="1"/>
    <col min="9" max="9" width="24.7109375" customWidth="1"/>
  </cols>
  <sheetData>
    <row r="1" spans="3:32" ht="0.6" customHeight="1"/>
    <row r="2" spans="3:32" ht="21" customHeight="1">
      <c r="I2" s="106" t="s">
        <v>1</v>
      </c>
    </row>
    <row r="3" spans="3:32" ht="15" customHeight="1">
      <c r="I3" s="115" t="str">
        <f>Indice!E3</f>
        <v>Mayo 2019</v>
      </c>
    </row>
    <row r="4" spans="3:32" ht="19.899999999999999" customHeight="1">
      <c r="C4" s="105" t="s">
        <v>69</v>
      </c>
    </row>
    <row r="5" spans="3:32" ht="12.6" customHeight="1">
      <c r="H5" s="3"/>
      <c r="I5" s="49"/>
      <c r="J5" s="3"/>
      <c r="K5" s="3"/>
      <c r="L5" s="3"/>
      <c r="M5" s="3"/>
      <c r="N5" s="3"/>
      <c r="O5" s="3"/>
      <c r="P5" s="3"/>
      <c r="Q5" s="3"/>
      <c r="R5" s="3"/>
    </row>
    <row r="6" spans="3:32">
      <c r="I6" s="49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</row>
    <row r="7" spans="3:32" ht="12.75" customHeight="1">
      <c r="C7" s="305" t="s">
        <v>25</v>
      </c>
      <c r="E7" s="117"/>
      <c r="F7" s="306" t="str">
        <f>Dat_01!A2</f>
        <v>Mayo 2019</v>
      </c>
      <c r="G7" s="307"/>
      <c r="H7" s="308" t="s">
        <v>27</v>
      </c>
      <c r="I7" s="308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3:32" ht="12.75" customHeight="1">
      <c r="C8" s="305"/>
      <c r="E8" s="118" t="s">
        <v>28</v>
      </c>
      <c r="F8" s="287">
        <v>16073</v>
      </c>
      <c r="G8" s="288" t="s">
        <v>601</v>
      </c>
      <c r="H8" s="119">
        <v>17553</v>
      </c>
      <c r="I8" s="120" t="s">
        <v>94</v>
      </c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3:32" ht="12.75" customHeight="1">
      <c r="C9" s="123"/>
      <c r="E9" s="121" t="s">
        <v>29</v>
      </c>
      <c r="F9" s="289">
        <v>59.65</v>
      </c>
      <c r="G9" s="290" t="s">
        <v>602</v>
      </c>
      <c r="H9" s="151">
        <v>70.400000000000006</v>
      </c>
      <c r="I9" s="122" t="s">
        <v>95</v>
      </c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3:32">
      <c r="E10" s="4"/>
      <c r="G10" s="46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3:32">
      <c r="E11" s="4"/>
      <c r="G11" s="46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3:32">
      <c r="E12" s="4"/>
      <c r="G12" s="46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3:32">
      <c r="E13" s="4"/>
      <c r="G13" s="46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3:32">
      <c r="E14" s="4"/>
      <c r="G14" s="46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3:32">
      <c r="E15" s="4"/>
      <c r="G15" s="46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3:32">
      <c r="E16" s="4"/>
      <c r="G16" s="46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Z16" s="2"/>
      <c r="AA16" s="2"/>
      <c r="AB16" s="2"/>
      <c r="AC16" s="2"/>
      <c r="AD16" s="2"/>
      <c r="AE16" s="2"/>
    </row>
    <row r="17" spans="5:32">
      <c r="E17" s="4"/>
      <c r="G17" s="4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5:32">
      <c r="E18" s="4"/>
      <c r="G18" s="46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5:32">
      <c r="E19" s="4"/>
      <c r="G19" s="46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</row>
    <row r="20" spans="5:32">
      <c r="E20" s="4"/>
      <c r="G20" s="46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5:32">
      <c r="E21" s="4"/>
      <c r="G21" s="46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5:32">
      <c r="E22" s="41"/>
      <c r="G22" s="46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5:32">
      <c r="G23" s="46"/>
      <c r="I23" s="2"/>
    </row>
    <row r="24" spans="5:32">
      <c r="G24" s="46"/>
      <c r="I24" s="2"/>
    </row>
    <row r="25" spans="5:32">
      <c r="G25" s="46"/>
      <c r="I25" s="2"/>
    </row>
    <row r="26" spans="5:32">
      <c r="G26" s="48"/>
      <c r="I26" s="2"/>
    </row>
    <row r="27" spans="5:32">
      <c r="G27" s="46"/>
      <c r="I27" s="2"/>
    </row>
    <row r="28" spans="5:32">
      <c r="G28" s="46"/>
      <c r="I28" s="2"/>
    </row>
    <row r="29" spans="5:32">
      <c r="G29" s="46"/>
      <c r="I29" s="2"/>
    </row>
    <row r="30" spans="5:32">
      <c r="G30" s="46"/>
      <c r="I30" s="2"/>
    </row>
    <row r="31" spans="5:32">
      <c r="G31" s="46"/>
      <c r="I31" s="2"/>
    </row>
    <row r="32" spans="5:32">
      <c r="G32" s="46"/>
      <c r="I32" s="2"/>
    </row>
    <row r="33" spans="5:9">
      <c r="G33" s="46"/>
      <c r="I33" s="2"/>
    </row>
    <row r="34" spans="5:9">
      <c r="G34" s="46"/>
      <c r="I34" s="2"/>
    </row>
    <row r="35" spans="5:9">
      <c r="G35" s="46"/>
      <c r="I35" s="2"/>
    </row>
    <row r="36" spans="5:9">
      <c r="G36" s="46"/>
      <c r="I36" s="2"/>
    </row>
    <row r="37" spans="5:9">
      <c r="G37" s="46"/>
      <c r="I37" s="2"/>
    </row>
    <row r="38" spans="5:9">
      <c r="G38" s="47"/>
      <c r="I38" s="2"/>
    </row>
    <row r="39" spans="5:9">
      <c r="E39" s="41"/>
    </row>
    <row r="40" spans="5:9">
      <c r="H40" s="2"/>
    </row>
  </sheetData>
  <mergeCells count="3">
    <mergeCell ref="F7:G7"/>
    <mergeCell ref="H7:I7"/>
    <mergeCell ref="C7:C8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1"/>
  <dimension ref="C1:AH30"/>
  <sheetViews>
    <sheetView showGridLines="0" showRowColHeaders="0" topLeftCell="A2" zoomScaleNormal="100" workbookViewId="0">
      <selection activeCell="E38" sqref="E38"/>
    </sheetView>
  </sheetViews>
  <sheetFormatPr baseColWidth="10" defaultRowHeight="12.75"/>
  <cols>
    <col min="1" max="1" width="0.140625" customWidth="1"/>
    <col min="2" max="2" width="2.7109375" customWidth="1"/>
    <col min="3" max="3" width="23.7109375" customWidth="1"/>
    <col min="4" max="4" width="1.28515625" customWidth="1"/>
    <col min="5" max="5" width="105.7109375" customWidth="1"/>
    <col min="7" max="7" width="30.28515625" bestFit="1" customWidth="1"/>
  </cols>
  <sheetData>
    <row r="1" spans="3:34" ht="0.6" customHeight="1"/>
    <row r="2" spans="3:34" ht="21" customHeight="1">
      <c r="E2" s="106" t="s">
        <v>1</v>
      </c>
    </row>
    <row r="3" spans="3:34" ht="15" customHeight="1">
      <c r="E3" s="115" t="str">
        <f>Indice!E3</f>
        <v>Mayo 2019</v>
      </c>
    </row>
    <row r="4" spans="3:34" ht="19.899999999999999" customHeight="1">
      <c r="C4" s="105" t="s">
        <v>69</v>
      </c>
    </row>
    <row r="5" spans="3:34" ht="12.6" customHeight="1"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3:34">
      <c r="AG6" s="42"/>
      <c r="AH6" s="42"/>
    </row>
    <row r="7" spans="3:34" ht="12.75" customHeight="1">
      <c r="C7" s="305" t="s">
        <v>68</v>
      </c>
      <c r="E7" s="4"/>
    </row>
    <row r="8" spans="3:34">
      <c r="C8" s="305"/>
      <c r="E8" s="4"/>
    </row>
    <row r="9" spans="3:34">
      <c r="C9" s="305"/>
      <c r="E9" s="4"/>
    </row>
    <row r="10" spans="3:34">
      <c r="C10" s="218">
        <f>DATE(MID(Dat_01!B215,7,4),MID(Dat_01!B215,4,2),MID(Dat_01!B215,1,2))</f>
        <v>43593</v>
      </c>
      <c r="E10" s="4"/>
    </row>
    <row r="11" spans="3:34">
      <c r="E11" s="4"/>
    </row>
    <row r="12" spans="3:34">
      <c r="C12" s="123"/>
      <c r="E12" s="4"/>
    </row>
    <row r="13" spans="3:34">
      <c r="E13" s="4"/>
    </row>
    <row r="14" spans="3:34">
      <c r="E14" s="4"/>
    </row>
    <row r="15" spans="3:34">
      <c r="E15" s="4"/>
    </row>
    <row r="16" spans="3:34">
      <c r="E16" s="4"/>
    </row>
    <row r="17" spans="3:32">
      <c r="E17" s="4"/>
    </row>
    <row r="18" spans="3:32">
      <c r="E18" s="4"/>
    </row>
    <row r="19" spans="3:32">
      <c r="E19" s="4"/>
    </row>
    <row r="20" spans="3:32">
      <c r="E20" s="4"/>
    </row>
    <row r="21" spans="3:32">
      <c r="E21" s="4"/>
    </row>
    <row r="24" spans="3:32">
      <c r="C24" s="123"/>
    </row>
    <row r="25" spans="3:32">
      <c r="C25" s="123"/>
      <c r="E25" s="116"/>
    </row>
    <row r="26" spans="3:32">
      <c r="C26" s="12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</row>
    <row r="27" spans="3:32">
      <c r="C27" s="12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</row>
    <row r="28" spans="3:32">
      <c r="C28" s="123"/>
    </row>
    <row r="29" spans="3:32">
      <c r="C29" s="123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</row>
    <row r="30" spans="3:32"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</row>
  </sheetData>
  <mergeCells count="1">
    <mergeCell ref="C7:C9"/>
  </mergeCells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2"/>
  <dimension ref="A1:AA910"/>
  <sheetViews>
    <sheetView showGridLines="0" showRowColHeaders="0" zoomScaleNormal="100" workbookViewId="0">
      <selection activeCell="G15" sqref="G15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1.42578125" style="50"/>
    <col min="6" max="6" width="13.28515625" style="50" customWidth="1"/>
    <col min="7" max="7" width="13.42578125" style="50" bestFit="1" customWidth="1"/>
    <col min="8" max="8" width="11.42578125" style="50"/>
    <col min="9" max="9" width="14.85546875" style="50" customWidth="1"/>
    <col min="10" max="10" width="16.5703125" style="50" customWidth="1"/>
    <col min="11" max="11" width="11.7109375" style="50" bestFit="1" customWidth="1"/>
    <col min="12" max="12" width="4" style="52" customWidth="1"/>
    <col min="13" max="13" width="7.28515625" style="52" bestFit="1" customWidth="1"/>
    <col min="14" max="14" width="4.5703125" style="50" customWidth="1"/>
    <col min="15" max="20" width="13.7109375" style="50" customWidth="1"/>
    <col min="21" max="260" width="11.42578125" style="50"/>
    <col min="261" max="261" width="4.42578125" style="50" customWidth="1"/>
    <col min="262" max="262" width="13.28515625" style="50" customWidth="1"/>
    <col min="263" max="267" width="11.42578125" style="50"/>
    <col min="268" max="268" width="4" style="50" bestFit="1" customWidth="1"/>
    <col min="269" max="269" width="4.42578125" style="50" bestFit="1" customWidth="1"/>
    <col min="270" max="270" width="4.5703125" style="50" customWidth="1"/>
    <col min="271" max="516" width="11.42578125" style="50"/>
    <col min="517" max="517" width="4.42578125" style="50" customWidth="1"/>
    <col min="518" max="518" width="13.28515625" style="50" customWidth="1"/>
    <col min="519" max="523" width="11.42578125" style="50"/>
    <col min="524" max="524" width="4" style="50" bestFit="1" customWidth="1"/>
    <col min="525" max="525" width="4.42578125" style="50" bestFit="1" customWidth="1"/>
    <col min="526" max="526" width="4.5703125" style="50" customWidth="1"/>
    <col min="527" max="772" width="11.42578125" style="50"/>
    <col min="773" max="773" width="4.42578125" style="50" customWidth="1"/>
    <col min="774" max="774" width="13.28515625" style="50" customWidth="1"/>
    <col min="775" max="779" width="11.42578125" style="50"/>
    <col min="780" max="780" width="4" style="50" bestFit="1" customWidth="1"/>
    <col min="781" max="781" width="4.42578125" style="50" bestFit="1" customWidth="1"/>
    <col min="782" max="782" width="4.5703125" style="50" customWidth="1"/>
    <col min="783" max="1028" width="11.42578125" style="50"/>
    <col min="1029" max="1029" width="4.42578125" style="50" customWidth="1"/>
    <col min="1030" max="1030" width="13.28515625" style="50" customWidth="1"/>
    <col min="1031" max="1035" width="11.42578125" style="50"/>
    <col min="1036" max="1036" width="4" style="50" bestFit="1" customWidth="1"/>
    <col min="1037" max="1037" width="4.42578125" style="50" bestFit="1" customWidth="1"/>
    <col min="1038" max="1038" width="4.5703125" style="50" customWidth="1"/>
    <col min="1039" max="1284" width="11.42578125" style="50"/>
    <col min="1285" max="1285" width="4.42578125" style="50" customWidth="1"/>
    <col min="1286" max="1286" width="13.28515625" style="50" customWidth="1"/>
    <col min="1287" max="1291" width="11.42578125" style="50"/>
    <col min="1292" max="1292" width="4" style="50" bestFit="1" customWidth="1"/>
    <col min="1293" max="1293" width="4.42578125" style="50" bestFit="1" customWidth="1"/>
    <col min="1294" max="1294" width="4.5703125" style="50" customWidth="1"/>
    <col min="1295" max="1540" width="11.42578125" style="50"/>
    <col min="1541" max="1541" width="4.42578125" style="50" customWidth="1"/>
    <col min="1542" max="1542" width="13.28515625" style="50" customWidth="1"/>
    <col min="1543" max="1547" width="11.42578125" style="50"/>
    <col min="1548" max="1548" width="4" style="50" bestFit="1" customWidth="1"/>
    <col min="1549" max="1549" width="4.42578125" style="50" bestFit="1" customWidth="1"/>
    <col min="1550" max="1550" width="4.5703125" style="50" customWidth="1"/>
    <col min="1551" max="1796" width="11.42578125" style="50"/>
    <col min="1797" max="1797" width="4.42578125" style="50" customWidth="1"/>
    <col min="1798" max="1798" width="13.28515625" style="50" customWidth="1"/>
    <col min="1799" max="1803" width="11.42578125" style="50"/>
    <col min="1804" max="1804" width="4" style="50" bestFit="1" customWidth="1"/>
    <col min="1805" max="1805" width="4.42578125" style="50" bestFit="1" customWidth="1"/>
    <col min="1806" max="1806" width="4.5703125" style="50" customWidth="1"/>
    <col min="1807" max="2052" width="11.42578125" style="50"/>
    <col min="2053" max="2053" width="4.42578125" style="50" customWidth="1"/>
    <col min="2054" max="2054" width="13.28515625" style="50" customWidth="1"/>
    <col min="2055" max="2059" width="11.42578125" style="50"/>
    <col min="2060" max="2060" width="4" style="50" bestFit="1" customWidth="1"/>
    <col min="2061" max="2061" width="4.42578125" style="50" bestFit="1" customWidth="1"/>
    <col min="2062" max="2062" width="4.5703125" style="50" customWidth="1"/>
    <col min="2063" max="2308" width="11.42578125" style="50"/>
    <col min="2309" max="2309" width="4.42578125" style="50" customWidth="1"/>
    <col min="2310" max="2310" width="13.28515625" style="50" customWidth="1"/>
    <col min="2311" max="2315" width="11.42578125" style="50"/>
    <col min="2316" max="2316" width="4" style="50" bestFit="1" customWidth="1"/>
    <col min="2317" max="2317" width="4.42578125" style="50" bestFit="1" customWidth="1"/>
    <col min="2318" max="2318" width="4.5703125" style="50" customWidth="1"/>
    <col min="2319" max="2564" width="11.42578125" style="50"/>
    <col min="2565" max="2565" width="4.42578125" style="50" customWidth="1"/>
    <col min="2566" max="2566" width="13.28515625" style="50" customWidth="1"/>
    <col min="2567" max="2571" width="11.42578125" style="50"/>
    <col min="2572" max="2572" width="4" style="50" bestFit="1" customWidth="1"/>
    <col min="2573" max="2573" width="4.42578125" style="50" bestFit="1" customWidth="1"/>
    <col min="2574" max="2574" width="4.5703125" style="50" customWidth="1"/>
    <col min="2575" max="2820" width="11.42578125" style="50"/>
    <col min="2821" max="2821" width="4.42578125" style="50" customWidth="1"/>
    <col min="2822" max="2822" width="13.28515625" style="50" customWidth="1"/>
    <col min="2823" max="2827" width="11.42578125" style="50"/>
    <col min="2828" max="2828" width="4" style="50" bestFit="1" customWidth="1"/>
    <col min="2829" max="2829" width="4.42578125" style="50" bestFit="1" customWidth="1"/>
    <col min="2830" max="2830" width="4.5703125" style="50" customWidth="1"/>
    <col min="2831" max="3076" width="11.42578125" style="50"/>
    <col min="3077" max="3077" width="4.42578125" style="50" customWidth="1"/>
    <col min="3078" max="3078" width="13.28515625" style="50" customWidth="1"/>
    <col min="3079" max="3083" width="11.42578125" style="50"/>
    <col min="3084" max="3084" width="4" style="50" bestFit="1" customWidth="1"/>
    <col min="3085" max="3085" width="4.42578125" style="50" bestFit="1" customWidth="1"/>
    <col min="3086" max="3086" width="4.5703125" style="50" customWidth="1"/>
    <col min="3087" max="3332" width="11.42578125" style="50"/>
    <col min="3333" max="3333" width="4.42578125" style="50" customWidth="1"/>
    <col min="3334" max="3334" width="13.28515625" style="50" customWidth="1"/>
    <col min="3335" max="3339" width="11.42578125" style="50"/>
    <col min="3340" max="3340" width="4" style="50" bestFit="1" customWidth="1"/>
    <col min="3341" max="3341" width="4.42578125" style="50" bestFit="1" customWidth="1"/>
    <col min="3342" max="3342" width="4.5703125" style="50" customWidth="1"/>
    <col min="3343" max="3588" width="11.42578125" style="50"/>
    <col min="3589" max="3589" width="4.42578125" style="50" customWidth="1"/>
    <col min="3590" max="3590" width="13.28515625" style="50" customWidth="1"/>
    <col min="3591" max="3595" width="11.42578125" style="50"/>
    <col min="3596" max="3596" width="4" style="50" bestFit="1" customWidth="1"/>
    <col min="3597" max="3597" width="4.42578125" style="50" bestFit="1" customWidth="1"/>
    <col min="3598" max="3598" width="4.5703125" style="50" customWidth="1"/>
    <col min="3599" max="3844" width="11.42578125" style="50"/>
    <col min="3845" max="3845" width="4.42578125" style="50" customWidth="1"/>
    <col min="3846" max="3846" width="13.28515625" style="50" customWidth="1"/>
    <col min="3847" max="3851" width="11.42578125" style="50"/>
    <col min="3852" max="3852" width="4" style="50" bestFit="1" customWidth="1"/>
    <col min="3853" max="3853" width="4.42578125" style="50" bestFit="1" customWidth="1"/>
    <col min="3854" max="3854" width="4.5703125" style="50" customWidth="1"/>
    <col min="3855" max="4100" width="11.42578125" style="50"/>
    <col min="4101" max="4101" width="4.42578125" style="50" customWidth="1"/>
    <col min="4102" max="4102" width="13.28515625" style="50" customWidth="1"/>
    <col min="4103" max="4107" width="11.42578125" style="50"/>
    <col min="4108" max="4108" width="4" style="50" bestFit="1" customWidth="1"/>
    <col min="4109" max="4109" width="4.42578125" style="50" bestFit="1" customWidth="1"/>
    <col min="4110" max="4110" width="4.5703125" style="50" customWidth="1"/>
    <col min="4111" max="4356" width="11.42578125" style="50"/>
    <col min="4357" max="4357" width="4.42578125" style="50" customWidth="1"/>
    <col min="4358" max="4358" width="13.28515625" style="50" customWidth="1"/>
    <col min="4359" max="4363" width="11.42578125" style="50"/>
    <col min="4364" max="4364" width="4" style="50" bestFit="1" customWidth="1"/>
    <col min="4365" max="4365" width="4.42578125" style="50" bestFit="1" customWidth="1"/>
    <col min="4366" max="4366" width="4.5703125" style="50" customWidth="1"/>
    <col min="4367" max="4612" width="11.42578125" style="50"/>
    <col min="4613" max="4613" width="4.42578125" style="50" customWidth="1"/>
    <col min="4614" max="4614" width="13.28515625" style="50" customWidth="1"/>
    <col min="4615" max="4619" width="11.42578125" style="50"/>
    <col min="4620" max="4620" width="4" style="50" bestFit="1" customWidth="1"/>
    <col min="4621" max="4621" width="4.42578125" style="50" bestFit="1" customWidth="1"/>
    <col min="4622" max="4622" width="4.5703125" style="50" customWidth="1"/>
    <col min="4623" max="4868" width="11.42578125" style="50"/>
    <col min="4869" max="4869" width="4.42578125" style="50" customWidth="1"/>
    <col min="4870" max="4870" width="13.28515625" style="50" customWidth="1"/>
    <col min="4871" max="4875" width="11.42578125" style="50"/>
    <col min="4876" max="4876" width="4" style="50" bestFit="1" customWidth="1"/>
    <col min="4877" max="4877" width="4.42578125" style="50" bestFit="1" customWidth="1"/>
    <col min="4878" max="4878" width="4.5703125" style="50" customWidth="1"/>
    <col min="4879" max="5124" width="11.42578125" style="50"/>
    <col min="5125" max="5125" width="4.42578125" style="50" customWidth="1"/>
    <col min="5126" max="5126" width="13.28515625" style="50" customWidth="1"/>
    <col min="5127" max="5131" width="11.42578125" style="50"/>
    <col min="5132" max="5132" width="4" style="50" bestFit="1" customWidth="1"/>
    <col min="5133" max="5133" width="4.42578125" style="50" bestFit="1" customWidth="1"/>
    <col min="5134" max="5134" width="4.5703125" style="50" customWidth="1"/>
    <col min="5135" max="5380" width="11.42578125" style="50"/>
    <col min="5381" max="5381" width="4.42578125" style="50" customWidth="1"/>
    <col min="5382" max="5382" width="13.28515625" style="50" customWidth="1"/>
    <col min="5383" max="5387" width="11.42578125" style="50"/>
    <col min="5388" max="5388" width="4" style="50" bestFit="1" customWidth="1"/>
    <col min="5389" max="5389" width="4.42578125" style="50" bestFit="1" customWidth="1"/>
    <col min="5390" max="5390" width="4.5703125" style="50" customWidth="1"/>
    <col min="5391" max="5636" width="11.42578125" style="50"/>
    <col min="5637" max="5637" width="4.42578125" style="50" customWidth="1"/>
    <col min="5638" max="5638" width="13.28515625" style="50" customWidth="1"/>
    <col min="5639" max="5643" width="11.42578125" style="50"/>
    <col min="5644" max="5644" width="4" style="50" bestFit="1" customWidth="1"/>
    <col min="5645" max="5645" width="4.42578125" style="50" bestFit="1" customWidth="1"/>
    <col min="5646" max="5646" width="4.5703125" style="50" customWidth="1"/>
    <col min="5647" max="5892" width="11.42578125" style="50"/>
    <col min="5893" max="5893" width="4.42578125" style="50" customWidth="1"/>
    <col min="5894" max="5894" width="13.28515625" style="50" customWidth="1"/>
    <col min="5895" max="5899" width="11.42578125" style="50"/>
    <col min="5900" max="5900" width="4" style="50" bestFit="1" customWidth="1"/>
    <col min="5901" max="5901" width="4.42578125" style="50" bestFit="1" customWidth="1"/>
    <col min="5902" max="5902" width="4.5703125" style="50" customWidth="1"/>
    <col min="5903" max="6148" width="11.42578125" style="50"/>
    <col min="6149" max="6149" width="4.42578125" style="50" customWidth="1"/>
    <col min="6150" max="6150" width="13.28515625" style="50" customWidth="1"/>
    <col min="6151" max="6155" width="11.42578125" style="50"/>
    <col min="6156" max="6156" width="4" style="50" bestFit="1" customWidth="1"/>
    <col min="6157" max="6157" width="4.42578125" style="50" bestFit="1" customWidth="1"/>
    <col min="6158" max="6158" width="4.5703125" style="50" customWidth="1"/>
    <col min="6159" max="6404" width="11.42578125" style="50"/>
    <col min="6405" max="6405" width="4.42578125" style="50" customWidth="1"/>
    <col min="6406" max="6406" width="13.28515625" style="50" customWidth="1"/>
    <col min="6407" max="6411" width="11.42578125" style="50"/>
    <col min="6412" max="6412" width="4" style="50" bestFit="1" customWidth="1"/>
    <col min="6413" max="6413" width="4.42578125" style="50" bestFit="1" customWidth="1"/>
    <col min="6414" max="6414" width="4.5703125" style="50" customWidth="1"/>
    <col min="6415" max="6660" width="11.42578125" style="50"/>
    <col min="6661" max="6661" width="4.42578125" style="50" customWidth="1"/>
    <col min="6662" max="6662" width="13.28515625" style="50" customWidth="1"/>
    <col min="6663" max="6667" width="11.42578125" style="50"/>
    <col min="6668" max="6668" width="4" style="50" bestFit="1" customWidth="1"/>
    <col min="6669" max="6669" width="4.42578125" style="50" bestFit="1" customWidth="1"/>
    <col min="6670" max="6670" width="4.5703125" style="50" customWidth="1"/>
    <col min="6671" max="6916" width="11.42578125" style="50"/>
    <col min="6917" max="6917" width="4.42578125" style="50" customWidth="1"/>
    <col min="6918" max="6918" width="13.28515625" style="50" customWidth="1"/>
    <col min="6919" max="6923" width="11.42578125" style="50"/>
    <col min="6924" max="6924" width="4" style="50" bestFit="1" customWidth="1"/>
    <col min="6925" max="6925" width="4.42578125" style="50" bestFit="1" customWidth="1"/>
    <col min="6926" max="6926" width="4.5703125" style="50" customWidth="1"/>
    <col min="6927" max="7172" width="11.42578125" style="50"/>
    <col min="7173" max="7173" width="4.42578125" style="50" customWidth="1"/>
    <col min="7174" max="7174" width="13.28515625" style="50" customWidth="1"/>
    <col min="7175" max="7179" width="11.42578125" style="50"/>
    <col min="7180" max="7180" width="4" style="50" bestFit="1" customWidth="1"/>
    <col min="7181" max="7181" width="4.42578125" style="50" bestFit="1" customWidth="1"/>
    <col min="7182" max="7182" width="4.5703125" style="50" customWidth="1"/>
    <col min="7183" max="7428" width="11.42578125" style="50"/>
    <col min="7429" max="7429" width="4.42578125" style="50" customWidth="1"/>
    <col min="7430" max="7430" width="13.28515625" style="50" customWidth="1"/>
    <col min="7431" max="7435" width="11.42578125" style="50"/>
    <col min="7436" max="7436" width="4" style="50" bestFit="1" customWidth="1"/>
    <col min="7437" max="7437" width="4.42578125" style="50" bestFit="1" customWidth="1"/>
    <col min="7438" max="7438" width="4.5703125" style="50" customWidth="1"/>
    <col min="7439" max="7684" width="11.42578125" style="50"/>
    <col min="7685" max="7685" width="4.42578125" style="50" customWidth="1"/>
    <col min="7686" max="7686" width="13.28515625" style="50" customWidth="1"/>
    <col min="7687" max="7691" width="11.42578125" style="50"/>
    <col min="7692" max="7692" width="4" style="50" bestFit="1" customWidth="1"/>
    <col min="7693" max="7693" width="4.42578125" style="50" bestFit="1" customWidth="1"/>
    <col min="7694" max="7694" width="4.5703125" style="50" customWidth="1"/>
    <col min="7695" max="7940" width="11.42578125" style="50"/>
    <col min="7941" max="7941" width="4.42578125" style="50" customWidth="1"/>
    <col min="7942" max="7942" width="13.28515625" style="50" customWidth="1"/>
    <col min="7943" max="7947" width="11.42578125" style="50"/>
    <col min="7948" max="7948" width="4" style="50" bestFit="1" customWidth="1"/>
    <col min="7949" max="7949" width="4.42578125" style="50" bestFit="1" customWidth="1"/>
    <col min="7950" max="7950" width="4.5703125" style="50" customWidth="1"/>
    <col min="7951" max="8196" width="11.42578125" style="50"/>
    <col min="8197" max="8197" width="4.42578125" style="50" customWidth="1"/>
    <col min="8198" max="8198" width="13.28515625" style="50" customWidth="1"/>
    <col min="8199" max="8203" width="11.42578125" style="50"/>
    <col min="8204" max="8204" width="4" style="50" bestFit="1" customWidth="1"/>
    <col min="8205" max="8205" width="4.42578125" style="50" bestFit="1" customWidth="1"/>
    <col min="8206" max="8206" width="4.5703125" style="50" customWidth="1"/>
    <col min="8207" max="8452" width="11.42578125" style="50"/>
    <col min="8453" max="8453" width="4.42578125" style="50" customWidth="1"/>
    <col min="8454" max="8454" width="13.28515625" style="50" customWidth="1"/>
    <col min="8455" max="8459" width="11.42578125" style="50"/>
    <col min="8460" max="8460" width="4" style="50" bestFit="1" customWidth="1"/>
    <col min="8461" max="8461" width="4.42578125" style="50" bestFit="1" customWidth="1"/>
    <col min="8462" max="8462" width="4.5703125" style="50" customWidth="1"/>
    <col min="8463" max="8708" width="11.42578125" style="50"/>
    <col min="8709" max="8709" width="4.42578125" style="50" customWidth="1"/>
    <col min="8710" max="8710" width="13.28515625" style="50" customWidth="1"/>
    <col min="8711" max="8715" width="11.42578125" style="50"/>
    <col min="8716" max="8716" width="4" style="50" bestFit="1" customWidth="1"/>
    <col min="8717" max="8717" width="4.42578125" style="50" bestFit="1" customWidth="1"/>
    <col min="8718" max="8718" width="4.5703125" style="50" customWidth="1"/>
    <col min="8719" max="8964" width="11.42578125" style="50"/>
    <col min="8965" max="8965" width="4.42578125" style="50" customWidth="1"/>
    <col min="8966" max="8966" width="13.28515625" style="50" customWidth="1"/>
    <col min="8967" max="8971" width="11.42578125" style="50"/>
    <col min="8972" max="8972" width="4" style="50" bestFit="1" customWidth="1"/>
    <col min="8973" max="8973" width="4.42578125" style="50" bestFit="1" customWidth="1"/>
    <col min="8974" max="8974" width="4.5703125" style="50" customWidth="1"/>
    <col min="8975" max="9220" width="11.42578125" style="50"/>
    <col min="9221" max="9221" width="4.42578125" style="50" customWidth="1"/>
    <col min="9222" max="9222" width="13.28515625" style="50" customWidth="1"/>
    <col min="9223" max="9227" width="11.42578125" style="50"/>
    <col min="9228" max="9228" width="4" style="50" bestFit="1" customWidth="1"/>
    <col min="9229" max="9229" width="4.42578125" style="50" bestFit="1" customWidth="1"/>
    <col min="9230" max="9230" width="4.5703125" style="50" customWidth="1"/>
    <col min="9231" max="9476" width="11.42578125" style="50"/>
    <col min="9477" max="9477" width="4.42578125" style="50" customWidth="1"/>
    <col min="9478" max="9478" width="13.28515625" style="50" customWidth="1"/>
    <col min="9479" max="9483" width="11.42578125" style="50"/>
    <col min="9484" max="9484" width="4" style="50" bestFit="1" customWidth="1"/>
    <col min="9485" max="9485" width="4.42578125" style="50" bestFit="1" customWidth="1"/>
    <col min="9486" max="9486" width="4.5703125" style="50" customWidth="1"/>
    <col min="9487" max="9732" width="11.42578125" style="50"/>
    <col min="9733" max="9733" width="4.42578125" style="50" customWidth="1"/>
    <col min="9734" max="9734" width="13.28515625" style="50" customWidth="1"/>
    <col min="9735" max="9739" width="11.42578125" style="50"/>
    <col min="9740" max="9740" width="4" style="50" bestFit="1" customWidth="1"/>
    <col min="9741" max="9741" width="4.42578125" style="50" bestFit="1" customWidth="1"/>
    <col min="9742" max="9742" width="4.5703125" style="50" customWidth="1"/>
    <col min="9743" max="9988" width="11.42578125" style="50"/>
    <col min="9989" max="9989" width="4.42578125" style="50" customWidth="1"/>
    <col min="9990" max="9990" width="13.28515625" style="50" customWidth="1"/>
    <col min="9991" max="9995" width="11.42578125" style="50"/>
    <col min="9996" max="9996" width="4" style="50" bestFit="1" customWidth="1"/>
    <col min="9997" max="9997" width="4.42578125" style="50" bestFit="1" customWidth="1"/>
    <col min="9998" max="9998" width="4.5703125" style="50" customWidth="1"/>
    <col min="9999" max="10244" width="11.42578125" style="50"/>
    <col min="10245" max="10245" width="4.42578125" style="50" customWidth="1"/>
    <col min="10246" max="10246" width="13.28515625" style="50" customWidth="1"/>
    <col min="10247" max="10251" width="11.42578125" style="50"/>
    <col min="10252" max="10252" width="4" style="50" bestFit="1" customWidth="1"/>
    <col min="10253" max="10253" width="4.42578125" style="50" bestFit="1" customWidth="1"/>
    <col min="10254" max="10254" width="4.5703125" style="50" customWidth="1"/>
    <col min="10255" max="10500" width="11.42578125" style="50"/>
    <col min="10501" max="10501" width="4.42578125" style="50" customWidth="1"/>
    <col min="10502" max="10502" width="13.28515625" style="50" customWidth="1"/>
    <col min="10503" max="10507" width="11.42578125" style="50"/>
    <col min="10508" max="10508" width="4" style="50" bestFit="1" customWidth="1"/>
    <col min="10509" max="10509" width="4.42578125" style="50" bestFit="1" customWidth="1"/>
    <col min="10510" max="10510" width="4.5703125" style="50" customWidth="1"/>
    <col min="10511" max="10756" width="11.42578125" style="50"/>
    <col min="10757" max="10757" width="4.42578125" style="50" customWidth="1"/>
    <col min="10758" max="10758" width="13.28515625" style="50" customWidth="1"/>
    <col min="10759" max="10763" width="11.42578125" style="50"/>
    <col min="10764" max="10764" width="4" style="50" bestFit="1" customWidth="1"/>
    <col min="10765" max="10765" width="4.42578125" style="50" bestFit="1" customWidth="1"/>
    <col min="10766" max="10766" width="4.5703125" style="50" customWidth="1"/>
    <col min="10767" max="11012" width="11.42578125" style="50"/>
    <col min="11013" max="11013" width="4.42578125" style="50" customWidth="1"/>
    <col min="11014" max="11014" width="13.28515625" style="50" customWidth="1"/>
    <col min="11015" max="11019" width="11.42578125" style="50"/>
    <col min="11020" max="11020" width="4" style="50" bestFit="1" customWidth="1"/>
    <col min="11021" max="11021" width="4.42578125" style="50" bestFit="1" customWidth="1"/>
    <col min="11022" max="11022" width="4.5703125" style="50" customWidth="1"/>
    <col min="11023" max="11268" width="11.42578125" style="50"/>
    <col min="11269" max="11269" width="4.42578125" style="50" customWidth="1"/>
    <col min="11270" max="11270" width="13.28515625" style="50" customWidth="1"/>
    <col min="11271" max="11275" width="11.42578125" style="50"/>
    <col min="11276" max="11276" width="4" style="50" bestFit="1" customWidth="1"/>
    <col min="11277" max="11277" width="4.42578125" style="50" bestFit="1" customWidth="1"/>
    <col min="11278" max="11278" width="4.5703125" style="50" customWidth="1"/>
    <col min="11279" max="11524" width="11.42578125" style="50"/>
    <col min="11525" max="11525" width="4.42578125" style="50" customWidth="1"/>
    <col min="11526" max="11526" width="13.28515625" style="50" customWidth="1"/>
    <col min="11527" max="11531" width="11.42578125" style="50"/>
    <col min="11532" max="11532" width="4" style="50" bestFit="1" customWidth="1"/>
    <col min="11533" max="11533" width="4.42578125" style="50" bestFit="1" customWidth="1"/>
    <col min="11534" max="11534" width="4.5703125" style="50" customWidth="1"/>
    <col min="11535" max="11780" width="11.42578125" style="50"/>
    <col min="11781" max="11781" width="4.42578125" style="50" customWidth="1"/>
    <col min="11782" max="11782" width="13.28515625" style="50" customWidth="1"/>
    <col min="11783" max="11787" width="11.42578125" style="50"/>
    <col min="11788" max="11788" width="4" style="50" bestFit="1" customWidth="1"/>
    <col min="11789" max="11789" width="4.42578125" style="50" bestFit="1" customWidth="1"/>
    <col min="11790" max="11790" width="4.5703125" style="50" customWidth="1"/>
    <col min="11791" max="12036" width="11.42578125" style="50"/>
    <col min="12037" max="12037" width="4.42578125" style="50" customWidth="1"/>
    <col min="12038" max="12038" width="13.28515625" style="50" customWidth="1"/>
    <col min="12039" max="12043" width="11.42578125" style="50"/>
    <col min="12044" max="12044" width="4" style="50" bestFit="1" customWidth="1"/>
    <col min="12045" max="12045" width="4.42578125" style="50" bestFit="1" customWidth="1"/>
    <col min="12046" max="12046" width="4.5703125" style="50" customWidth="1"/>
    <col min="12047" max="12292" width="11.42578125" style="50"/>
    <col min="12293" max="12293" width="4.42578125" style="50" customWidth="1"/>
    <col min="12294" max="12294" width="13.28515625" style="50" customWidth="1"/>
    <col min="12295" max="12299" width="11.42578125" style="50"/>
    <col min="12300" max="12300" width="4" style="50" bestFit="1" customWidth="1"/>
    <col min="12301" max="12301" width="4.42578125" style="50" bestFit="1" customWidth="1"/>
    <col min="12302" max="12302" width="4.5703125" style="50" customWidth="1"/>
    <col min="12303" max="12548" width="11.42578125" style="50"/>
    <col min="12549" max="12549" width="4.42578125" style="50" customWidth="1"/>
    <col min="12550" max="12550" width="13.28515625" style="50" customWidth="1"/>
    <col min="12551" max="12555" width="11.42578125" style="50"/>
    <col min="12556" max="12556" width="4" style="50" bestFit="1" customWidth="1"/>
    <col min="12557" max="12557" width="4.42578125" style="50" bestFit="1" customWidth="1"/>
    <col min="12558" max="12558" width="4.5703125" style="50" customWidth="1"/>
    <col min="12559" max="12804" width="11.42578125" style="50"/>
    <col min="12805" max="12805" width="4.42578125" style="50" customWidth="1"/>
    <col min="12806" max="12806" width="13.28515625" style="50" customWidth="1"/>
    <col min="12807" max="12811" width="11.42578125" style="50"/>
    <col min="12812" max="12812" width="4" style="50" bestFit="1" customWidth="1"/>
    <col min="12813" max="12813" width="4.42578125" style="50" bestFit="1" customWidth="1"/>
    <col min="12814" max="12814" width="4.5703125" style="50" customWidth="1"/>
    <col min="12815" max="13060" width="11.42578125" style="50"/>
    <col min="13061" max="13061" width="4.42578125" style="50" customWidth="1"/>
    <col min="13062" max="13062" width="13.28515625" style="50" customWidth="1"/>
    <col min="13063" max="13067" width="11.42578125" style="50"/>
    <col min="13068" max="13068" width="4" style="50" bestFit="1" customWidth="1"/>
    <col min="13069" max="13069" width="4.42578125" style="50" bestFit="1" customWidth="1"/>
    <col min="13070" max="13070" width="4.5703125" style="50" customWidth="1"/>
    <col min="13071" max="13316" width="11.42578125" style="50"/>
    <col min="13317" max="13317" width="4.42578125" style="50" customWidth="1"/>
    <col min="13318" max="13318" width="13.28515625" style="50" customWidth="1"/>
    <col min="13319" max="13323" width="11.42578125" style="50"/>
    <col min="13324" max="13324" width="4" style="50" bestFit="1" customWidth="1"/>
    <col min="13325" max="13325" width="4.42578125" style="50" bestFit="1" customWidth="1"/>
    <col min="13326" max="13326" width="4.5703125" style="50" customWidth="1"/>
    <col min="13327" max="13572" width="11.42578125" style="50"/>
    <col min="13573" max="13573" width="4.42578125" style="50" customWidth="1"/>
    <col min="13574" max="13574" width="13.28515625" style="50" customWidth="1"/>
    <col min="13575" max="13579" width="11.42578125" style="50"/>
    <col min="13580" max="13580" width="4" style="50" bestFit="1" customWidth="1"/>
    <col min="13581" max="13581" width="4.42578125" style="50" bestFit="1" customWidth="1"/>
    <col min="13582" max="13582" width="4.5703125" style="50" customWidth="1"/>
    <col min="13583" max="13828" width="11.42578125" style="50"/>
    <col min="13829" max="13829" width="4.42578125" style="50" customWidth="1"/>
    <col min="13830" max="13830" width="13.28515625" style="50" customWidth="1"/>
    <col min="13831" max="13835" width="11.42578125" style="50"/>
    <col min="13836" max="13836" width="4" style="50" bestFit="1" customWidth="1"/>
    <col min="13837" max="13837" width="4.42578125" style="50" bestFit="1" customWidth="1"/>
    <col min="13838" max="13838" width="4.5703125" style="50" customWidth="1"/>
    <col min="13839" max="14084" width="11.42578125" style="50"/>
    <col min="14085" max="14085" width="4.42578125" style="50" customWidth="1"/>
    <col min="14086" max="14086" width="13.28515625" style="50" customWidth="1"/>
    <col min="14087" max="14091" width="11.42578125" style="50"/>
    <col min="14092" max="14092" width="4" style="50" bestFit="1" customWidth="1"/>
    <col min="14093" max="14093" width="4.42578125" style="50" bestFit="1" customWidth="1"/>
    <col min="14094" max="14094" width="4.5703125" style="50" customWidth="1"/>
    <col min="14095" max="14340" width="11.42578125" style="50"/>
    <col min="14341" max="14341" width="4.42578125" style="50" customWidth="1"/>
    <col min="14342" max="14342" width="13.28515625" style="50" customWidth="1"/>
    <col min="14343" max="14347" width="11.42578125" style="50"/>
    <col min="14348" max="14348" width="4" style="50" bestFit="1" customWidth="1"/>
    <col min="14349" max="14349" width="4.42578125" style="50" bestFit="1" customWidth="1"/>
    <col min="14350" max="14350" width="4.5703125" style="50" customWidth="1"/>
    <col min="14351" max="14596" width="11.42578125" style="50"/>
    <col min="14597" max="14597" width="4.42578125" style="50" customWidth="1"/>
    <col min="14598" max="14598" width="13.28515625" style="50" customWidth="1"/>
    <col min="14599" max="14603" width="11.42578125" style="50"/>
    <col min="14604" max="14604" width="4" style="50" bestFit="1" customWidth="1"/>
    <col min="14605" max="14605" width="4.42578125" style="50" bestFit="1" customWidth="1"/>
    <col min="14606" max="14606" width="4.5703125" style="50" customWidth="1"/>
    <col min="14607" max="14852" width="11.42578125" style="50"/>
    <col min="14853" max="14853" width="4.42578125" style="50" customWidth="1"/>
    <col min="14854" max="14854" width="13.28515625" style="50" customWidth="1"/>
    <col min="14855" max="14859" width="11.42578125" style="50"/>
    <col min="14860" max="14860" width="4" style="50" bestFit="1" customWidth="1"/>
    <col min="14861" max="14861" width="4.42578125" style="50" bestFit="1" customWidth="1"/>
    <col min="14862" max="14862" width="4.5703125" style="50" customWidth="1"/>
    <col min="14863" max="15108" width="11.42578125" style="50"/>
    <col min="15109" max="15109" width="4.42578125" style="50" customWidth="1"/>
    <col min="15110" max="15110" width="13.28515625" style="50" customWidth="1"/>
    <col min="15111" max="15115" width="11.42578125" style="50"/>
    <col min="15116" max="15116" width="4" style="50" bestFit="1" customWidth="1"/>
    <col min="15117" max="15117" width="4.42578125" style="50" bestFit="1" customWidth="1"/>
    <col min="15118" max="15118" width="4.5703125" style="50" customWidth="1"/>
    <col min="15119" max="15364" width="11.42578125" style="50"/>
    <col min="15365" max="15365" width="4.42578125" style="50" customWidth="1"/>
    <col min="15366" max="15366" width="13.28515625" style="50" customWidth="1"/>
    <col min="15367" max="15371" width="11.42578125" style="50"/>
    <col min="15372" max="15372" width="4" style="50" bestFit="1" customWidth="1"/>
    <col min="15373" max="15373" width="4.42578125" style="50" bestFit="1" customWidth="1"/>
    <col min="15374" max="15374" width="4.5703125" style="50" customWidth="1"/>
    <col min="15375" max="15620" width="11.42578125" style="50"/>
    <col min="15621" max="15621" width="4.42578125" style="50" customWidth="1"/>
    <col min="15622" max="15622" width="13.28515625" style="50" customWidth="1"/>
    <col min="15623" max="15627" width="11.42578125" style="50"/>
    <col min="15628" max="15628" width="4" style="50" bestFit="1" customWidth="1"/>
    <col min="15629" max="15629" width="4.42578125" style="50" bestFit="1" customWidth="1"/>
    <col min="15630" max="15630" width="4.5703125" style="50" customWidth="1"/>
    <col min="15631" max="15876" width="11.42578125" style="50"/>
    <col min="15877" max="15877" width="4.42578125" style="50" customWidth="1"/>
    <col min="15878" max="15878" width="13.28515625" style="50" customWidth="1"/>
    <col min="15879" max="15883" width="11.42578125" style="50"/>
    <col min="15884" max="15884" width="4" style="50" bestFit="1" customWidth="1"/>
    <col min="15885" max="15885" width="4.42578125" style="50" bestFit="1" customWidth="1"/>
    <col min="15886" max="15886" width="4.5703125" style="50" customWidth="1"/>
    <col min="15887" max="16132" width="11.42578125" style="50"/>
    <col min="16133" max="16133" width="4.42578125" style="50" customWidth="1"/>
    <col min="16134" max="16134" width="13.28515625" style="50" customWidth="1"/>
    <col min="16135" max="16139" width="11.42578125" style="50"/>
    <col min="16140" max="16140" width="4" style="50" bestFit="1" customWidth="1"/>
    <col min="16141" max="16141" width="4.42578125" style="50" bestFit="1" customWidth="1"/>
    <col min="16142" max="16142" width="4.5703125" style="50" customWidth="1"/>
    <col min="16143" max="16384" width="11.42578125" style="50"/>
  </cols>
  <sheetData>
    <row r="1" spans="2:22">
      <c r="F1" s="51"/>
    </row>
    <row r="2" spans="2:22">
      <c r="D2" s="106" t="s">
        <v>1</v>
      </c>
    </row>
    <row r="3" spans="2:22">
      <c r="D3" s="115" t="str">
        <f>Indice!E3</f>
        <v>Mayo 2019</v>
      </c>
    </row>
    <row r="4" spans="2:22" ht="20.100000000000001" customHeight="1">
      <c r="B4" s="105" t="s">
        <v>69</v>
      </c>
      <c r="V4" s="55"/>
    </row>
    <row r="5" spans="2:22">
      <c r="V5" s="55"/>
    </row>
    <row r="6" spans="2:22">
      <c r="V6" s="55"/>
    </row>
    <row r="7" spans="2:22">
      <c r="B7" s="305" t="s">
        <v>26</v>
      </c>
      <c r="V7" s="55"/>
    </row>
    <row r="8" spans="2:22">
      <c r="B8" s="305"/>
      <c r="O8" s="56"/>
      <c r="V8" s="55"/>
    </row>
    <row r="9" spans="2:22">
      <c r="B9" s="305"/>
      <c r="O9" s="56"/>
      <c r="V9" s="55"/>
    </row>
    <row r="10" spans="2:22">
      <c r="D10" s="4"/>
      <c r="O10" s="56"/>
      <c r="V10" s="55"/>
    </row>
    <row r="11" spans="2:22">
      <c r="D11" s="4"/>
      <c r="O11" s="56"/>
      <c r="V11" s="55"/>
    </row>
    <row r="12" spans="2:22">
      <c r="D12" s="4"/>
      <c r="O12" s="56"/>
      <c r="V12" s="55"/>
    </row>
    <row r="13" spans="2:22">
      <c r="D13" s="4"/>
      <c r="O13" s="56"/>
      <c r="V13" s="55"/>
    </row>
    <row r="14" spans="2:22">
      <c r="D14" s="4"/>
      <c r="O14" s="56"/>
      <c r="V14" s="55"/>
    </row>
    <row r="15" spans="2:22">
      <c r="D15" s="4"/>
      <c r="O15" s="56"/>
      <c r="V15" s="55"/>
    </row>
    <row r="16" spans="2:22">
      <c r="D16" s="4"/>
      <c r="O16" s="56"/>
      <c r="V16" s="55"/>
    </row>
    <row r="17" spans="1:27">
      <c r="D17" s="4"/>
      <c r="O17" s="56"/>
      <c r="V17" s="55"/>
    </row>
    <row r="18" spans="1:27">
      <c r="D18" s="4"/>
      <c r="O18" s="56"/>
      <c r="V18" s="55"/>
    </row>
    <row r="19" spans="1:27">
      <c r="D19" s="4"/>
      <c r="O19" s="56"/>
      <c r="V19" s="55"/>
    </row>
    <row r="20" spans="1:27" s="57" customFormat="1">
      <c r="A20"/>
      <c r="B20"/>
      <c r="C20"/>
      <c r="D20" s="4"/>
      <c r="O20" s="56"/>
      <c r="P20" s="50"/>
      <c r="V20" s="55"/>
    </row>
    <row r="21" spans="1:27" s="57" customFormat="1">
      <c r="A21"/>
      <c r="B21"/>
      <c r="C21"/>
      <c r="D21" s="4"/>
      <c r="O21" s="56"/>
      <c r="P21" s="50"/>
      <c r="V21" s="55"/>
    </row>
    <row r="22" spans="1:27">
      <c r="D22" s="41"/>
      <c r="O22" s="56"/>
      <c r="V22" s="55"/>
    </row>
    <row r="23" spans="1:27">
      <c r="O23" s="56"/>
      <c r="V23" s="55"/>
    </row>
    <row r="24" spans="1:27">
      <c r="O24" s="56"/>
      <c r="V24" s="55"/>
    </row>
    <row r="25" spans="1:27">
      <c r="O25" s="56"/>
      <c r="V25" s="55"/>
    </row>
    <row r="26" spans="1:27">
      <c r="O26" s="56"/>
      <c r="V26" s="55"/>
    </row>
    <row r="27" spans="1:27">
      <c r="O27" s="56"/>
      <c r="V27" s="55"/>
    </row>
    <row r="28" spans="1:27">
      <c r="O28" s="56"/>
      <c r="V28" s="55"/>
    </row>
    <row r="29" spans="1:27">
      <c r="O29" s="56"/>
      <c r="V29" s="55"/>
    </row>
    <row r="30" spans="1:27">
      <c r="O30" s="56"/>
      <c r="V30" s="55"/>
    </row>
    <row r="31" spans="1:27">
      <c r="O31" s="56"/>
      <c r="V31" s="55"/>
      <c r="Y31" s="58"/>
      <c r="Z31" s="58"/>
      <c r="AA31" s="59"/>
    </row>
    <row r="32" spans="1:27">
      <c r="O32" s="56"/>
      <c r="V32" s="55"/>
      <c r="Y32" s="58"/>
      <c r="Z32" s="58"/>
      <c r="AA32" s="59"/>
    </row>
    <row r="33" spans="15:27">
      <c r="O33" s="56"/>
      <c r="V33" s="55"/>
      <c r="Y33" s="58"/>
      <c r="Z33" s="58"/>
      <c r="AA33" s="59"/>
    </row>
    <row r="34" spans="15:27">
      <c r="O34" s="56"/>
      <c r="V34" s="55"/>
      <c r="Y34" s="58"/>
      <c r="Z34" s="58"/>
      <c r="AA34" s="59"/>
    </row>
    <row r="35" spans="15:27">
      <c r="O35" s="56"/>
      <c r="V35" s="55"/>
      <c r="Y35" s="58"/>
      <c r="Z35" s="58"/>
      <c r="AA35" s="59"/>
    </row>
    <row r="36" spans="15:27">
      <c r="O36" s="56"/>
      <c r="V36" s="55"/>
      <c r="Y36" s="58"/>
      <c r="Z36" s="58"/>
      <c r="AA36" s="59"/>
    </row>
    <row r="37" spans="15:27">
      <c r="O37" s="56"/>
      <c r="V37" s="55"/>
      <c r="Y37" s="58"/>
      <c r="Z37" s="58"/>
      <c r="AA37" s="59"/>
    </row>
    <row r="38" spans="15:27">
      <c r="O38" s="56"/>
      <c r="V38" s="55"/>
      <c r="Y38" s="58"/>
      <c r="Z38" s="58"/>
      <c r="AA38" s="59"/>
    </row>
    <row r="39" spans="15:27">
      <c r="O39" s="56"/>
      <c r="V39" s="55"/>
      <c r="Y39" s="58"/>
      <c r="Z39" s="58"/>
      <c r="AA39" s="59"/>
    </row>
    <row r="40" spans="15:27">
      <c r="O40" s="56"/>
      <c r="V40" s="55"/>
      <c r="Y40" s="58"/>
      <c r="Z40" s="58"/>
      <c r="AA40" s="59"/>
    </row>
    <row r="41" spans="15:27">
      <c r="O41" s="56"/>
      <c r="V41" s="55"/>
      <c r="Y41" s="58"/>
      <c r="Z41" s="58"/>
      <c r="AA41" s="59"/>
    </row>
    <row r="42" spans="15:27">
      <c r="O42" s="56"/>
      <c r="V42" s="55"/>
      <c r="Y42" s="58"/>
      <c r="Z42" s="58"/>
      <c r="AA42" s="59"/>
    </row>
    <row r="43" spans="15:27">
      <c r="O43" s="56"/>
      <c r="V43" s="55"/>
      <c r="Y43" s="58"/>
      <c r="Z43" s="58"/>
      <c r="AA43" s="59"/>
    </row>
    <row r="44" spans="15:27">
      <c r="O44" s="56"/>
      <c r="V44" s="55"/>
      <c r="Y44" s="58"/>
      <c r="Z44" s="58"/>
      <c r="AA44" s="59"/>
    </row>
    <row r="45" spans="15:27">
      <c r="O45" s="56"/>
      <c r="V45" s="55"/>
      <c r="Y45" s="58"/>
      <c r="Z45" s="58"/>
      <c r="AA45" s="59"/>
    </row>
    <row r="46" spans="15:27">
      <c r="O46" s="56"/>
      <c r="V46" s="55"/>
      <c r="Y46" s="58"/>
      <c r="Z46" s="58"/>
      <c r="AA46" s="59"/>
    </row>
    <row r="47" spans="15:27">
      <c r="O47" s="56"/>
      <c r="V47" s="55"/>
      <c r="Y47" s="58"/>
      <c r="Z47" s="58"/>
      <c r="AA47" s="59"/>
    </row>
    <row r="48" spans="15:27">
      <c r="O48" s="56"/>
      <c r="V48" s="55"/>
      <c r="Y48" s="58"/>
      <c r="Z48" s="58"/>
      <c r="AA48" s="59"/>
    </row>
    <row r="49" spans="15:27">
      <c r="O49" s="56"/>
      <c r="V49" s="55"/>
      <c r="Y49" s="58"/>
      <c r="Z49" s="58"/>
      <c r="AA49" s="59"/>
    </row>
    <row r="50" spans="15:27">
      <c r="O50" s="56"/>
      <c r="V50" s="55"/>
      <c r="Y50" s="58"/>
      <c r="Z50" s="58"/>
      <c r="AA50" s="59"/>
    </row>
    <row r="51" spans="15:27">
      <c r="O51" s="56"/>
      <c r="V51" s="55"/>
      <c r="Y51" s="58"/>
      <c r="Z51" s="58"/>
      <c r="AA51" s="59"/>
    </row>
    <row r="52" spans="15:27">
      <c r="O52" s="56"/>
      <c r="V52" s="55"/>
      <c r="Y52" s="58"/>
      <c r="Z52" s="58"/>
      <c r="AA52" s="59"/>
    </row>
    <row r="53" spans="15:27">
      <c r="O53" s="56"/>
      <c r="V53" s="55"/>
      <c r="Y53" s="58"/>
      <c r="Z53" s="58"/>
      <c r="AA53" s="59"/>
    </row>
    <row r="54" spans="15:27">
      <c r="O54" s="56"/>
      <c r="V54" s="55"/>
      <c r="Y54" s="58"/>
      <c r="Z54" s="58"/>
      <c r="AA54" s="59"/>
    </row>
    <row r="55" spans="15:27">
      <c r="O55" s="56"/>
      <c r="V55" s="55"/>
      <c r="Y55" s="58"/>
      <c r="Z55" s="58"/>
      <c r="AA55" s="59"/>
    </row>
    <row r="56" spans="15:27">
      <c r="O56" s="56"/>
      <c r="V56" s="55"/>
      <c r="Y56" s="58"/>
      <c r="Z56" s="58"/>
      <c r="AA56" s="59"/>
    </row>
    <row r="57" spans="15:27">
      <c r="O57" s="56"/>
      <c r="V57" s="55"/>
      <c r="Y57" s="58"/>
      <c r="Z57" s="58"/>
      <c r="AA57" s="59"/>
    </row>
    <row r="58" spans="15:27">
      <c r="O58" s="56"/>
      <c r="V58" s="55"/>
      <c r="Y58" s="58"/>
      <c r="Z58" s="58"/>
      <c r="AA58" s="59"/>
    </row>
    <row r="59" spans="15:27">
      <c r="O59" s="56"/>
      <c r="V59" s="55"/>
      <c r="Y59" s="58"/>
      <c r="Z59" s="58"/>
      <c r="AA59" s="59"/>
    </row>
    <row r="60" spans="15:27">
      <c r="O60" s="56"/>
      <c r="V60" s="55"/>
      <c r="Y60" s="58"/>
      <c r="Z60" s="58"/>
      <c r="AA60" s="59"/>
    </row>
    <row r="61" spans="15:27">
      <c r="O61" s="56"/>
      <c r="V61" s="55"/>
      <c r="Y61" s="58"/>
      <c r="Z61" s="58"/>
      <c r="AA61" s="59"/>
    </row>
    <row r="62" spans="15:27">
      <c r="O62" s="56"/>
      <c r="V62" s="55"/>
      <c r="Y62" s="58"/>
      <c r="Z62" s="58"/>
      <c r="AA62" s="59"/>
    </row>
    <row r="63" spans="15:27">
      <c r="O63" s="56"/>
      <c r="V63" s="55"/>
      <c r="Y63" s="58"/>
      <c r="Z63" s="58"/>
      <c r="AA63" s="59"/>
    </row>
    <row r="64" spans="15:27">
      <c r="O64" s="56"/>
      <c r="V64" s="55"/>
      <c r="Y64" s="58"/>
      <c r="Z64" s="58"/>
      <c r="AA64" s="59"/>
    </row>
    <row r="65" spans="15:27">
      <c r="O65" s="56"/>
      <c r="V65" s="55"/>
      <c r="Y65" s="58"/>
      <c r="Z65" s="58"/>
      <c r="AA65" s="59"/>
    </row>
    <row r="66" spans="15:27">
      <c r="O66" s="56"/>
      <c r="V66" s="55"/>
      <c r="Y66" s="58"/>
      <c r="Z66" s="58"/>
      <c r="AA66" s="59"/>
    </row>
    <row r="67" spans="15:27">
      <c r="O67" s="56"/>
      <c r="V67" s="55"/>
      <c r="Y67" s="58"/>
      <c r="Z67" s="58"/>
      <c r="AA67" s="59"/>
    </row>
    <row r="68" spans="15:27">
      <c r="O68" s="56"/>
      <c r="V68" s="55"/>
      <c r="Y68" s="58"/>
      <c r="Z68" s="58"/>
      <c r="AA68" s="59"/>
    </row>
    <row r="69" spans="15:27">
      <c r="O69" s="56"/>
      <c r="V69" s="55"/>
      <c r="Y69" s="58"/>
      <c r="Z69" s="58"/>
      <c r="AA69" s="59"/>
    </row>
    <row r="70" spans="15:27">
      <c r="O70" s="56"/>
      <c r="V70" s="55"/>
      <c r="Y70" s="58"/>
      <c r="Z70" s="58"/>
      <c r="AA70" s="59"/>
    </row>
    <row r="71" spans="15:27">
      <c r="O71" s="56"/>
      <c r="V71" s="55"/>
      <c r="Y71" s="58"/>
      <c r="Z71" s="58"/>
      <c r="AA71" s="59"/>
    </row>
    <row r="72" spans="15:27">
      <c r="O72" s="56"/>
      <c r="V72" s="55"/>
      <c r="Y72" s="58"/>
      <c r="Z72" s="58"/>
      <c r="AA72" s="59"/>
    </row>
    <row r="73" spans="15:27">
      <c r="O73" s="56"/>
      <c r="V73" s="55"/>
      <c r="Y73" s="58"/>
      <c r="Z73" s="58"/>
      <c r="AA73" s="59"/>
    </row>
    <row r="74" spans="15:27">
      <c r="O74" s="56"/>
      <c r="V74" s="55"/>
      <c r="Y74" s="58"/>
      <c r="Z74" s="58"/>
      <c r="AA74" s="59"/>
    </row>
    <row r="75" spans="15:27">
      <c r="O75" s="56"/>
      <c r="V75" s="55"/>
      <c r="Y75" s="58"/>
      <c r="Z75" s="58"/>
      <c r="AA75" s="59"/>
    </row>
    <row r="76" spans="15:27">
      <c r="O76" s="56"/>
      <c r="V76" s="55"/>
      <c r="Y76" s="58"/>
      <c r="Z76" s="58"/>
      <c r="AA76" s="59"/>
    </row>
    <row r="77" spans="15:27">
      <c r="O77" s="56"/>
      <c r="V77" s="55"/>
      <c r="Y77" s="58"/>
      <c r="Z77" s="58"/>
      <c r="AA77" s="59"/>
    </row>
    <row r="78" spans="15:27">
      <c r="O78" s="56"/>
      <c r="V78" s="55"/>
      <c r="Y78" s="58"/>
      <c r="Z78" s="58"/>
      <c r="AA78" s="59"/>
    </row>
    <row r="79" spans="15:27">
      <c r="O79" s="56"/>
      <c r="V79" s="55"/>
      <c r="Y79" s="58"/>
      <c r="Z79" s="58"/>
      <c r="AA79" s="59"/>
    </row>
    <row r="80" spans="15:27">
      <c r="O80" s="56"/>
      <c r="V80" s="55"/>
      <c r="Y80" s="58"/>
      <c r="Z80" s="58"/>
      <c r="AA80" s="59"/>
    </row>
    <row r="81" spans="15:27">
      <c r="O81" s="56"/>
      <c r="V81" s="55"/>
      <c r="Y81" s="58"/>
      <c r="Z81" s="58"/>
      <c r="AA81" s="59"/>
    </row>
    <row r="82" spans="15:27">
      <c r="O82" s="56"/>
      <c r="V82" s="55"/>
      <c r="Y82" s="58"/>
      <c r="Z82" s="58"/>
      <c r="AA82" s="59"/>
    </row>
    <row r="83" spans="15:27">
      <c r="O83" s="56"/>
      <c r="V83" s="55"/>
      <c r="Y83" s="58"/>
      <c r="Z83" s="58"/>
      <c r="AA83" s="59"/>
    </row>
    <row r="84" spans="15:27">
      <c r="O84" s="56"/>
      <c r="V84" s="55"/>
      <c r="Y84" s="58"/>
      <c r="Z84" s="58"/>
      <c r="AA84" s="59"/>
    </row>
    <row r="85" spans="15:27">
      <c r="O85" s="56"/>
      <c r="V85" s="55"/>
      <c r="Y85" s="58"/>
      <c r="Z85" s="58"/>
      <c r="AA85" s="59"/>
    </row>
    <row r="86" spans="15:27">
      <c r="O86" s="56"/>
      <c r="V86" s="55"/>
      <c r="Y86" s="58"/>
      <c r="Z86" s="58"/>
      <c r="AA86" s="59"/>
    </row>
    <row r="87" spans="15:27">
      <c r="O87" s="56"/>
      <c r="V87" s="55"/>
      <c r="Y87" s="58"/>
      <c r="Z87" s="58"/>
      <c r="AA87" s="59"/>
    </row>
    <row r="88" spans="15:27">
      <c r="O88" s="56"/>
      <c r="V88" s="55"/>
      <c r="Y88" s="58"/>
      <c r="Z88" s="58"/>
      <c r="AA88" s="59"/>
    </row>
    <row r="89" spans="15:27">
      <c r="O89" s="56"/>
      <c r="V89" s="55"/>
      <c r="Y89" s="58"/>
      <c r="Z89" s="58"/>
      <c r="AA89" s="59"/>
    </row>
    <row r="90" spans="15:27">
      <c r="O90" s="56"/>
      <c r="V90" s="55"/>
      <c r="Y90" s="58"/>
      <c r="Z90" s="58"/>
      <c r="AA90" s="59"/>
    </row>
    <row r="91" spans="15:27">
      <c r="O91" s="56"/>
      <c r="V91" s="55"/>
      <c r="Y91" s="58"/>
      <c r="Z91" s="58"/>
      <c r="AA91" s="59"/>
    </row>
    <row r="92" spans="15:27">
      <c r="O92" s="56"/>
      <c r="V92" s="55"/>
      <c r="Y92" s="58"/>
      <c r="Z92" s="58"/>
      <c r="AA92" s="59"/>
    </row>
    <row r="93" spans="15:27">
      <c r="O93" s="56"/>
      <c r="V93" s="55"/>
      <c r="Y93" s="58"/>
      <c r="Z93" s="58"/>
      <c r="AA93" s="59"/>
    </row>
    <row r="94" spans="15:27">
      <c r="O94" s="56"/>
      <c r="V94" s="55"/>
      <c r="Y94" s="58"/>
      <c r="Z94" s="58"/>
      <c r="AA94" s="59"/>
    </row>
    <row r="95" spans="15:27">
      <c r="O95" s="56"/>
      <c r="V95" s="55"/>
      <c r="Y95" s="58"/>
      <c r="Z95" s="58"/>
      <c r="AA95" s="59"/>
    </row>
    <row r="96" spans="15:27">
      <c r="O96" s="56"/>
      <c r="V96" s="55"/>
      <c r="Y96" s="58"/>
      <c r="Z96" s="58"/>
      <c r="AA96" s="59"/>
    </row>
    <row r="97" spans="15:27">
      <c r="O97" s="56"/>
      <c r="V97" s="55"/>
      <c r="Y97" s="58"/>
      <c r="Z97" s="58"/>
      <c r="AA97" s="59"/>
    </row>
    <row r="98" spans="15:27">
      <c r="O98" s="56"/>
      <c r="V98" s="55"/>
      <c r="Y98" s="58"/>
      <c r="Z98" s="58"/>
      <c r="AA98" s="59"/>
    </row>
    <row r="99" spans="15:27">
      <c r="O99" s="56"/>
      <c r="V99" s="55"/>
      <c r="Y99" s="58"/>
      <c r="Z99" s="58"/>
      <c r="AA99" s="59"/>
    </row>
    <row r="100" spans="15:27">
      <c r="O100" s="56"/>
      <c r="V100" s="55"/>
      <c r="Y100" s="58"/>
      <c r="Z100" s="58"/>
      <c r="AA100" s="59"/>
    </row>
    <row r="101" spans="15:27">
      <c r="O101" s="56"/>
      <c r="V101" s="55"/>
      <c r="Y101" s="58"/>
      <c r="Z101" s="58"/>
      <c r="AA101" s="59"/>
    </row>
    <row r="102" spans="15:27">
      <c r="O102" s="56"/>
      <c r="V102" s="55"/>
      <c r="Y102" s="58"/>
      <c r="Z102" s="58"/>
      <c r="AA102" s="59"/>
    </row>
    <row r="103" spans="15:27">
      <c r="O103" s="56"/>
      <c r="V103" s="55"/>
      <c r="Y103" s="58"/>
      <c r="Z103" s="58"/>
      <c r="AA103" s="59"/>
    </row>
    <row r="104" spans="15:27">
      <c r="O104" s="56"/>
      <c r="V104" s="55"/>
      <c r="Y104" s="58"/>
      <c r="Z104" s="58"/>
      <c r="AA104" s="59"/>
    </row>
    <row r="105" spans="15:27">
      <c r="O105" s="56"/>
      <c r="V105" s="55"/>
      <c r="Y105" s="58"/>
      <c r="Z105" s="58"/>
      <c r="AA105" s="59"/>
    </row>
    <row r="106" spans="15:27">
      <c r="O106" s="56"/>
      <c r="V106" s="55"/>
      <c r="Y106" s="58"/>
      <c r="Z106" s="58"/>
      <c r="AA106" s="59"/>
    </row>
    <row r="107" spans="15:27">
      <c r="O107" s="56"/>
      <c r="V107" s="55"/>
      <c r="Y107" s="58"/>
      <c r="Z107" s="58"/>
      <c r="AA107" s="59"/>
    </row>
    <row r="108" spans="15:27">
      <c r="O108" s="56"/>
      <c r="V108" s="55"/>
      <c r="Y108" s="58"/>
      <c r="Z108" s="58"/>
      <c r="AA108" s="59"/>
    </row>
    <row r="109" spans="15:27">
      <c r="O109" s="56"/>
      <c r="V109" s="55"/>
      <c r="Y109" s="58"/>
      <c r="Z109" s="58"/>
      <c r="AA109" s="59"/>
    </row>
    <row r="110" spans="15:27">
      <c r="O110" s="56"/>
      <c r="V110" s="55"/>
      <c r="Y110" s="58"/>
      <c r="Z110" s="58"/>
      <c r="AA110" s="59"/>
    </row>
    <row r="111" spans="15:27">
      <c r="O111" s="56"/>
      <c r="V111" s="55"/>
      <c r="Y111" s="58"/>
      <c r="Z111" s="58"/>
      <c r="AA111" s="59"/>
    </row>
    <row r="112" spans="15:27">
      <c r="O112" s="56"/>
      <c r="V112" s="55"/>
      <c r="Y112" s="58"/>
      <c r="Z112" s="58"/>
      <c r="AA112" s="59"/>
    </row>
    <row r="113" spans="15:27">
      <c r="O113" s="56"/>
      <c r="V113" s="55"/>
      <c r="Y113" s="58"/>
      <c r="Z113" s="58"/>
      <c r="AA113" s="59"/>
    </row>
    <row r="114" spans="15:27">
      <c r="O114" s="56"/>
      <c r="V114" s="55"/>
      <c r="Y114" s="58"/>
      <c r="Z114" s="58"/>
      <c r="AA114" s="59"/>
    </row>
    <row r="115" spans="15:27">
      <c r="O115" s="56"/>
      <c r="V115" s="55"/>
      <c r="Y115" s="58"/>
      <c r="Z115" s="58"/>
      <c r="AA115" s="59"/>
    </row>
    <row r="116" spans="15:27">
      <c r="O116" s="56"/>
      <c r="V116" s="55"/>
      <c r="Y116" s="58"/>
      <c r="Z116" s="58"/>
      <c r="AA116" s="59"/>
    </row>
    <row r="117" spans="15:27">
      <c r="O117" s="56"/>
      <c r="V117" s="55"/>
      <c r="Y117" s="58"/>
      <c r="Z117" s="58"/>
      <c r="AA117" s="59"/>
    </row>
    <row r="118" spans="15:27">
      <c r="O118" s="56"/>
      <c r="V118" s="55"/>
      <c r="Y118" s="58"/>
      <c r="Z118" s="58"/>
      <c r="AA118" s="59"/>
    </row>
    <row r="119" spans="15:27">
      <c r="O119" s="56"/>
      <c r="V119" s="55"/>
      <c r="Y119" s="58"/>
      <c r="Z119" s="58"/>
      <c r="AA119" s="59"/>
    </row>
    <row r="120" spans="15:27">
      <c r="O120" s="56"/>
      <c r="V120" s="55"/>
      <c r="Y120" s="58"/>
      <c r="Z120" s="58"/>
      <c r="AA120" s="59"/>
    </row>
    <row r="121" spans="15:27">
      <c r="O121" s="56"/>
      <c r="V121" s="55"/>
      <c r="Y121" s="58"/>
      <c r="Z121" s="58"/>
      <c r="AA121" s="59"/>
    </row>
    <row r="122" spans="15:27">
      <c r="O122" s="56"/>
      <c r="V122" s="55"/>
      <c r="Y122" s="58"/>
      <c r="Z122" s="58"/>
      <c r="AA122" s="59"/>
    </row>
    <row r="123" spans="15:27">
      <c r="O123" s="56"/>
      <c r="V123" s="55"/>
      <c r="Y123" s="58"/>
      <c r="Z123" s="58"/>
      <c r="AA123" s="59"/>
    </row>
    <row r="124" spans="15:27">
      <c r="O124" s="56"/>
      <c r="V124" s="55"/>
      <c r="Y124" s="58"/>
      <c r="Z124" s="58"/>
      <c r="AA124" s="59"/>
    </row>
    <row r="125" spans="15:27">
      <c r="O125" s="56"/>
      <c r="V125" s="55"/>
      <c r="Y125" s="58"/>
      <c r="Z125" s="58"/>
      <c r="AA125" s="59"/>
    </row>
    <row r="126" spans="15:27">
      <c r="O126" s="56"/>
      <c r="V126" s="55"/>
      <c r="Y126" s="58"/>
      <c r="Z126" s="58"/>
      <c r="AA126" s="59"/>
    </row>
    <row r="127" spans="15:27">
      <c r="O127" s="56"/>
      <c r="V127" s="55"/>
      <c r="Y127" s="58"/>
      <c r="Z127" s="58"/>
      <c r="AA127" s="59"/>
    </row>
    <row r="128" spans="15:27">
      <c r="O128" s="56"/>
      <c r="V128" s="55"/>
      <c r="Y128" s="58"/>
      <c r="Z128" s="58"/>
      <c r="AA128" s="59"/>
    </row>
    <row r="129" spans="15:27">
      <c r="O129" s="56"/>
      <c r="V129" s="55"/>
      <c r="Y129" s="58"/>
      <c r="Z129" s="58"/>
      <c r="AA129" s="59"/>
    </row>
    <row r="130" spans="15:27">
      <c r="O130" s="56"/>
      <c r="V130" s="55"/>
      <c r="Y130" s="58"/>
      <c r="Z130" s="58"/>
      <c r="AA130" s="59"/>
    </row>
    <row r="131" spans="15:27">
      <c r="O131" s="56"/>
      <c r="V131" s="55"/>
      <c r="Y131" s="58"/>
      <c r="Z131" s="58"/>
      <c r="AA131" s="59"/>
    </row>
    <row r="132" spans="15:27">
      <c r="O132" s="56"/>
      <c r="V132" s="55"/>
      <c r="Y132" s="58"/>
      <c r="Z132" s="58"/>
      <c r="AA132" s="59"/>
    </row>
    <row r="133" spans="15:27">
      <c r="O133" s="56"/>
      <c r="V133" s="55"/>
      <c r="Y133" s="58"/>
      <c r="Z133" s="58"/>
      <c r="AA133" s="59"/>
    </row>
    <row r="134" spans="15:27">
      <c r="O134" s="56"/>
      <c r="V134" s="55"/>
      <c r="Y134" s="58"/>
      <c r="Z134" s="58"/>
      <c r="AA134" s="59"/>
    </row>
    <row r="135" spans="15:27">
      <c r="O135" s="56"/>
      <c r="V135" s="55"/>
      <c r="Y135" s="58"/>
      <c r="Z135" s="58"/>
      <c r="AA135" s="59"/>
    </row>
    <row r="136" spans="15:27">
      <c r="O136" s="56"/>
      <c r="V136" s="55"/>
      <c r="Y136" s="58"/>
      <c r="Z136" s="58"/>
      <c r="AA136" s="59"/>
    </row>
    <row r="137" spans="15:27">
      <c r="O137" s="56"/>
      <c r="V137" s="55"/>
      <c r="Y137" s="58"/>
      <c r="Z137" s="58"/>
      <c r="AA137" s="59"/>
    </row>
    <row r="138" spans="15:27">
      <c r="O138" s="56"/>
      <c r="V138" s="55"/>
      <c r="Y138" s="58"/>
      <c r="Z138" s="58"/>
      <c r="AA138" s="59"/>
    </row>
    <row r="139" spans="15:27">
      <c r="O139" s="56"/>
      <c r="V139" s="55"/>
      <c r="Y139" s="58"/>
      <c r="Z139" s="58"/>
      <c r="AA139" s="59"/>
    </row>
    <row r="140" spans="15:27">
      <c r="O140" s="56"/>
      <c r="V140" s="55"/>
      <c r="Y140" s="58"/>
      <c r="Z140" s="58"/>
      <c r="AA140" s="59"/>
    </row>
    <row r="141" spans="15:27">
      <c r="O141" s="56"/>
      <c r="V141" s="55"/>
      <c r="Y141" s="58"/>
      <c r="Z141" s="58"/>
      <c r="AA141" s="59"/>
    </row>
    <row r="142" spans="15:27">
      <c r="O142" s="56"/>
      <c r="V142" s="55"/>
      <c r="Y142" s="58"/>
      <c r="Z142" s="58"/>
      <c r="AA142" s="59"/>
    </row>
    <row r="143" spans="15:27">
      <c r="O143" s="56"/>
      <c r="V143" s="55"/>
      <c r="Y143" s="58"/>
      <c r="Z143" s="58"/>
      <c r="AA143" s="59"/>
    </row>
    <row r="144" spans="15:27">
      <c r="O144" s="56"/>
      <c r="V144" s="55"/>
      <c r="Y144" s="58"/>
      <c r="Z144" s="58"/>
      <c r="AA144" s="59"/>
    </row>
    <row r="145" spans="15:27">
      <c r="O145" s="56"/>
      <c r="V145" s="55"/>
      <c r="Y145" s="58"/>
      <c r="Z145" s="58"/>
      <c r="AA145" s="59"/>
    </row>
    <row r="146" spans="15:27">
      <c r="O146" s="56"/>
      <c r="V146" s="55"/>
      <c r="Y146" s="58"/>
      <c r="Z146" s="58"/>
      <c r="AA146" s="59"/>
    </row>
    <row r="147" spans="15:27">
      <c r="O147" s="56"/>
      <c r="V147" s="55"/>
      <c r="Y147" s="58"/>
      <c r="Z147" s="58"/>
      <c r="AA147" s="59"/>
    </row>
    <row r="148" spans="15:27">
      <c r="O148" s="56"/>
      <c r="V148" s="55"/>
      <c r="Y148" s="58"/>
      <c r="Z148" s="58"/>
      <c r="AA148" s="59"/>
    </row>
    <row r="149" spans="15:27">
      <c r="O149" s="56"/>
      <c r="V149" s="55"/>
      <c r="Y149" s="58"/>
      <c r="Z149" s="58"/>
      <c r="AA149" s="59"/>
    </row>
    <row r="150" spans="15:27">
      <c r="O150" s="56"/>
      <c r="V150" s="55"/>
      <c r="Y150" s="58"/>
      <c r="Z150" s="58"/>
      <c r="AA150" s="59"/>
    </row>
    <row r="151" spans="15:27">
      <c r="O151" s="56"/>
      <c r="V151" s="55"/>
      <c r="Y151" s="58"/>
      <c r="Z151" s="58"/>
      <c r="AA151" s="59"/>
    </row>
    <row r="152" spans="15:27">
      <c r="O152" s="56"/>
      <c r="V152" s="55"/>
      <c r="Y152" s="58"/>
      <c r="Z152" s="58"/>
      <c r="AA152" s="59"/>
    </row>
    <row r="153" spans="15:27">
      <c r="O153" s="56"/>
      <c r="V153" s="55"/>
      <c r="Y153" s="58"/>
      <c r="Z153" s="58"/>
      <c r="AA153" s="59"/>
    </row>
    <row r="154" spans="15:27">
      <c r="O154" s="56"/>
      <c r="V154" s="55"/>
      <c r="Y154" s="58"/>
      <c r="Z154" s="58"/>
      <c r="AA154" s="59"/>
    </row>
    <row r="155" spans="15:27">
      <c r="O155" s="56"/>
      <c r="V155" s="55"/>
      <c r="Y155" s="58"/>
      <c r="Z155" s="58"/>
      <c r="AA155" s="59"/>
    </row>
    <row r="156" spans="15:27">
      <c r="O156" s="56"/>
      <c r="V156" s="55"/>
      <c r="Y156" s="58"/>
      <c r="Z156" s="58"/>
      <c r="AA156" s="59"/>
    </row>
    <row r="157" spans="15:27">
      <c r="O157" s="56"/>
      <c r="V157" s="55"/>
      <c r="Y157" s="58"/>
      <c r="Z157" s="58"/>
      <c r="AA157" s="59"/>
    </row>
    <row r="158" spans="15:27">
      <c r="O158" s="56"/>
      <c r="V158" s="55"/>
      <c r="Y158" s="58"/>
      <c r="Z158" s="58"/>
      <c r="AA158" s="59"/>
    </row>
    <row r="159" spans="15:27">
      <c r="O159" s="56"/>
      <c r="V159" s="55"/>
      <c r="Y159" s="58"/>
      <c r="Z159" s="58"/>
      <c r="AA159" s="59"/>
    </row>
    <row r="160" spans="15:27">
      <c r="O160" s="56"/>
      <c r="V160" s="55"/>
      <c r="Y160" s="58"/>
      <c r="Z160" s="58"/>
      <c r="AA160" s="59"/>
    </row>
    <row r="161" spans="15:27">
      <c r="O161" s="56"/>
      <c r="V161" s="55"/>
      <c r="Y161" s="58"/>
      <c r="Z161" s="58"/>
      <c r="AA161" s="59"/>
    </row>
    <row r="162" spans="15:27">
      <c r="O162" s="56"/>
      <c r="V162" s="55"/>
      <c r="Y162" s="58"/>
      <c r="Z162" s="58"/>
      <c r="AA162" s="59"/>
    </row>
    <row r="163" spans="15:27">
      <c r="O163" s="56"/>
      <c r="V163" s="55"/>
      <c r="Y163" s="58"/>
      <c r="Z163" s="58"/>
      <c r="AA163" s="59"/>
    </row>
    <row r="164" spans="15:27">
      <c r="O164" s="56"/>
      <c r="V164" s="55"/>
      <c r="Y164" s="58"/>
      <c r="Z164" s="58"/>
      <c r="AA164" s="59"/>
    </row>
    <row r="165" spans="15:27">
      <c r="O165" s="56"/>
      <c r="V165" s="55"/>
      <c r="Y165" s="58"/>
      <c r="Z165" s="58"/>
      <c r="AA165" s="59"/>
    </row>
    <row r="166" spans="15:27">
      <c r="O166" s="56"/>
      <c r="V166" s="55"/>
      <c r="Y166" s="58"/>
      <c r="Z166" s="58"/>
      <c r="AA166" s="59"/>
    </row>
    <row r="167" spans="15:27">
      <c r="O167" s="56"/>
      <c r="V167" s="55"/>
      <c r="Y167" s="58"/>
      <c r="Z167" s="58"/>
      <c r="AA167" s="59"/>
    </row>
    <row r="168" spans="15:27">
      <c r="O168" s="56"/>
      <c r="V168" s="55"/>
      <c r="Y168" s="58"/>
      <c r="Z168" s="58"/>
      <c r="AA168" s="59"/>
    </row>
    <row r="169" spans="15:27">
      <c r="O169" s="56"/>
      <c r="V169" s="55"/>
      <c r="Y169" s="58"/>
      <c r="Z169" s="58"/>
      <c r="AA169" s="59"/>
    </row>
    <row r="170" spans="15:27">
      <c r="O170" s="56"/>
      <c r="V170" s="55"/>
      <c r="Y170" s="58"/>
      <c r="Z170" s="58"/>
      <c r="AA170" s="59"/>
    </row>
    <row r="171" spans="15:27">
      <c r="O171" s="56"/>
      <c r="V171" s="55"/>
      <c r="Y171" s="58"/>
      <c r="Z171" s="58"/>
      <c r="AA171" s="59"/>
    </row>
    <row r="172" spans="15:27">
      <c r="O172" s="56"/>
      <c r="V172" s="55"/>
      <c r="Y172" s="58"/>
      <c r="Z172" s="58"/>
      <c r="AA172" s="59"/>
    </row>
    <row r="173" spans="15:27">
      <c r="O173" s="56"/>
      <c r="V173" s="55"/>
      <c r="Y173" s="58"/>
      <c r="Z173" s="58"/>
      <c r="AA173" s="59"/>
    </row>
    <row r="174" spans="15:27">
      <c r="O174" s="56"/>
      <c r="V174" s="55"/>
      <c r="Y174" s="58"/>
      <c r="Z174" s="58"/>
      <c r="AA174" s="59"/>
    </row>
    <row r="175" spans="15:27">
      <c r="O175" s="56"/>
      <c r="V175" s="55"/>
      <c r="Y175" s="58"/>
      <c r="Z175" s="58"/>
      <c r="AA175" s="59"/>
    </row>
    <row r="176" spans="15:27">
      <c r="O176" s="56"/>
      <c r="V176" s="55"/>
      <c r="Y176" s="58"/>
      <c r="Z176" s="58"/>
      <c r="AA176" s="59"/>
    </row>
    <row r="177" spans="15:27">
      <c r="O177" s="56"/>
      <c r="V177" s="55"/>
      <c r="Y177" s="58"/>
      <c r="Z177" s="58"/>
      <c r="AA177" s="59"/>
    </row>
    <row r="178" spans="15:27">
      <c r="O178" s="56"/>
      <c r="V178" s="55"/>
      <c r="Y178" s="58"/>
      <c r="Z178" s="58"/>
      <c r="AA178" s="59"/>
    </row>
    <row r="179" spans="15:27">
      <c r="O179" s="56"/>
      <c r="V179" s="55"/>
      <c r="Y179" s="58"/>
      <c r="Z179" s="58"/>
      <c r="AA179" s="59"/>
    </row>
    <row r="180" spans="15:27">
      <c r="O180" s="56"/>
      <c r="V180" s="55"/>
      <c r="Y180" s="58"/>
      <c r="Z180" s="58"/>
      <c r="AA180" s="59"/>
    </row>
    <row r="181" spans="15:27">
      <c r="O181" s="56"/>
      <c r="V181" s="55"/>
      <c r="Y181" s="58"/>
      <c r="Z181" s="58"/>
      <c r="AA181" s="59"/>
    </row>
    <row r="182" spans="15:27">
      <c r="O182" s="56"/>
      <c r="V182" s="55"/>
      <c r="Y182" s="58"/>
      <c r="Z182" s="58"/>
      <c r="AA182" s="59"/>
    </row>
    <row r="183" spans="15:27">
      <c r="O183" s="56"/>
      <c r="V183" s="55"/>
      <c r="Y183" s="58"/>
      <c r="Z183" s="58"/>
      <c r="AA183" s="59"/>
    </row>
    <row r="184" spans="15:27">
      <c r="O184" s="56"/>
      <c r="V184" s="55"/>
      <c r="Y184" s="58"/>
      <c r="Z184" s="58"/>
      <c r="AA184" s="59"/>
    </row>
    <row r="185" spans="15:27">
      <c r="O185" s="56"/>
      <c r="V185" s="55"/>
      <c r="Y185" s="58"/>
      <c r="Z185" s="58"/>
      <c r="AA185" s="59"/>
    </row>
    <row r="186" spans="15:27">
      <c r="O186" s="56"/>
      <c r="V186" s="55"/>
      <c r="Y186" s="58"/>
      <c r="Z186" s="58"/>
      <c r="AA186" s="59"/>
    </row>
    <row r="187" spans="15:27">
      <c r="O187" s="56"/>
      <c r="V187" s="55"/>
      <c r="Y187" s="58"/>
      <c r="Z187" s="58"/>
      <c r="AA187" s="59"/>
    </row>
    <row r="188" spans="15:27">
      <c r="O188" s="56"/>
      <c r="V188" s="55"/>
      <c r="Y188" s="58"/>
      <c r="Z188" s="58"/>
      <c r="AA188" s="59"/>
    </row>
    <row r="189" spans="15:27">
      <c r="O189" s="56"/>
      <c r="V189" s="55"/>
      <c r="Y189" s="58"/>
      <c r="Z189" s="58"/>
      <c r="AA189" s="59"/>
    </row>
    <row r="190" spans="15:27">
      <c r="O190" s="56"/>
      <c r="V190" s="55"/>
      <c r="Y190" s="58"/>
      <c r="Z190" s="58"/>
      <c r="AA190" s="59"/>
    </row>
    <row r="191" spans="15:27">
      <c r="O191" s="56"/>
      <c r="V191" s="55"/>
      <c r="Y191" s="58"/>
      <c r="Z191" s="58"/>
      <c r="AA191" s="59"/>
    </row>
    <row r="192" spans="15:27">
      <c r="O192" s="56"/>
      <c r="V192" s="55"/>
      <c r="Y192" s="58"/>
      <c r="Z192" s="58"/>
      <c r="AA192" s="59"/>
    </row>
    <row r="193" spans="15:27">
      <c r="O193" s="56"/>
      <c r="V193" s="55"/>
      <c r="Y193" s="58"/>
      <c r="Z193" s="58"/>
      <c r="AA193" s="59"/>
    </row>
    <row r="194" spans="15:27">
      <c r="O194" s="56"/>
      <c r="V194" s="55"/>
      <c r="Y194" s="58"/>
      <c r="Z194" s="58"/>
      <c r="AA194" s="59"/>
    </row>
    <row r="195" spans="15:27">
      <c r="O195" s="56"/>
      <c r="V195" s="55"/>
      <c r="Y195" s="58"/>
      <c r="Z195" s="58"/>
      <c r="AA195" s="59"/>
    </row>
    <row r="196" spans="15:27">
      <c r="O196" s="56"/>
      <c r="V196" s="55"/>
      <c r="Y196" s="58"/>
      <c r="Z196" s="58"/>
      <c r="AA196" s="59"/>
    </row>
    <row r="197" spans="15:27">
      <c r="O197" s="56"/>
      <c r="V197" s="55"/>
      <c r="Y197" s="58"/>
      <c r="Z197" s="58"/>
      <c r="AA197" s="59"/>
    </row>
    <row r="198" spans="15:27">
      <c r="O198" s="56"/>
      <c r="V198" s="55"/>
      <c r="Y198" s="58"/>
      <c r="Z198" s="58"/>
      <c r="AA198" s="59"/>
    </row>
    <row r="199" spans="15:27">
      <c r="O199" s="56"/>
      <c r="V199" s="55"/>
      <c r="Y199" s="58"/>
      <c r="Z199" s="58"/>
      <c r="AA199" s="59"/>
    </row>
    <row r="200" spans="15:27">
      <c r="O200" s="56"/>
      <c r="V200" s="55"/>
      <c r="Y200" s="58"/>
      <c r="Z200" s="58"/>
      <c r="AA200" s="59"/>
    </row>
    <row r="201" spans="15:27">
      <c r="O201" s="56"/>
      <c r="V201" s="55"/>
      <c r="Y201" s="58"/>
      <c r="Z201" s="58"/>
      <c r="AA201" s="59"/>
    </row>
    <row r="202" spans="15:27">
      <c r="O202" s="56"/>
      <c r="V202" s="55"/>
      <c r="Y202" s="58"/>
      <c r="Z202" s="58"/>
      <c r="AA202" s="59"/>
    </row>
    <row r="203" spans="15:27">
      <c r="O203" s="56"/>
      <c r="V203" s="55"/>
      <c r="Y203" s="58"/>
      <c r="Z203" s="58"/>
      <c r="AA203" s="59"/>
    </row>
    <row r="204" spans="15:27">
      <c r="O204" s="56"/>
      <c r="V204" s="55"/>
      <c r="Y204" s="58"/>
      <c r="Z204" s="58"/>
      <c r="AA204" s="59"/>
    </row>
    <row r="205" spans="15:27">
      <c r="O205" s="56"/>
      <c r="V205" s="55"/>
      <c r="Y205" s="58"/>
      <c r="Z205" s="58"/>
      <c r="AA205" s="59"/>
    </row>
    <row r="206" spans="15:27">
      <c r="O206" s="56"/>
      <c r="V206" s="55"/>
      <c r="Y206" s="58"/>
      <c r="Z206" s="58"/>
      <c r="AA206" s="59"/>
    </row>
    <row r="207" spans="15:27">
      <c r="O207" s="56"/>
      <c r="V207" s="55"/>
      <c r="Y207" s="58"/>
      <c r="Z207" s="58"/>
      <c r="AA207" s="59"/>
    </row>
    <row r="208" spans="15:27">
      <c r="O208" s="56"/>
      <c r="V208" s="55"/>
      <c r="Y208" s="58"/>
      <c r="Z208" s="58"/>
      <c r="AA208" s="59"/>
    </row>
    <row r="209" spans="15:27">
      <c r="O209" s="56"/>
      <c r="V209" s="55"/>
      <c r="Y209" s="58"/>
      <c r="Z209" s="58"/>
      <c r="AA209" s="59"/>
    </row>
    <row r="210" spans="15:27">
      <c r="O210" s="56"/>
      <c r="V210" s="55"/>
      <c r="Y210" s="58"/>
      <c r="Z210" s="58"/>
      <c r="AA210" s="59"/>
    </row>
    <row r="211" spans="15:27">
      <c r="O211" s="56"/>
      <c r="V211" s="55"/>
      <c r="Y211" s="58"/>
      <c r="Z211" s="58"/>
      <c r="AA211" s="59"/>
    </row>
    <row r="212" spans="15:27">
      <c r="O212" s="56"/>
      <c r="V212" s="55"/>
      <c r="Y212" s="58"/>
      <c r="Z212" s="58"/>
      <c r="AA212" s="59"/>
    </row>
    <row r="213" spans="15:27">
      <c r="O213" s="56"/>
      <c r="V213" s="55"/>
      <c r="Y213" s="58"/>
      <c r="Z213" s="58"/>
      <c r="AA213" s="59"/>
    </row>
    <row r="214" spans="15:27">
      <c r="O214" s="56"/>
      <c r="V214" s="55"/>
      <c r="Y214" s="58"/>
      <c r="Z214" s="58"/>
      <c r="AA214" s="59"/>
    </row>
    <row r="215" spans="15:27">
      <c r="O215" s="56"/>
      <c r="V215" s="55"/>
      <c r="Y215" s="58"/>
      <c r="Z215" s="58"/>
      <c r="AA215" s="59"/>
    </row>
    <row r="216" spans="15:27">
      <c r="O216" s="56"/>
      <c r="V216" s="55"/>
      <c r="Y216" s="58"/>
      <c r="Z216" s="58"/>
      <c r="AA216" s="59"/>
    </row>
    <row r="217" spans="15:27">
      <c r="O217" s="56"/>
      <c r="V217" s="55"/>
      <c r="Y217" s="58"/>
      <c r="Z217" s="58"/>
      <c r="AA217" s="59"/>
    </row>
    <row r="218" spans="15:27">
      <c r="O218" s="56"/>
      <c r="V218" s="55"/>
      <c r="Y218" s="58"/>
      <c r="Z218" s="58"/>
      <c r="AA218" s="59"/>
    </row>
    <row r="219" spans="15:27">
      <c r="O219" s="56"/>
      <c r="V219" s="55"/>
      <c r="Y219" s="58"/>
      <c r="Z219" s="58"/>
      <c r="AA219" s="59"/>
    </row>
    <row r="220" spans="15:27">
      <c r="O220" s="56"/>
      <c r="V220" s="55"/>
      <c r="Y220" s="58"/>
      <c r="Z220" s="58"/>
      <c r="AA220" s="59"/>
    </row>
    <row r="221" spans="15:27">
      <c r="O221" s="56"/>
      <c r="V221" s="55"/>
      <c r="Y221" s="58"/>
      <c r="Z221" s="58"/>
      <c r="AA221" s="59"/>
    </row>
    <row r="222" spans="15:27">
      <c r="O222" s="56"/>
      <c r="V222" s="55"/>
      <c r="Y222" s="58"/>
      <c r="Z222" s="58"/>
      <c r="AA222" s="59"/>
    </row>
    <row r="223" spans="15:27">
      <c r="O223" s="56"/>
      <c r="V223" s="55"/>
      <c r="Y223" s="58"/>
      <c r="Z223" s="58"/>
      <c r="AA223" s="59"/>
    </row>
    <row r="224" spans="15:27">
      <c r="O224" s="56"/>
      <c r="V224" s="55"/>
      <c r="Y224" s="58"/>
      <c r="Z224" s="58"/>
      <c r="AA224" s="59"/>
    </row>
    <row r="225" spans="15:27">
      <c r="O225" s="56"/>
      <c r="V225" s="55"/>
      <c r="Y225" s="58"/>
      <c r="Z225" s="58"/>
      <c r="AA225" s="59"/>
    </row>
    <row r="226" spans="15:27">
      <c r="O226" s="56"/>
      <c r="V226" s="55"/>
      <c r="Y226" s="58"/>
      <c r="Z226" s="58"/>
      <c r="AA226" s="59"/>
    </row>
    <row r="227" spans="15:27">
      <c r="O227" s="56"/>
      <c r="V227" s="55"/>
      <c r="Y227" s="58"/>
      <c r="Z227" s="58"/>
      <c r="AA227" s="59"/>
    </row>
    <row r="228" spans="15:27">
      <c r="O228" s="56"/>
      <c r="V228" s="55"/>
      <c r="Y228" s="58"/>
      <c r="Z228" s="58"/>
      <c r="AA228" s="59"/>
    </row>
    <row r="229" spans="15:27">
      <c r="O229" s="56"/>
      <c r="V229" s="55"/>
      <c r="Y229" s="58"/>
      <c r="Z229" s="58"/>
      <c r="AA229" s="59"/>
    </row>
    <row r="230" spans="15:27">
      <c r="O230" s="56"/>
      <c r="V230" s="55"/>
      <c r="Y230" s="58"/>
      <c r="Z230" s="58"/>
      <c r="AA230" s="59"/>
    </row>
    <row r="231" spans="15:27">
      <c r="O231" s="56"/>
      <c r="V231" s="55"/>
      <c r="Y231" s="58"/>
      <c r="Z231" s="58"/>
      <c r="AA231" s="59"/>
    </row>
    <row r="232" spans="15:27">
      <c r="O232" s="56"/>
      <c r="V232" s="55"/>
      <c r="Y232" s="58"/>
      <c r="Z232" s="58"/>
      <c r="AA232" s="59"/>
    </row>
    <row r="233" spans="15:27">
      <c r="O233" s="56"/>
      <c r="V233" s="55"/>
      <c r="Y233" s="58"/>
      <c r="Z233" s="58"/>
      <c r="AA233" s="59"/>
    </row>
    <row r="234" spans="15:27">
      <c r="O234" s="56"/>
      <c r="V234" s="55"/>
      <c r="Y234" s="58"/>
      <c r="Z234" s="58"/>
      <c r="AA234" s="59"/>
    </row>
    <row r="235" spans="15:27">
      <c r="O235" s="56"/>
      <c r="V235" s="55"/>
      <c r="Y235" s="58"/>
      <c r="Z235" s="58"/>
      <c r="AA235" s="59"/>
    </row>
    <row r="236" spans="15:27">
      <c r="O236" s="56"/>
      <c r="V236" s="55"/>
      <c r="Y236" s="58"/>
      <c r="Z236" s="58"/>
      <c r="AA236" s="59"/>
    </row>
    <row r="237" spans="15:27">
      <c r="O237" s="56"/>
      <c r="V237" s="55"/>
      <c r="Y237" s="58"/>
      <c r="Z237" s="58"/>
      <c r="AA237" s="59"/>
    </row>
    <row r="238" spans="15:27">
      <c r="O238" s="56"/>
      <c r="V238" s="55"/>
      <c r="Y238" s="58"/>
      <c r="Z238" s="58"/>
      <c r="AA238" s="59"/>
    </row>
    <row r="239" spans="15:27">
      <c r="O239" s="56"/>
      <c r="V239" s="55"/>
      <c r="Y239" s="58"/>
      <c r="Z239" s="58"/>
      <c r="AA239" s="59"/>
    </row>
    <row r="240" spans="15:27">
      <c r="O240" s="56"/>
      <c r="V240" s="55"/>
      <c r="Y240" s="58"/>
      <c r="Z240" s="58"/>
      <c r="AA240" s="59"/>
    </row>
    <row r="241" spans="15:27">
      <c r="O241" s="56"/>
      <c r="V241" s="55"/>
      <c r="Y241" s="58"/>
      <c r="Z241" s="58"/>
      <c r="AA241" s="59"/>
    </row>
    <row r="242" spans="15:27">
      <c r="O242" s="56"/>
      <c r="V242" s="55"/>
      <c r="Y242" s="58"/>
      <c r="Z242" s="58"/>
      <c r="AA242" s="59"/>
    </row>
    <row r="243" spans="15:27">
      <c r="O243" s="56"/>
      <c r="V243" s="55"/>
      <c r="Y243" s="58"/>
      <c r="Z243" s="58"/>
      <c r="AA243" s="59"/>
    </row>
    <row r="244" spans="15:27">
      <c r="O244" s="56"/>
      <c r="V244" s="55"/>
      <c r="Y244" s="58"/>
      <c r="Z244" s="58"/>
      <c r="AA244" s="59"/>
    </row>
    <row r="245" spans="15:27">
      <c r="O245" s="56"/>
      <c r="V245" s="55"/>
      <c r="Y245" s="58"/>
      <c r="Z245" s="58"/>
      <c r="AA245" s="59"/>
    </row>
    <row r="246" spans="15:27">
      <c r="O246" s="56"/>
      <c r="V246" s="55"/>
      <c r="Y246" s="58"/>
      <c r="Z246" s="58"/>
      <c r="AA246" s="59"/>
    </row>
    <row r="247" spans="15:27">
      <c r="O247" s="56"/>
      <c r="V247" s="55"/>
      <c r="Y247" s="58"/>
      <c r="Z247" s="58"/>
      <c r="AA247" s="59"/>
    </row>
    <row r="248" spans="15:27">
      <c r="O248" s="56"/>
      <c r="V248" s="55"/>
      <c r="Y248" s="58"/>
      <c r="Z248" s="58"/>
      <c r="AA248" s="59"/>
    </row>
    <row r="249" spans="15:27">
      <c r="O249" s="56"/>
      <c r="V249" s="55"/>
      <c r="Y249" s="58"/>
      <c r="Z249" s="58"/>
      <c r="AA249" s="59"/>
    </row>
    <row r="250" spans="15:27">
      <c r="O250" s="56"/>
      <c r="V250" s="55"/>
      <c r="Y250" s="58"/>
      <c r="Z250" s="58"/>
      <c r="AA250" s="59"/>
    </row>
    <row r="251" spans="15:27">
      <c r="O251" s="56"/>
      <c r="V251" s="55"/>
      <c r="Y251" s="58"/>
      <c r="Z251" s="58"/>
      <c r="AA251" s="59"/>
    </row>
    <row r="252" spans="15:27">
      <c r="O252" s="56"/>
      <c r="V252" s="55"/>
      <c r="Y252" s="58"/>
      <c r="Z252" s="58"/>
      <c r="AA252" s="59"/>
    </row>
    <row r="253" spans="15:27">
      <c r="O253" s="56"/>
      <c r="V253" s="55"/>
      <c r="Y253" s="58"/>
      <c r="Z253" s="58"/>
      <c r="AA253" s="59"/>
    </row>
    <row r="254" spans="15:27">
      <c r="O254" s="56"/>
      <c r="V254" s="55"/>
      <c r="Y254" s="58"/>
      <c r="Z254" s="58"/>
      <c r="AA254" s="59"/>
    </row>
    <row r="255" spans="15:27">
      <c r="O255" s="56"/>
      <c r="V255" s="55"/>
      <c r="Y255" s="58"/>
      <c r="Z255" s="58"/>
      <c r="AA255" s="59"/>
    </row>
    <row r="256" spans="15:27">
      <c r="O256" s="56"/>
      <c r="V256" s="55"/>
      <c r="Y256" s="58"/>
      <c r="Z256" s="58"/>
      <c r="AA256" s="59"/>
    </row>
    <row r="257" spans="15:27">
      <c r="O257" s="56"/>
      <c r="V257" s="55"/>
      <c r="Y257" s="58"/>
      <c r="Z257" s="58"/>
      <c r="AA257" s="59"/>
    </row>
    <row r="258" spans="15:27">
      <c r="O258" s="56"/>
      <c r="V258" s="55"/>
      <c r="Y258" s="58"/>
      <c r="Z258" s="58"/>
      <c r="AA258" s="59"/>
    </row>
    <row r="259" spans="15:27">
      <c r="O259" s="56"/>
      <c r="V259" s="55"/>
      <c r="Y259" s="58"/>
      <c r="Z259" s="58"/>
      <c r="AA259" s="59"/>
    </row>
    <row r="260" spans="15:27">
      <c r="O260" s="56"/>
      <c r="V260" s="55"/>
      <c r="Y260" s="58"/>
      <c r="Z260" s="58"/>
      <c r="AA260" s="59"/>
    </row>
    <row r="261" spans="15:27">
      <c r="O261" s="56"/>
      <c r="V261" s="55"/>
      <c r="Y261" s="58"/>
      <c r="Z261" s="58"/>
      <c r="AA261" s="59"/>
    </row>
    <row r="262" spans="15:27">
      <c r="O262" s="56"/>
      <c r="V262" s="55"/>
      <c r="Y262" s="58"/>
      <c r="Z262" s="58"/>
      <c r="AA262" s="59"/>
    </row>
    <row r="263" spans="15:27">
      <c r="O263" s="56"/>
      <c r="V263" s="55"/>
      <c r="Y263" s="58"/>
      <c r="Z263" s="58"/>
      <c r="AA263" s="59"/>
    </row>
    <row r="264" spans="15:27">
      <c r="O264" s="56"/>
      <c r="V264" s="55"/>
      <c r="Y264" s="58"/>
      <c r="Z264" s="58"/>
      <c r="AA264" s="59"/>
    </row>
    <row r="265" spans="15:27">
      <c r="O265" s="56"/>
      <c r="V265" s="55"/>
      <c r="Y265" s="58"/>
      <c r="Z265" s="58"/>
      <c r="AA265" s="59"/>
    </row>
    <row r="266" spans="15:27">
      <c r="O266" s="56"/>
      <c r="V266" s="55"/>
      <c r="Y266" s="58"/>
      <c r="Z266" s="58"/>
      <c r="AA266" s="59"/>
    </row>
    <row r="267" spans="15:27">
      <c r="O267" s="56"/>
      <c r="V267" s="55"/>
      <c r="Y267" s="58"/>
      <c r="Z267" s="58"/>
      <c r="AA267" s="59"/>
    </row>
    <row r="268" spans="15:27">
      <c r="O268" s="56"/>
      <c r="V268" s="55"/>
      <c r="Y268" s="58"/>
      <c r="Z268" s="58"/>
      <c r="AA268" s="59"/>
    </row>
    <row r="269" spans="15:27">
      <c r="O269" s="56"/>
      <c r="V269" s="55"/>
      <c r="Y269" s="58"/>
      <c r="Z269" s="58"/>
      <c r="AA269" s="59"/>
    </row>
    <row r="270" spans="15:27">
      <c r="O270" s="56"/>
      <c r="V270" s="55"/>
      <c r="Y270" s="58"/>
      <c r="Z270" s="58"/>
      <c r="AA270" s="59"/>
    </row>
    <row r="271" spans="15:27">
      <c r="O271" s="56"/>
      <c r="V271" s="55"/>
      <c r="Y271" s="58"/>
      <c r="Z271" s="58"/>
      <c r="AA271" s="59"/>
    </row>
    <row r="272" spans="15:27">
      <c r="O272" s="56"/>
      <c r="V272" s="55"/>
      <c r="Y272" s="58"/>
      <c r="Z272" s="58"/>
      <c r="AA272" s="59"/>
    </row>
    <row r="273" spans="15:27">
      <c r="O273" s="56"/>
      <c r="V273" s="55"/>
      <c r="Y273" s="58"/>
      <c r="Z273" s="58"/>
      <c r="AA273" s="59"/>
    </row>
    <row r="274" spans="15:27">
      <c r="O274" s="56"/>
      <c r="V274" s="55"/>
      <c r="Y274" s="58"/>
      <c r="Z274" s="58"/>
      <c r="AA274" s="59"/>
    </row>
    <row r="275" spans="15:27">
      <c r="O275" s="56"/>
      <c r="V275" s="55"/>
      <c r="Y275" s="58"/>
      <c r="Z275" s="58"/>
      <c r="AA275" s="59"/>
    </row>
    <row r="276" spans="15:27">
      <c r="O276" s="56"/>
      <c r="V276" s="55"/>
      <c r="Y276" s="58"/>
      <c r="Z276" s="58"/>
      <c r="AA276" s="59"/>
    </row>
    <row r="277" spans="15:27">
      <c r="O277" s="56"/>
      <c r="V277" s="55"/>
      <c r="Y277" s="58"/>
      <c r="Z277" s="58"/>
      <c r="AA277" s="59"/>
    </row>
    <row r="278" spans="15:27">
      <c r="O278" s="56"/>
      <c r="V278" s="55"/>
      <c r="Y278" s="58"/>
      <c r="Z278" s="58"/>
      <c r="AA278" s="59"/>
    </row>
    <row r="279" spans="15:27">
      <c r="O279" s="56"/>
      <c r="V279" s="55"/>
      <c r="Y279" s="58"/>
      <c r="Z279" s="58"/>
      <c r="AA279" s="59"/>
    </row>
    <row r="280" spans="15:27">
      <c r="O280" s="56"/>
      <c r="V280" s="55"/>
      <c r="Y280" s="58"/>
      <c r="Z280" s="58"/>
      <c r="AA280" s="59"/>
    </row>
    <row r="281" spans="15:27">
      <c r="O281" s="56"/>
      <c r="V281" s="55"/>
      <c r="Y281" s="58"/>
      <c r="Z281" s="58"/>
      <c r="AA281" s="59"/>
    </row>
    <row r="282" spans="15:27">
      <c r="O282" s="56"/>
      <c r="V282" s="55"/>
      <c r="Y282" s="58"/>
      <c r="Z282" s="58"/>
      <c r="AA282" s="59"/>
    </row>
    <row r="283" spans="15:27">
      <c r="O283" s="56"/>
      <c r="V283" s="55"/>
      <c r="Y283" s="58"/>
      <c r="Z283" s="58"/>
      <c r="AA283" s="59"/>
    </row>
    <row r="284" spans="15:27">
      <c r="O284" s="56"/>
      <c r="V284" s="55"/>
      <c r="Y284" s="58"/>
      <c r="Z284" s="58"/>
      <c r="AA284" s="59"/>
    </row>
    <row r="285" spans="15:27">
      <c r="O285" s="56"/>
      <c r="V285" s="55"/>
      <c r="Y285" s="58"/>
      <c r="Z285" s="58"/>
      <c r="AA285" s="59"/>
    </row>
    <row r="286" spans="15:27">
      <c r="O286" s="56"/>
      <c r="V286" s="55"/>
      <c r="Y286" s="58"/>
      <c r="Z286" s="58"/>
      <c r="AA286" s="59"/>
    </row>
    <row r="287" spans="15:27">
      <c r="O287" s="56"/>
      <c r="V287" s="55"/>
      <c r="Y287" s="58"/>
      <c r="Z287" s="58"/>
      <c r="AA287" s="59"/>
    </row>
    <row r="288" spans="15:27">
      <c r="O288" s="56"/>
      <c r="V288" s="55"/>
      <c r="Y288" s="58"/>
      <c r="Z288" s="58"/>
      <c r="AA288" s="59"/>
    </row>
    <row r="289" spans="15:27">
      <c r="O289" s="56"/>
      <c r="V289" s="55"/>
      <c r="Y289" s="58"/>
      <c r="Z289" s="58"/>
      <c r="AA289" s="59"/>
    </row>
    <row r="290" spans="15:27">
      <c r="O290" s="56"/>
      <c r="V290" s="55"/>
      <c r="Y290" s="58"/>
      <c r="Z290" s="58"/>
      <c r="AA290" s="59"/>
    </row>
    <row r="291" spans="15:27">
      <c r="O291" s="56"/>
      <c r="V291" s="55"/>
      <c r="Y291" s="58"/>
      <c r="Z291" s="58"/>
      <c r="AA291" s="59"/>
    </row>
    <row r="292" spans="15:27">
      <c r="O292" s="56"/>
      <c r="V292" s="55"/>
      <c r="Y292" s="58"/>
      <c r="Z292" s="58"/>
      <c r="AA292" s="59"/>
    </row>
    <row r="293" spans="15:27">
      <c r="O293" s="56"/>
      <c r="V293" s="55"/>
      <c r="Y293" s="58"/>
      <c r="Z293" s="58"/>
      <c r="AA293" s="59"/>
    </row>
    <row r="294" spans="15:27">
      <c r="O294" s="56"/>
      <c r="V294" s="55"/>
      <c r="Y294" s="58"/>
      <c r="Z294" s="58"/>
      <c r="AA294" s="59"/>
    </row>
    <row r="295" spans="15:27">
      <c r="O295" s="56"/>
      <c r="V295" s="55"/>
      <c r="Y295" s="58"/>
      <c r="Z295" s="58"/>
      <c r="AA295" s="59"/>
    </row>
    <row r="296" spans="15:27">
      <c r="O296" s="56"/>
      <c r="V296" s="55"/>
      <c r="Y296" s="58"/>
      <c r="Z296" s="58"/>
      <c r="AA296" s="59"/>
    </row>
    <row r="297" spans="15:27">
      <c r="O297" s="56"/>
      <c r="V297" s="55"/>
      <c r="Y297" s="58"/>
      <c r="Z297" s="58"/>
      <c r="AA297" s="59"/>
    </row>
    <row r="298" spans="15:27">
      <c r="O298" s="56"/>
      <c r="V298" s="55"/>
      <c r="Y298" s="58"/>
      <c r="Z298" s="58"/>
      <c r="AA298" s="59"/>
    </row>
    <row r="299" spans="15:27">
      <c r="O299" s="56"/>
      <c r="V299" s="55"/>
      <c r="Y299" s="58"/>
      <c r="Z299" s="58"/>
      <c r="AA299" s="59"/>
    </row>
    <row r="300" spans="15:27">
      <c r="O300" s="56"/>
      <c r="V300" s="55"/>
      <c r="Y300" s="58"/>
      <c r="Z300" s="58"/>
      <c r="AA300" s="59"/>
    </row>
    <row r="301" spans="15:27">
      <c r="O301" s="56"/>
      <c r="V301" s="55"/>
      <c r="Y301" s="58"/>
      <c r="Z301" s="58"/>
      <c r="AA301" s="59"/>
    </row>
    <row r="302" spans="15:27">
      <c r="O302" s="56"/>
      <c r="V302" s="55"/>
      <c r="Y302" s="58"/>
      <c r="Z302" s="58"/>
      <c r="AA302" s="59"/>
    </row>
    <row r="303" spans="15:27">
      <c r="O303" s="56"/>
      <c r="V303" s="55"/>
      <c r="Y303" s="58"/>
      <c r="Z303" s="58"/>
      <c r="AA303" s="59"/>
    </row>
    <row r="304" spans="15:27">
      <c r="O304" s="56"/>
      <c r="V304" s="55"/>
      <c r="Y304" s="58"/>
      <c r="Z304" s="58"/>
      <c r="AA304" s="59"/>
    </row>
    <row r="305" spans="15:27">
      <c r="O305" s="56"/>
      <c r="V305" s="55"/>
      <c r="Y305" s="58"/>
      <c r="Z305" s="58"/>
      <c r="AA305" s="59"/>
    </row>
    <row r="306" spans="15:27">
      <c r="O306" s="56"/>
      <c r="V306" s="55"/>
      <c r="Y306" s="58"/>
      <c r="Z306" s="58"/>
      <c r="AA306" s="59"/>
    </row>
    <row r="307" spans="15:27">
      <c r="O307" s="56"/>
      <c r="V307" s="55"/>
      <c r="Y307" s="58"/>
      <c r="Z307" s="58"/>
      <c r="AA307" s="59"/>
    </row>
    <row r="308" spans="15:27">
      <c r="O308" s="56"/>
      <c r="V308" s="55"/>
      <c r="Y308" s="58"/>
      <c r="Z308" s="58"/>
      <c r="AA308" s="59"/>
    </row>
    <row r="309" spans="15:27">
      <c r="O309" s="56"/>
      <c r="V309" s="55"/>
      <c r="Y309" s="58"/>
      <c r="Z309" s="58"/>
      <c r="AA309" s="59"/>
    </row>
    <row r="310" spans="15:27">
      <c r="O310" s="56"/>
      <c r="V310" s="55"/>
      <c r="Y310" s="58"/>
      <c r="Z310" s="58"/>
      <c r="AA310" s="59"/>
    </row>
    <row r="311" spans="15:27">
      <c r="O311" s="56"/>
      <c r="V311" s="55"/>
      <c r="Y311" s="58"/>
      <c r="Z311" s="58"/>
      <c r="AA311" s="59"/>
    </row>
    <row r="312" spans="15:27">
      <c r="O312" s="56"/>
      <c r="V312" s="55"/>
      <c r="Y312" s="58"/>
      <c r="Z312" s="58"/>
      <c r="AA312" s="59"/>
    </row>
    <row r="313" spans="15:27">
      <c r="O313" s="56"/>
      <c r="V313" s="55"/>
      <c r="Y313" s="58"/>
      <c r="Z313" s="58"/>
      <c r="AA313" s="59"/>
    </row>
    <row r="314" spans="15:27">
      <c r="O314" s="56"/>
      <c r="V314" s="55"/>
      <c r="Y314" s="58"/>
      <c r="Z314" s="58"/>
      <c r="AA314" s="59"/>
    </row>
    <row r="315" spans="15:27">
      <c r="O315" s="56"/>
      <c r="V315" s="55"/>
      <c r="Y315" s="58"/>
      <c r="Z315" s="58"/>
      <c r="AA315" s="59"/>
    </row>
    <row r="316" spans="15:27">
      <c r="O316" s="56"/>
      <c r="V316" s="55"/>
      <c r="Y316" s="58"/>
      <c r="Z316" s="58"/>
      <c r="AA316" s="59"/>
    </row>
    <row r="317" spans="15:27">
      <c r="O317" s="56"/>
      <c r="V317" s="55"/>
      <c r="Y317" s="58"/>
      <c r="Z317" s="58"/>
      <c r="AA317" s="59"/>
    </row>
    <row r="318" spans="15:27">
      <c r="O318" s="56"/>
      <c r="V318" s="55"/>
      <c r="Y318" s="58"/>
      <c r="Z318" s="58"/>
      <c r="AA318" s="59"/>
    </row>
    <row r="319" spans="15:27">
      <c r="O319" s="56"/>
      <c r="V319" s="55"/>
      <c r="Y319" s="58"/>
      <c r="Z319" s="58"/>
      <c r="AA319" s="59"/>
    </row>
    <row r="320" spans="15:27">
      <c r="O320" s="56"/>
      <c r="V320" s="55"/>
      <c r="Y320" s="58"/>
      <c r="Z320" s="58"/>
      <c r="AA320" s="59"/>
    </row>
    <row r="321" spans="15:27">
      <c r="O321" s="56"/>
      <c r="V321" s="55"/>
      <c r="Y321" s="58"/>
      <c r="Z321" s="58"/>
      <c r="AA321" s="59"/>
    </row>
    <row r="322" spans="15:27">
      <c r="O322" s="56"/>
      <c r="V322" s="55"/>
      <c r="Y322" s="58"/>
      <c r="Z322" s="58"/>
      <c r="AA322" s="59"/>
    </row>
    <row r="323" spans="15:27">
      <c r="O323" s="56"/>
      <c r="V323" s="55"/>
      <c r="Y323" s="58"/>
      <c r="Z323" s="58"/>
      <c r="AA323" s="59"/>
    </row>
    <row r="324" spans="15:27">
      <c r="O324" s="56"/>
      <c r="V324" s="55"/>
      <c r="Y324" s="58"/>
      <c r="Z324" s="58"/>
      <c r="AA324" s="59"/>
    </row>
    <row r="325" spans="15:27">
      <c r="O325" s="56"/>
      <c r="V325" s="55"/>
      <c r="Y325" s="58"/>
      <c r="Z325" s="58"/>
      <c r="AA325" s="59"/>
    </row>
    <row r="326" spans="15:27">
      <c r="O326" s="56"/>
      <c r="V326" s="55"/>
      <c r="Y326" s="58"/>
      <c r="Z326" s="58"/>
      <c r="AA326" s="59"/>
    </row>
    <row r="327" spans="15:27">
      <c r="O327" s="56"/>
      <c r="V327" s="55"/>
      <c r="Y327" s="58"/>
      <c r="Z327" s="58"/>
      <c r="AA327" s="59"/>
    </row>
    <row r="328" spans="15:27">
      <c r="O328" s="56"/>
      <c r="V328" s="55"/>
      <c r="Y328" s="58"/>
      <c r="Z328" s="58"/>
      <c r="AA328" s="59"/>
    </row>
    <row r="329" spans="15:27">
      <c r="O329" s="56"/>
      <c r="V329" s="55"/>
      <c r="Y329" s="58"/>
      <c r="Z329" s="58"/>
      <c r="AA329" s="59"/>
    </row>
    <row r="330" spans="15:27">
      <c r="O330" s="56"/>
      <c r="V330" s="55"/>
      <c r="Y330" s="58"/>
      <c r="Z330" s="58"/>
      <c r="AA330" s="59"/>
    </row>
    <row r="331" spans="15:27">
      <c r="O331" s="56"/>
      <c r="V331" s="55"/>
      <c r="Y331" s="58"/>
      <c r="Z331" s="58"/>
      <c r="AA331" s="59"/>
    </row>
    <row r="332" spans="15:27">
      <c r="O332" s="56"/>
      <c r="V332" s="55"/>
      <c r="Y332" s="58"/>
      <c r="Z332" s="58"/>
      <c r="AA332" s="59"/>
    </row>
    <row r="333" spans="15:27">
      <c r="O333" s="56"/>
      <c r="V333" s="55"/>
      <c r="Y333" s="58"/>
      <c r="Z333" s="58"/>
      <c r="AA333" s="59"/>
    </row>
    <row r="334" spans="15:27">
      <c r="O334" s="60"/>
      <c r="V334" s="55"/>
      <c r="Y334" s="58"/>
      <c r="Z334" s="58"/>
      <c r="AA334" s="59"/>
    </row>
    <row r="335" spans="15:27">
      <c r="O335" s="60"/>
      <c r="V335" s="55"/>
      <c r="Y335" s="58"/>
      <c r="Z335" s="58"/>
      <c r="AA335" s="59"/>
    </row>
    <row r="336" spans="15:27">
      <c r="O336" s="60"/>
      <c r="V336" s="55"/>
      <c r="Y336" s="58"/>
      <c r="Z336" s="58"/>
      <c r="AA336" s="59"/>
    </row>
    <row r="337" spans="15:27">
      <c r="O337" s="60"/>
      <c r="V337" s="55"/>
      <c r="Y337" s="58"/>
      <c r="Z337" s="58"/>
      <c r="AA337" s="59"/>
    </row>
    <row r="338" spans="15:27">
      <c r="O338" s="60"/>
      <c r="V338" s="55"/>
      <c r="Y338" s="58"/>
      <c r="Z338" s="58"/>
      <c r="AA338" s="59"/>
    </row>
    <row r="339" spans="15:27">
      <c r="O339" s="60"/>
      <c r="V339" s="55"/>
      <c r="Y339" s="58"/>
      <c r="Z339" s="58"/>
      <c r="AA339" s="59"/>
    </row>
    <row r="340" spans="15:27">
      <c r="O340" s="60"/>
      <c r="V340" s="55"/>
      <c r="Y340" s="58"/>
      <c r="Z340" s="58"/>
      <c r="AA340" s="59"/>
    </row>
    <row r="341" spans="15:27">
      <c r="O341" s="60"/>
      <c r="V341" s="55"/>
      <c r="Y341" s="58"/>
      <c r="Z341" s="58"/>
      <c r="AA341" s="59"/>
    </row>
    <row r="342" spans="15:27">
      <c r="O342" s="60"/>
      <c r="V342" s="55"/>
      <c r="Y342" s="58"/>
      <c r="Z342" s="58"/>
      <c r="AA342" s="59"/>
    </row>
    <row r="343" spans="15:27">
      <c r="O343" s="60"/>
      <c r="V343" s="55"/>
      <c r="Y343" s="58"/>
      <c r="Z343" s="58"/>
      <c r="AA343" s="59"/>
    </row>
    <row r="344" spans="15:27">
      <c r="O344" s="60"/>
      <c r="V344" s="55"/>
      <c r="Y344" s="58"/>
      <c r="Z344" s="58"/>
      <c r="AA344" s="59"/>
    </row>
    <row r="345" spans="15:27">
      <c r="O345" s="60"/>
      <c r="V345" s="55"/>
      <c r="Y345" s="58"/>
      <c r="Z345" s="58"/>
      <c r="AA345" s="59"/>
    </row>
    <row r="346" spans="15:27">
      <c r="O346" s="60"/>
      <c r="V346" s="55"/>
      <c r="Y346" s="58"/>
      <c r="Z346" s="58"/>
      <c r="AA346" s="59"/>
    </row>
    <row r="347" spans="15:27">
      <c r="O347" s="60"/>
      <c r="V347" s="55"/>
      <c r="Y347" s="58"/>
      <c r="Z347" s="58"/>
      <c r="AA347" s="59"/>
    </row>
    <row r="348" spans="15:27">
      <c r="O348" s="60"/>
      <c r="V348" s="55"/>
      <c r="Y348" s="58"/>
      <c r="Z348" s="58"/>
      <c r="AA348" s="59"/>
    </row>
    <row r="349" spans="15:27">
      <c r="O349" s="60"/>
      <c r="V349" s="55"/>
      <c r="Y349" s="58"/>
      <c r="Z349" s="58"/>
      <c r="AA349" s="59"/>
    </row>
    <row r="350" spans="15:27">
      <c r="O350" s="60"/>
      <c r="V350" s="55"/>
      <c r="Y350" s="58"/>
      <c r="Z350" s="58"/>
      <c r="AA350" s="59"/>
    </row>
    <row r="351" spans="15:27">
      <c r="O351" s="60"/>
      <c r="V351" s="55"/>
      <c r="Y351" s="58"/>
      <c r="Z351" s="58"/>
      <c r="AA351" s="59"/>
    </row>
    <row r="352" spans="15:27">
      <c r="O352" s="60"/>
      <c r="V352" s="55"/>
      <c r="Y352" s="58"/>
      <c r="Z352" s="58"/>
      <c r="AA352" s="59"/>
    </row>
    <row r="353" spans="15:27">
      <c r="O353" s="60"/>
      <c r="V353" s="55"/>
      <c r="Y353" s="58"/>
      <c r="Z353" s="58"/>
      <c r="AA353" s="59"/>
    </row>
    <row r="354" spans="15:27">
      <c r="O354" s="60"/>
      <c r="V354" s="55"/>
      <c r="Y354" s="58"/>
      <c r="Z354" s="58"/>
      <c r="AA354" s="59"/>
    </row>
    <row r="355" spans="15:27">
      <c r="O355" s="60"/>
      <c r="V355" s="55"/>
      <c r="Y355" s="58"/>
      <c r="Z355" s="58"/>
      <c r="AA355" s="59"/>
    </row>
    <row r="356" spans="15:27">
      <c r="O356" s="60"/>
      <c r="V356" s="55"/>
      <c r="Y356" s="58"/>
      <c r="Z356" s="58"/>
      <c r="AA356" s="59"/>
    </row>
    <row r="357" spans="15:27">
      <c r="O357" s="60"/>
      <c r="V357" s="55"/>
      <c r="Y357" s="58"/>
      <c r="Z357" s="58"/>
      <c r="AA357" s="59"/>
    </row>
    <row r="358" spans="15:27">
      <c r="O358" s="60"/>
      <c r="V358" s="55"/>
      <c r="Y358" s="58"/>
      <c r="Z358" s="58"/>
      <c r="AA358" s="59"/>
    </row>
    <row r="359" spans="15:27">
      <c r="O359" s="60"/>
      <c r="V359" s="55"/>
      <c r="Y359" s="58"/>
      <c r="Z359" s="58"/>
      <c r="AA359" s="59"/>
    </row>
    <row r="360" spans="15:27">
      <c r="O360" s="60"/>
      <c r="V360" s="55"/>
      <c r="Y360" s="58"/>
      <c r="Z360" s="58"/>
      <c r="AA360" s="59"/>
    </row>
    <row r="361" spans="15:27">
      <c r="O361" s="60"/>
      <c r="V361" s="55"/>
      <c r="Y361" s="58"/>
      <c r="Z361" s="58"/>
      <c r="AA361" s="59"/>
    </row>
    <row r="362" spans="15:27">
      <c r="O362" s="60"/>
      <c r="V362" s="55"/>
      <c r="Y362" s="58"/>
      <c r="Z362" s="58"/>
      <c r="AA362" s="59"/>
    </row>
    <row r="363" spans="15:27">
      <c r="O363" s="60"/>
      <c r="V363" s="55"/>
      <c r="Y363" s="58"/>
      <c r="Z363" s="58"/>
      <c r="AA363" s="59"/>
    </row>
    <row r="364" spans="15:27">
      <c r="O364" s="60"/>
      <c r="V364" s="55"/>
      <c r="Y364" s="58"/>
      <c r="Z364" s="58"/>
      <c r="AA364" s="59"/>
    </row>
    <row r="365" spans="15:27">
      <c r="O365" s="60"/>
      <c r="V365" s="55"/>
      <c r="Y365" s="58"/>
      <c r="Z365" s="58"/>
      <c r="AA365" s="59"/>
    </row>
    <row r="366" spans="15:27">
      <c r="O366" s="60"/>
      <c r="V366" s="55"/>
      <c r="Y366" s="58"/>
      <c r="Z366" s="58"/>
      <c r="AA366" s="59"/>
    </row>
    <row r="367" spans="15:27">
      <c r="O367" s="60"/>
      <c r="V367" s="55"/>
      <c r="Y367" s="58"/>
      <c r="Z367" s="58"/>
      <c r="AA367" s="59"/>
    </row>
    <row r="368" spans="15:27">
      <c r="O368" s="60"/>
      <c r="V368" s="55"/>
      <c r="Y368" s="58"/>
      <c r="Z368" s="58"/>
      <c r="AA368" s="59"/>
    </row>
    <row r="369" spans="15:27">
      <c r="O369" s="60"/>
      <c r="V369" s="55"/>
      <c r="Y369" s="58"/>
      <c r="Z369" s="58"/>
      <c r="AA369" s="59"/>
    </row>
    <row r="370" spans="15:27">
      <c r="O370" s="60"/>
      <c r="V370" s="55"/>
      <c r="Y370" s="58"/>
      <c r="Z370" s="58"/>
      <c r="AA370" s="59"/>
    </row>
    <row r="371" spans="15:27">
      <c r="O371" s="60"/>
      <c r="V371" s="55"/>
      <c r="Y371" s="58"/>
      <c r="Z371" s="58"/>
      <c r="AA371" s="59"/>
    </row>
    <row r="372" spans="15:27">
      <c r="O372" s="60"/>
      <c r="V372" s="55"/>
      <c r="Y372" s="58"/>
      <c r="Z372" s="58"/>
      <c r="AA372" s="59"/>
    </row>
    <row r="373" spans="15:27">
      <c r="O373" s="60"/>
      <c r="V373" s="55"/>
      <c r="Y373" s="58"/>
      <c r="Z373" s="58"/>
      <c r="AA373" s="59"/>
    </row>
    <row r="374" spans="15:27">
      <c r="O374" s="60"/>
      <c r="V374" s="55"/>
      <c r="Y374" s="58"/>
      <c r="Z374" s="58"/>
      <c r="AA374" s="59"/>
    </row>
    <row r="375" spans="15:27">
      <c r="O375" s="60"/>
      <c r="V375" s="55"/>
      <c r="Y375" s="58"/>
      <c r="Z375" s="58"/>
      <c r="AA375" s="59"/>
    </row>
    <row r="376" spans="15:27">
      <c r="O376" s="60"/>
      <c r="V376" s="55"/>
      <c r="Y376" s="58"/>
      <c r="Z376" s="58"/>
      <c r="AA376" s="59"/>
    </row>
    <row r="377" spans="15:27">
      <c r="O377" s="60"/>
      <c r="V377" s="55"/>
      <c r="Y377" s="58"/>
      <c r="Z377" s="58"/>
      <c r="AA377" s="59"/>
    </row>
    <row r="378" spans="15:27">
      <c r="O378" s="60"/>
      <c r="V378" s="55"/>
      <c r="Y378" s="58"/>
      <c r="Z378" s="58"/>
      <c r="AA378" s="59"/>
    </row>
    <row r="379" spans="15:27">
      <c r="O379" s="60"/>
      <c r="V379" s="55"/>
      <c r="Y379" s="58"/>
      <c r="Z379" s="58"/>
      <c r="AA379" s="59"/>
    </row>
    <row r="380" spans="15:27">
      <c r="O380" s="60"/>
      <c r="V380" s="55"/>
      <c r="Y380" s="58"/>
      <c r="Z380" s="58"/>
      <c r="AA380" s="59"/>
    </row>
    <row r="381" spans="15:27">
      <c r="O381" s="60"/>
      <c r="V381" s="55"/>
      <c r="Y381" s="58"/>
      <c r="Z381" s="58"/>
      <c r="AA381" s="59"/>
    </row>
    <row r="382" spans="15:27">
      <c r="O382" s="60"/>
      <c r="V382" s="55"/>
      <c r="Y382" s="58"/>
      <c r="Z382" s="58"/>
      <c r="AA382" s="59"/>
    </row>
    <row r="383" spans="15:27">
      <c r="O383" s="60"/>
      <c r="V383" s="55"/>
      <c r="Y383" s="58"/>
      <c r="Z383" s="58"/>
      <c r="AA383" s="59"/>
    </row>
    <row r="384" spans="15:27">
      <c r="O384" s="60"/>
      <c r="V384" s="55"/>
      <c r="Y384" s="58"/>
      <c r="Z384" s="58"/>
      <c r="AA384" s="59"/>
    </row>
    <row r="385" spans="15:27">
      <c r="O385" s="60"/>
      <c r="V385" s="55"/>
      <c r="Y385" s="58"/>
      <c r="Z385" s="58"/>
      <c r="AA385" s="59"/>
    </row>
    <row r="386" spans="15:27">
      <c r="O386" s="60"/>
      <c r="V386" s="55"/>
      <c r="Y386" s="58"/>
      <c r="Z386" s="58"/>
      <c r="AA386" s="59"/>
    </row>
    <row r="387" spans="15:27">
      <c r="O387" s="60"/>
      <c r="V387" s="55"/>
      <c r="Y387" s="58"/>
      <c r="Z387" s="58"/>
      <c r="AA387" s="59"/>
    </row>
    <row r="388" spans="15:27">
      <c r="O388" s="60"/>
      <c r="V388" s="55"/>
      <c r="Y388" s="58"/>
      <c r="Z388" s="58"/>
      <c r="AA388" s="59"/>
    </row>
    <row r="389" spans="15:27">
      <c r="O389" s="60"/>
      <c r="V389" s="55"/>
      <c r="Y389" s="58"/>
      <c r="Z389" s="58"/>
      <c r="AA389" s="59"/>
    </row>
    <row r="390" spans="15:27">
      <c r="O390" s="60"/>
      <c r="V390" s="55"/>
      <c r="Y390" s="58"/>
      <c r="Z390" s="58"/>
      <c r="AA390" s="59"/>
    </row>
    <row r="391" spans="15:27">
      <c r="O391" s="60"/>
      <c r="V391" s="55"/>
      <c r="Y391" s="58"/>
      <c r="Z391" s="58"/>
      <c r="AA391" s="59"/>
    </row>
    <row r="392" spans="15:27">
      <c r="O392" s="60"/>
      <c r="V392" s="55"/>
      <c r="Y392" s="58"/>
      <c r="Z392" s="58"/>
      <c r="AA392" s="59"/>
    </row>
    <row r="393" spans="15:27">
      <c r="O393" s="60"/>
      <c r="V393" s="55"/>
      <c r="Y393" s="58"/>
      <c r="Z393" s="58"/>
      <c r="AA393" s="59"/>
    </row>
    <row r="394" spans="15:27">
      <c r="O394" s="60"/>
      <c r="V394" s="55"/>
      <c r="Y394" s="58"/>
      <c r="Z394" s="58"/>
      <c r="AA394" s="59"/>
    </row>
    <row r="395" spans="15:27">
      <c r="O395" s="60"/>
      <c r="V395" s="55"/>
      <c r="Y395" s="58"/>
      <c r="Z395" s="58"/>
      <c r="AA395" s="59"/>
    </row>
    <row r="396" spans="15:27">
      <c r="O396" s="60"/>
      <c r="V396" s="55"/>
      <c r="Y396" s="58"/>
      <c r="Z396" s="58"/>
      <c r="AA396" s="59"/>
    </row>
    <row r="397" spans="15:27">
      <c r="O397" s="60"/>
      <c r="V397" s="55"/>
      <c r="Y397" s="58"/>
      <c r="Z397" s="58"/>
      <c r="AA397" s="59"/>
    </row>
    <row r="398" spans="15:27">
      <c r="O398" s="60"/>
      <c r="V398" s="55"/>
      <c r="Y398" s="58"/>
      <c r="Z398" s="58"/>
      <c r="AA398" s="59"/>
    </row>
    <row r="399" spans="15:27">
      <c r="O399" s="60"/>
      <c r="V399" s="55"/>
      <c r="Y399" s="58"/>
      <c r="Z399" s="58"/>
      <c r="AA399" s="59"/>
    </row>
    <row r="400" spans="15:27">
      <c r="O400" s="60"/>
      <c r="V400" s="55"/>
      <c r="Y400" s="58"/>
      <c r="Z400" s="58"/>
      <c r="AA400" s="59"/>
    </row>
    <row r="401" spans="15:16">
      <c r="O401" s="60"/>
    </row>
    <row r="402" spans="15:16">
      <c r="O402" s="60"/>
    </row>
    <row r="403" spans="15:16">
      <c r="O403" s="60"/>
    </row>
    <row r="404" spans="15:16">
      <c r="O404" s="60"/>
    </row>
    <row r="405" spans="15:16">
      <c r="P405" s="61"/>
    </row>
    <row r="406" spans="15:16">
      <c r="P406" s="61"/>
    </row>
    <row r="407" spans="15:16">
      <c r="P407" s="61"/>
    </row>
    <row r="408" spans="15:16">
      <c r="P408" s="61"/>
    </row>
    <row r="409" spans="15:16">
      <c r="P409" s="61"/>
    </row>
    <row r="410" spans="15:16">
      <c r="P410" s="61"/>
    </row>
    <row r="411" spans="15:16">
      <c r="P411" s="61"/>
    </row>
    <row r="412" spans="15:16">
      <c r="P412" s="61"/>
    </row>
    <row r="413" spans="15:16">
      <c r="P413" s="61"/>
    </row>
    <row r="414" spans="15:16">
      <c r="P414" s="61"/>
    </row>
    <row r="415" spans="15:16">
      <c r="P415" s="61"/>
    </row>
    <row r="416" spans="15:16">
      <c r="P416" s="61"/>
    </row>
    <row r="417" spans="16:16">
      <c r="P417" s="61"/>
    </row>
    <row r="418" spans="16:16">
      <c r="P418" s="61"/>
    </row>
    <row r="419" spans="16:16">
      <c r="P419" s="61"/>
    </row>
    <row r="420" spans="16:16">
      <c r="P420" s="61"/>
    </row>
    <row r="421" spans="16:16">
      <c r="P421" s="61"/>
    </row>
    <row r="422" spans="16:16">
      <c r="P422" s="61"/>
    </row>
    <row r="423" spans="16:16">
      <c r="P423" s="61"/>
    </row>
    <row r="424" spans="16:16">
      <c r="P424" s="61"/>
    </row>
    <row r="425" spans="16:16">
      <c r="P425" s="61"/>
    </row>
    <row r="426" spans="16:16">
      <c r="P426" s="61"/>
    </row>
    <row r="427" spans="16:16">
      <c r="P427" s="61"/>
    </row>
    <row r="436" spans="13:13">
      <c r="M436" s="152"/>
    </row>
    <row r="437" spans="13:13">
      <c r="M437" s="152"/>
    </row>
    <row r="438" spans="13:13">
      <c r="M438" s="152"/>
    </row>
    <row r="439" spans="13:13">
      <c r="M439" s="152"/>
    </row>
    <row r="440" spans="13:13">
      <c r="M440" s="152"/>
    </row>
    <row r="441" spans="13:13">
      <c r="M441" s="152"/>
    </row>
    <row r="442" spans="13:13">
      <c r="M442" s="152"/>
    </row>
    <row r="443" spans="13:13">
      <c r="M443" s="152"/>
    </row>
    <row r="444" spans="13:13">
      <c r="M444" s="152"/>
    </row>
    <row r="445" spans="13:13">
      <c r="M445" s="152"/>
    </row>
    <row r="446" spans="13:13">
      <c r="M446" s="152"/>
    </row>
    <row r="447" spans="13:13">
      <c r="M447" s="152"/>
    </row>
    <row r="448" spans="13:13">
      <c r="M448" s="152"/>
    </row>
    <row r="449" spans="13:13">
      <c r="M449" s="152"/>
    </row>
    <row r="450" spans="13:13">
      <c r="M450" s="152"/>
    </row>
    <row r="451" spans="13:13">
      <c r="M451" s="152"/>
    </row>
    <row r="452" spans="13:13">
      <c r="M452" s="152"/>
    </row>
    <row r="453" spans="13:13">
      <c r="M453" s="152"/>
    </row>
    <row r="454" spans="13:13">
      <c r="M454" s="152"/>
    </row>
    <row r="455" spans="13:13">
      <c r="M455" s="152"/>
    </row>
    <row r="456" spans="13:13">
      <c r="M456" s="152"/>
    </row>
    <row r="457" spans="13:13">
      <c r="M457" s="152"/>
    </row>
    <row r="458" spans="13:13">
      <c r="M458" s="152"/>
    </row>
    <row r="459" spans="13:13">
      <c r="M459" s="152"/>
    </row>
    <row r="460" spans="13:13">
      <c r="M460" s="152"/>
    </row>
    <row r="461" spans="13:13">
      <c r="M461" s="152"/>
    </row>
    <row r="462" spans="13:13">
      <c r="M462" s="152"/>
    </row>
    <row r="463" spans="13:13">
      <c r="M463" s="152"/>
    </row>
    <row r="464" spans="13:13">
      <c r="M464" s="152"/>
    </row>
    <row r="465" spans="13:13">
      <c r="M465" s="152"/>
    </row>
    <row r="466" spans="13:13">
      <c r="M466" s="152"/>
    </row>
    <row r="467" spans="13:13">
      <c r="M467" s="152"/>
    </row>
    <row r="468" spans="13:13">
      <c r="M468" s="152"/>
    </row>
    <row r="469" spans="13:13">
      <c r="M469" s="152"/>
    </row>
    <row r="470" spans="13:13">
      <c r="M470" s="152"/>
    </row>
    <row r="471" spans="13:13">
      <c r="M471" s="152"/>
    </row>
    <row r="472" spans="13:13">
      <c r="M472" s="152"/>
    </row>
    <row r="473" spans="13:13">
      <c r="M473" s="152"/>
    </row>
    <row r="474" spans="13:13">
      <c r="M474" s="152"/>
    </row>
    <row r="475" spans="13:13">
      <c r="M475" s="152"/>
    </row>
    <row r="476" spans="13:13">
      <c r="M476" s="152"/>
    </row>
    <row r="477" spans="13:13">
      <c r="M477" s="152"/>
    </row>
    <row r="478" spans="13:13">
      <c r="M478" s="152"/>
    </row>
    <row r="479" spans="13:13">
      <c r="M479" s="152"/>
    </row>
    <row r="480" spans="13:13">
      <c r="M480" s="152"/>
    </row>
    <row r="481" spans="13:13">
      <c r="M481" s="152"/>
    </row>
    <row r="482" spans="13:13">
      <c r="M482" s="152"/>
    </row>
    <row r="483" spans="13:13">
      <c r="M483" s="152"/>
    </row>
    <row r="484" spans="13:13">
      <c r="M484" s="152"/>
    </row>
    <row r="485" spans="13:13">
      <c r="M485" s="152"/>
    </row>
    <row r="486" spans="13:13">
      <c r="M486" s="152"/>
    </row>
    <row r="487" spans="13:13">
      <c r="M487" s="152"/>
    </row>
    <row r="488" spans="13:13">
      <c r="M488" s="152"/>
    </row>
    <row r="489" spans="13:13">
      <c r="M489" s="152"/>
    </row>
    <row r="490" spans="13:13">
      <c r="M490" s="152"/>
    </row>
    <row r="491" spans="13:13">
      <c r="M491" s="152"/>
    </row>
    <row r="492" spans="13:13">
      <c r="M492" s="152"/>
    </row>
    <row r="493" spans="13:13">
      <c r="M493" s="152"/>
    </row>
    <row r="494" spans="13:13">
      <c r="M494" s="152"/>
    </row>
    <row r="495" spans="13:13">
      <c r="M495" s="152"/>
    </row>
    <row r="496" spans="13:13">
      <c r="M496" s="152"/>
    </row>
    <row r="497" spans="13:13">
      <c r="M497" s="152"/>
    </row>
    <row r="498" spans="13:13">
      <c r="M498" s="152"/>
    </row>
    <row r="499" spans="13:13">
      <c r="M499" s="152"/>
    </row>
    <row r="500" spans="13:13">
      <c r="M500" s="152"/>
    </row>
    <row r="501" spans="13:13">
      <c r="M501" s="152"/>
    </row>
    <row r="502" spans="13:13">
      <c r="M502" s="152"/>
    </row>
    <row r="503" spans="13:13">
      <c r="M503" s="152"/>
    </row>
    <row r="504" spans="13:13">
      <c r="M504" s="152"/>
    </row>
    <row r="505" spans="13:13">
      <c r="M505" s="152"/>
    </row>
    <row r="506" spans="13:13">
      <c r="M506" s="152"/>
    </row>
    <row r="507" spans="13:13">
      <c r="M507" s="152"/>
    </row>
    <row r="508" spans="13:13">
      <c r="M508" s="152"/>
    </row>
    <row r="509" spans="13:13">
      <c r="M509" s="152"/>
    </row>
    <row r="510" spans="13:13">
      <c r="M510" s="152"/>
    </row>
    <row r="511" spans="13:13">
      <c r="M511" s="152"/>
    </row>
    <row r="512" spans="13:13">
      <c r="M512" s="152"/>
    </row>
    <row r="513" spans="13:13">
      <c r="M513" s="152"/>
    </row>
    <row r="514" spans="13:13">
      <c r="M514" s="152"/>
    </row>
    <row r="515" spans="13:13">
      <c r="M515" s="152"/>
    </row>
    <row r="516" spans="13:13">
      <c r="M516" s="152"/>
    </row>
    <row r="517" spans="13:13">
      <c r="M517" s="152"/>
    </row>
    <row r="518" spans="13:13">
      <c r="M518" s="152"/>
    </row>
    <row r="519" spans="13:13">
      <c r="M519" s="152"/>
    </row>
    <row r="520" spans="13:13">
      <c r="M520" s="152"/>
    </row>
    <row r="521" spans="13:13">
      <c r="M521" s="152"/>
    </row>
    <row r="522" spans="13:13">
      <c r="M522" s="152"/>
    </row>
    <row r="523" spans="13:13">
      <c r="M523" s="152"/>
    </row>
    <row r="524" spans="13:13">
      <c r="M524" s="152"/>
    </row>
    <row r="525" spans="13:13">
      <c r="M525" s="152"/>
    </row>
    <row r="526" spans="13:13">
      <c r="M526" s="152"/>
    </row>
    <row r="527" spans="13:13">
      <c r="M527" s="152"/>
    </row>
    <row r="528" spans="13:13">
      <c r="M528" s="152"/>
    </row>
    <row r="529" spans="13:13">
      <c r="M529" s="152"/>
    </row>
    <row r="530" spans="13:13">
      <c r="M530" s="152"/>
    </row>
    <row r="531" spans="13:13">
      <c r="M531" s="152"/>
    </row>
    <row r="532" spans="13:13">
      <c r="M532" s="152"/>
    </row>
    <row r="533" spans="13:13">
      <c r="M533" s="152"/>
    </row>
    <row r="534" spans="13:13">
      <c r="M534" s="152"/>
    </row>
    <row r="535" spans="13:13">
      <c r="M535" s="152"/>
    </row>
    <row r="536" spans="13:13">
      <c r="M536" s="152"/>
    </row>
    <row r="537" spans="13:13">
      <c r="M537" s="152"/>
    </row>
    <row r="538" spans="13:13">
      <c r="M538" s="152"/>
    </row>
    <row r="539" spans="13:13">
      <c r="M539" s="152"/>
    </row>
    <row r="540" spans="13:13">
      <c r="M540" s="152"/>
    </row>
    <row r="541" spans="13:13">
      <c r="M541" s="152"/>
    </row>
    <row r="542" spans="13:13">
      <c r="M542" s="152"/>
    </row>
    <row r="543" spans="13:13">
      <c r="M543" s="152"/>
    </row>
    <row r="544" spans="13:13">
      <c r="M544" s="152"/>
    </row>
    <row r="545" spans="13:13">
      <c r="M545" s="152"/>
    </row>
    <row r="546" spans="13:13">
      <c r="M546" s="152"/>
    </row>
    <row r="547" spans="13:13">
      <c r="M547" s="152"/>
    </row>
    <row r="548" spans="13:13">
      <c r="M548" s="152"/>
    </row>
    <row r="549" spans="13:13">
      <c r="M549" s="152"/>
    </row>
    <row r="550" spans="13:13">
      <c r="M550" s="152"/>
    </row>
    <row r="551" spans="13:13">
      <c r="M551" s="152"/>
    </row>
    <row r="552" spans="13:13">
      <c r="M552" s="152"/>
    </row>
    <row r="553" spans="13:13">
      <c r="M553" s="152"/>
    </row>
    <row r="554" spans="13:13">
      <c r="M554" s="152"/>
    </row>
    <row r="555" spans="13:13">
      <c r="M555" s="152"/>
    </row>
    <row r="556" spans="13:13">
      <c r="M556" s="152"/>
    </row>
    <row r="557" spans="13:13">
      <c r="M557" s="152"/>
    </row>
    <row r="558" spans="13:13">
      <c r="M558" s="152"/>
    </row>
    <row r="559" spans="13:13">
      <c r="M559" s="152"/>
    </row>
    <row r="560" spans="13:13">
      <c r="M560" s="152"/>
    </row>
    <row r="561" spans="13:13">
      <c r="M561" s="152"/>
    </row>
    <row r="562" spans="13:13">
      <c r="M562" s="152"/>
    </row>
    <row r="563" spans="13:13">
      <c r="M563" s="152"/>
    </row>
    <row r="564" spans="13:13">
      <c r="M564" s="152"/>
    </row>
    <row r="565" spans="13:13">
      <c r="M565" s="152"/>
    </row>
    <row r="566" spans="13:13">
      <c r="M566" s="152"/>
    </row>
    <row r="567" spans="13:13">
      <c r="M567" s="152"/>
    </row>
    <row r="568" spans="13:13">
      <c r="M568" s="152"/>
    </row>
    <row r="569" spans="13:13">
      <c r="M569" s="152"/>
    </row>
    <row r="570" spans="13:13">
      <c r="M570" s="152"/>
    </row>
    <row r="571" spans="13:13">
      <c r="M571" s="152"/>
    </row>
    <row r="572" spans="13:13">
      <c r="M572" s="152"/>
    </row>
    <row r="573" spans="13:13">
      <c r="M573" s="152"/>
    </row>
    <row r="574" spans="13:13">
      <c r="M574" s="152"/>
    </row>
    <row r="575" spans="13:13">
      <c r="M575" s="152"/>
    </row>
    <row r="576" spans="13:13">
      <c r="M576" s="152"/>
    </row>
    <row r="577" spans="13:13">
      <c r="M577" s="152"/>
    </row>
    <row r="578" spans="13:13">
      <c r="M578" s="152"/>
    </row>
    <row r="579" spans="13:13">
      <c r="M579" s="152"/>
    </row>
    <row r="580" spans="13:13">
      <c r="M580" s="152"/>
    </row>
    <row r="581" spans="13:13">
      <c r="M581" s="152"/>
    </row>
    <row r="582" spans="13:13">
      <c r="M582" s="152"/>
    </row>
    <row r="583" spans="13:13">
      <c r="M583" s="152"/>
    </row>
    <row r="584" spans="13:13">
      <c r="M584" s="152"/>
    </row>
    <row r="585" spans="13:13">
      <c r="M585" s="152"/>
    </row>
    <row r="586" spans="13:13">
      <c r="M586" s="152"/>
    </row>
    <row r="587" spans="13:13">
      <c r="M587" s="152"/>
    </row>
    <row r="588" spans="13:13">
      <c r="M588" s="152"/>
    </row>
    <row r="589" spans="13:13">
      <c r="M589" s="152"/>
    </row>
    <row r="590" spans="13:13">
      <c r="M590" s="152"/>
    </row>
    <row r="591" spans="13:13">
      <c r="M591" s="152"/>
    </row>
    <row r="592" spans="13:13">
      <c r="M592" s="152"/>
    </row>
    <row r="593" spans="13:13">
      <c r="M593" s="152"/>
    </row>
    <row r="594" spans="13:13">
      <c r="M594" s="152"/>
    </row>
    <row r="595" spans="13:13">
      <c r="M595" s="152"/>
    </row>
    <row r="596" spans="13:13">
      <c r="M596" s="152"/>
    </row>
    <row r="597" spans="13:13">
      <c r="M597" s="152"/>
    </row>
    <row r="598" spans="13:13">
      <c r="M598" s="152"/>
    </row>
    <row r="599" spans="13:13">
      <c r="M599" s="152"/>
    </row>
    <row r="600" spans="13:13">
      <c r="M600" s="152"/>
    </row>
    <row r="601" spans="13:13">
      <c r="M601" s="152"/>
    </row>
    <row r="602" spans="13:13">
      <c r="M602" s="152"/>
    </row>
    <row r="603" spans="13:13">
      <c r="M603" s="152"/>
    </row>
    <row r="604" spans="13:13">
      <c r="M604" s="152"/>
    </row>
    <row r="605" spans="13:13">
      <c r="M605" s="152"/>
    </row>
    <row r="606" spans="13:13">
      <c r="M606" s="152"/>
    </row>
    <row r="607" spans="13:13">
      <c r="M607" s="152"/>
    </row>
    <row r="608" spans="13:13">
      <c r="M608" s="152"/>
    </row>
    <row r="609" spans="13:13">
      <c r="M609" s="152"/>
    </row>
    <row r="610" spans="13:13">
      <c r="M610" s="152"/>
    </row>
    <row r="611" spans="13:13">
      <c r="M611" s="152"/>
    </row>
    <row r="612" spans="13:13">
      <c r="M612" s="152"/>
    </row>
    <row r="613" spans="13:13">
      <c r="M613" s="152"/>
    </row>
    <row r="614" spans="13:13">
      <c r="M614" s="152"/>
    </row>
    <row r="615" spans="13:13">
      <c r="M615" s="152"/>
    </row>
    <row r="616" spans="13:13">
      <c r="M616" s="152"/>
    </row>
    <row r="617" spans="13:13">
      <c r="M617" s="152"/>
    </row>
    <row r="618" spans="13:13">
      <c r="M618" s="152"/>
    </row>
    <row r="619" spans="13:13">
      <c r="M619" s="152"/>
    </row>
    <row r="620" spans="13:13">
      <c r="M620" s="152"/>
    </row>
    <row r="621" spans="13:13">
      <c r="M621" s="152"/>
    </row>
    <row r="622" spans="13:13">
      <c r="M622" s="152"/>
    </row>
    <row r="623" spans="13:13">
      <c r="M623" s="152"/>
    </row>
    <row r="624" spans="13:13">
      <c r="M624" s="152"/>
    </row>
    <row r="625" spans="13:13">
      <c r="M625" s="152"/>
    </row>
    <row r="626" spans="13:13">
      <c r="M626" s="152"/>
    </row>
    <row r="627" spans="13:13">
      <c r="M627" s="152"/>
    </row>
    <row r="628" spans="13:13">
      <c r="M628" s="152"/>
    </row>
    <row r="629" spans="13:13">
      <c r="M629" s="152"/>
    </row>
    <row r="630" spans="13:13">
      <c r="M630" s="152"/>
    </row>
    <row r="631" spans="13:13">
      <c r="M631" s="152"/>
    </row>
    <row r="632" spans="13:13">
      <c r="M632" s="152"/>
    </row>
    <row r="633" spans="13:13">
      <c r="M633" s="152"/>
    </row>
    <row r="634" spans="13:13">
      <c r="M634" s="152"/>
    </row>
    <row r="635" spans="13:13">
      <c r="M635" s="152"/>
    </row>
    <row r="636" spans="13:13">
      <c r="M636" s="152"/>
    </row>
    <row r="637" spans="13:13">
      <c r="M637" s="152"/>
    </row>
    <row r="638" spans="13:13">
      <c r="M638" s="152"/>
    </row>
    <row r="639" spans="13:13">
      <c r="M639" s="152"/>
    </row>
    <row r="640" spans="13:13">
      <c r="M640" s="152"/>
    </row>
    <row r="641" spans="13:13">
      <c r="M641" s="152"/>
    </row>
    <row r="642" spans="13:13">
      <c r="M642" s="152"/>
    </row>
    <row r="643" spans="13:13">
      <c r="M643" s="152"/>
    </row>
    <row r="644" spans="13:13">
      <c r="M644" s="152"/>
    </row>
    <row r="645" spans="13:13">
      <c r="M645" s="152"/>
    </row>
    <row r="646" spans="13:13">
      <c r="M646" s="152"/>
    </row>
    <row r="647" spans="13:13">
      <c r="M647" s="152"/>
    </row>
    <row r="648" spans="13:13">
      <c r="M648" s="152"/>
    </row>
    <row r="649" spans="13:13">
      <c r="M649" s="152"/>
    </row>
    <row r="650" spans="13:13">
      <c r="M650" s="152"/>
    </row>
    <row r="651" spans="13:13">
      <c r="M651" s="152"/>
    </row>
    <row r="652" spans="13:13">
      <c r="M652" s="152"/>
    </row>
    <row r="653" spans="13:13">
      <c r="M653" s="152"/>
    </row>
    <row r="654" spans="13:13">
      <c r="M654" s="152"/>
    </row>
    <row r="655" spans="13:13">
      <c r="M655" s="152"/>
    </row>
    <row r="656" spans="13:13">
      <c r="M656" s="152"/>
    </row>
    <row r="657" spans="13:13">
      <c r="M657" s="152"/>
    </row>
    <row r="658" spans="13:13">
      <c r="M658" s="152"/>
    </row>
    <row r="659" spans="13:13">
      <c r="M659" s="152"/>
    </row>
    <row r="660" spans="13:13">
      <c r="M660" s="152"/>
    </row>
    <row r="661" spans="13:13">
      <c r="M661" s="152"/>
    </row>
    <row r="662" spans="13:13">
      <c r="M662" s="152"/>
    </row>
    <row r="663" spans="13:13">
      <c r="M663" s="152"/>
    </row>
    <row r="664" spans="13:13">
      <c r="M664" s="152"/>
    </row>
    <row r="665" spans="13:13">
      <c r="M665" s="152"/>
    </row>
    <row r="666" spans="13:13">
      <c r="M666" s="152"/>
    </row>
    <row r="667" spans="13:13">
      <c r="M667" s="152"/>
    </row>
    <row r="668" spans="13:13">
      <c r="M668" s="152"/>
    </row>
    <row r="669" spans="13:13">
      <c r="M669" s="152"/>
    </row>
    <row r="670" spans="13:13">
      <c r="M670" s="152"/>
    </row>
    <row r="671" spans="13:13">
      <c r="M671" s="152"/>
    </row>
    <row r="672" spans="13:13">
      <c r="M672" s="152"/>
    </row>
    <row r="673" spans="13:13">
      <c r="M673" s="152"/>
    </row>
    <row r="674" spans="13:13">
      <c r="M674" s="152"/>
    </row>
    <row r="675" spans="13:13">
      <c r="M675" s="152"/>
    </row>
    <row r="676" spans="13:13">
      <c r="M676" s="152"/>
    </row>
    <row r="677" spans="13:13">
      <c r="M677" s="152"/>
    </row>
    <row r="678" spans="13:13">
      <c r="M678" s="152"/>
    </row>
    <row r="679" spans="13:13">
      <c r="M679" s="152"/>
    </row>
    <row r="680" spans="13:13">
      <c r="M680" s="152"/>
    </row>
    <row r="681" spans="13:13">
      <c r="M681" s="152"/>
    </row>
    <row r="682" spans="13:13">
      <c r="M682" s="152"/>
    </row>
    <row r="683" spans="13:13">
      <c r="M683" s="152"/>
    </row>
    <row r="684" spans="13:13">
      <c r="M684" s="152"/>
    </row>
    <row r="685" spans="13:13">
      <c r="M685" s="152"/>
    </row>
    <row r="686" spans="13:13">
      <c r="M686" s="152"/>
    </row>
    <row r="687" spans="13:13">
      <c r="M687" s="152"/>
    </row>
    <row r="688" spans="13:13">
      <c r="M688" s="152"/>
    </row>
    <row r="689" spans="13:13">
      <c r="M689" s="152"/>
    </row>
    <row r="690" spans="13:13">
      <c r="M690" s="152"/>
    </row>
    <row r="691" spans="13:13">
      <c r="M691" s="152"/>
    </row>
    <row r="692" spans="13:13">
      <c r="M692" s="152"/>
    </row>
    <row r="693" spans="13:13">
      <c r="M693" s="152"/>
    </row>
    <row r="694" spans="13:13">
      <c r="M694" s="152"/>
    </row>
    <row r="695" spans="13:13">
      <c r="M695" s="152"/>
    </row>
    <row r="696" spans="13:13">
      <c r="M696" s="152"/>
    </row>
    <row r="697" spans="13:13">
      <c r="M697" s="152"/>
    </row>
    <row r="698" spans="13:13">
      <c r="M698" s="152"/>
    </row>
    <row r="699" spans="13:13">
      <c r="M699" s="152"/>
    </row>
    <row r="700" spans="13:13">
      <c r="M700" s="152"/>
    </row>
    <row r="701" spans="13:13">
      <c r="M701" s="152"/>
    </row>
    <row r="702" spans="13:13">
      <c r="M702" s="152"/>
    </row>
    <row r="703" spans="13:13">
      <c r="M703" s="152"/>
    </row>
    <row r="704" spans="13:13">
      <c r="M704" s="152"/>
    </row>
    <row r="705" spans="13:13">
      <c r="M705" s="152"/>
    </row>
    <row r="706" spans="13:13">
      <c r="M706" s="152"/>
    </row>
    <row r="707" spans="13:13">
      <c r="M707" s="152"/>
    </row>
    <row r="708" spans="13:13">
      <c r="M708" s="152"/>
    </row>
    <row r="709" spans="13:13">
      <c r="M709" s="152"/>
    </row>
    <row r="710" spans="13:13">
      <c r="M710" s="152"/>
    </row>
    <row r="711" spans="13:13">
      <c r="M711" s="152"/>
    </row>
    <row r="712" spans="13:13">
      <c r="M712" s="152"/>
    </row>
    <row r="713" spans="13:13">
      <c r="M713" s="152"/>
    </row>
    <row r="714" spans="13:13">
      <c r="M714" s="152"/>
    </row>
    <row r="715" spans="13:13">
      <c r="M715" s="152"/>
    </row>
    <row r="716" spans="13:13">
      <c r="M716" s="152"/>
    </row>
    <row r="717" spans="13:13">
      <c r="M717" s="152"/>
    </row>
    <row r="718" spans="13:13">
      <c r="M718" s="152"/>
    </row>
    <row r="719" spans="13:13">
      <c r="M719" s="152"/>
    </row>
    <row r="720" spans="13:13">
      <c r="M720" s="152"/>
    </row>
    <row r="721" spans="13:13">
      <c r="M721" s="152"/>
    </row>
    <row r="722" spans="13:13">
      <c r="M722" s="152"/>
    </row>
    <row r="723" spans="13:13">
      <c r="M723" s="152"/>
    </row>
    <row r="724" spans="13:13">
      <c r="M724" s="152"/>
    </row>
    <row r="725" spans="13:13">
      <c r="M725" s="152"/>
    </row>
    <row r="726" spans="13:13">
      <c r="M726" s="152"/>
    </row>
    <row r="727" spans="13:13">
      <c r="M727" s="152"/>
    </row>
    <row r="728" spans="13:13">
      <c r="M728" s="152"/>
    </row>
    <row r="729" spans="13:13">
      <c r="M729" s="152"/>
    </row>
    <row r="730" spans="13:13">
      <c r="M730" s="152"/>
    </row>
    <row r="731" spans="13:13">
      <c r="M731" s="152"/>
    </row>
    <row r="732" spans="13:13">
      <c r="M732" s="152"/>
    </row>
    <row r="733" spans="13:13">
      <c r="M733" s="152"/>
    </row>
    <row r="734" spans="13:13">
      <c r="M734" s="152"/>
    </row>
    <row r="735" spans="13:13">
      <c r="M735" s="152"/>
    </row>
    <row r="736" spans="13:13">
      <c r="M736" s="152"/>
    </row>
    <row r="737" spans="13:13">
      <c r="M737" s="152"/>
    </row>
    <row r="738" spans="13:13">
      <c r="M738" s="152"/>
    </row>
    <row r="739" spans="13:13">
      <c r="M739" s="152"/>
    </row>
    <row r="740" spans="13:13">
      <c r="M740" s="152"/>
    </row>
    <row r="741" spans="13:13">
      <c r="M741" s="152"/>
    </row>
    <row r="742" spans="13:13">
      <c r="M742" s="152"/>
    </row>
    <row r="743" spans="13:13">
      <c r="M743" s="152"/>
    </row>
    <row r="744" spans="13:13">
      <c r="M744" s="152"/>
    </row>
    <row r="745" spans="13:13">
      <c r="M745" s="152"/>
    </row>
    <row r="746" spans="13:13">
      <c r="M746" s="152"/>
    </row>
    <row r="747" spans="13:13">
      <c r="M747" s="152"/>
    </row>
    <row r="748" spans="13:13">
      <c r="M748" s="152"/>
    </row>
    <row r="749" spans="13:13">
      <c r="M749" s="152"/>
    </row>
    <row r="750" spans="13:13">
      <c r="M750" s="152"/>
    </row>
    <row r="751" spans="13:13">
      <c r="M751" s="152"/>
    </row>
    <row r="752" spans="13:13">
      <c r="M752" s="152"/>
    </row>
    <row r="753" spans="13:13">
      <c r="M753" s="152"/>
    </row>
    <row r="754" spans="13:13">
      <c r="M754" s="152"/>
    </row>
    <row r="755" spans="13:13">
      <c r="M755" s="152"/>
    </row>
    <row r="756" spans="13:13">
      <c r="M756" s="152"/>
    </row>
    <row r="757" spans="13:13">
      <c r="M757" s="152"/>
    </row>
    <row r="758" spans="13:13">
      <c r="M758" s="152"/>
    </row>
    <row r="759" spans="13:13">
      <c r="M759" s="152"/>
    </row>
    <row r="760" spans="13:13">
      <c r="M760" s="152"/>
    </row>
    <row r="761" spans="13:13">
      <c r="M761" s="152"/>
    </row>
    <row r="762" spans="13:13">
      <c r="M762" s="152"/>
    </row>
    <row r="763" spans="13:13">
      <c r="M763" s="152"/>
    </row>
    <row r="764" spans="13:13">
      <c r="M764" s="152"/>
    </row>
    <row r="765" spans="13:13">
      <c r="M765" s="152"/>
    </row>
    <row r="766" spans="13:13">
      <c r="M766" s="152"/>
    </row>
    <row r="767" spans="13:13">
      <c r="M767" s="152"/>
    </row>
    <row r="768" spans="13:13">
      <c r="M768" s="152"/>
    </row>
    <row r="769" spans="13:13">
      <c r="M769" s="152"/>
    </row>
    <row r="770" spans="13:13">
      <c r="M770" s="152"/>
    </row>
    <row r="771" spans="13:13">
      <c r="M771" s="152"/>
    </row>
    <row r="772" spans="13:13">
      <c r="M772" s="152"/>
    </row>
    <row r="773" spans="13:13">
      <c r="M773" s="152"/>
    </row>
    <row r="774" spans="13:13">
      <c r="M774" s="152"/>
    </row>
    <row r="775" spans="13:13">
      <c r="M775" s="152"/>
    </row>
    <row r="776" spans="13:13">
      <c r="M776" s="152"/>
    </row>
    <row r="777" spans="13:13">
      <c r="M777" s="152"/>
    </row>
    <row r="778" spans="13:13">
      <c r="M778" s="152"/>
    </row>
    <row r="779" spans="13:13">
      <c r="M779" s="152"/>
    </row>
    <row r="780" spans="13:13">
      <c r="M780" s="152"/>
    </row>
    <row r="781" spans="13:13">
      <c r="M781" s="152"/>
    </row>
    <row r="782" spans="13:13">
      <c r="M782" s="152"/>
    </row>
    <row r="783" spans="13:13">
      <c r="M783" s="152"/>
    </row>
    <row r="784" spans="13:13">
      <c r="M784" s="152"/>
    </row>
    <row r="785" spans="13:13">
      <c r="M785" s="152"/>
    </row>
    <row r="786" spans="13:13">
      <c r="M786" s="152"/>
    </row>
    <row r="787" spans="13:13">
      <c r="M787" s="152"/>
    </row>
    <row r="788" spans="13:13">
      <c r="M788" s="152"/>
    </row>
    <row r="789" spans="13:13">
      <c r="M789" s="152"/>
    </row>
    <row r="790" spans="13:13">
      <c r="M790" s="152"/>
    </row>
    <row r="791" spans="13:13">
      <c r="M791" s="152"/>
    </row>
    <row r="792" spans="13:13">
      <c r="M792" s="152"/>
    </row>
    <row r="793" spans="13:13">
      <c r="M793" s="152"/>
    </row>
    <row r="794" spans="13:13">
      <c r="M794" s="152"/>
    </row>
    <row r="795" spans="13:13">
      <c r="M795" s="152"/>
    </row>
    <row r="796" spans="13:13">
      <c r="M796" s="152"/>
    </row>
    <row r="797" spans="13:13">
      <c r="M797" s="152"/>
    </row>
    <row r="798" spans="13:13">
      <c r="M798" s="152"/>
    </row>
    <row r="799" spans="13:13">
      <c r="M799" s="152"/>
    </row>
    <row r="800" spans="13:13">
      <c r="M800" s="152"/>
    </row>
    <row r="801" spans="13:13">
      <c r="M801" s="152"/>
    </row>
    <row r="802" spans="13:13">
      <c r="M802" s="152"/>
    </row>
    <row r="803" spans="13:13">
      <c r="M803" s="152"/>
    </row>
    <row r="804" spans="13:13">
      <c r="M804" s="152"/>
    </row>
    <row r="805" spans="13:13">
      <c r="M805" s="152"/>
    </row>
    <row r="806" spans="13:13">
      <c r="M806" s="152"/>
    </row>
    <row r="807" spans="13:13">
      <c r="M807" s="152"/>
    </row>
    <row r="808" spans="13:13">
      <c r="M808" s="152"/>
    </row>
    <row r="809" spans="13:13">
      <c r="M809" s="152"/>
    </row>
    <row r="810" spans="13:13">
      <c r="M810" s="152"/>
    </row>
    <row r="811" spans="13:13">
      <c r="M811" s="152"/>
    </row>
    <row r="812" spans="13:13">
      <c r="M812" s="152"/>
    </row>
    <row r="813" spans="13:13">
      <c r="M813" s="152"/>
    </row>
    <row r="814" spans="13:13">
      <c r="M814" s="152"/>
    </row>
    <row r="815" spans="13:13">
      <c r="M815" s="152"/>
    </row>
    <row r="816" spans="13:13">
      <c r="M816" s="152"/>
    </row>
    <row r="817" spans="13:13">
      <c r="M817" s="152"/>
    </row>
    <row r="818" spans="13:13">
      <c r="M818" s="152"/>
    </row>
    <row r="819" spans="13:13">
      <c r="M819" s="152"/>
    </row>
    <row r="820" spans="13:13">
      <c r="M820" s="152"/>
    </row>
    <row r="821" spans="13:13">
      <c r="M821" s="152"/>
    </row>
    <row r="822" spans="13:13">
      <c r="M822" s="152"/>
    </row>
    <row r="823" spans="13:13">
      <c r="M823" s="152"/>
    </row>
    <row r="824" spans="13:13">
      <c r="M824" s="152"/>
    </row>
    <row r="825" spans="13:13">
      <c r="M825" s="152"/>
    </row>
    <row r="826" spans="13:13">
      <c r="M826" s="152"/>
    </row>
    <row r="827" spans="13:13">
      <c r="M827" s="152"/>
    </row>
    <row r="828" spans="13:13">
      <c r="M828" s="152"/>
    </row>
    <row r="829" spans="13:13">
      <c r="M829" s="152"/>
    </row>
    <row r="830" spans="13:13">
      <c r="M830" s="152"/>
    </row>
    <row r="831" spans="13:13">
      <c r="M831" s="152"/>
    </row>
    <row r="832" spans="13:13">
      <c r="M832" s="152"/>
    </row>
    <row r="833" spans="13:13">
      <c r="M833" s="152"/>
    </row>
    <row r="834" spans="13:13">
      <c r="M834" s="152"/>
    </row>
    <row r="835" spans="13:13">
      <c r="M835" s="152"/>
    </row>
    <row r="836" spans="13:13">
      <c r="M836" s="152"/>
    </row>
    <row r="837" spans="13:13">
      <c r="M837" s="152"/>
    </row>
    <row r="838" spans="13:13">
      <c r="M838" s="152"/>
    </row>
    <row r="839" spans="13:13">
      <c r="M839" s="152"/>
    </row>
    <row r="840" spans="13:13">
      <c r="M840" s="152"/>
    </row>
    <row r="841" spans="13:13">
      <c r="M841" s="152"/>
    </row>
    <row r="842" spans="13:13">
      <c r="M842" s="152"/>
    </row>
    <row r="843" spans="13:13">
      <c r="M843" s="152"/>
    </row>
    <row r="844" spans="13:13">
      <c r="M844" s="152"/>
    </row>
    <row r="845" spans="13:13">
      <c r="M845" s="152"/>
    </row>
    <row r="846" spans="13:13">
      <c r="M846" s="152"/>
    </row>
    <row r="847" spans="13:13">
      <c r="M847" s="152"/>
    </row>
    <row r="848" spans="13:13">
      <c r="M848" s="152"/>
    </row>
    <row r="849" spans="13:13">
      <c r="M849" s="152"/>
    </row>
    <row r="850" spans="13:13">
      <c r="M850" s="152"/>
    </row>
    <row r="851" spans="13:13">
      <c r="M851" s="152"/>
    </row>
    <row r="852" spans="13:13">
      <c r="M852" s="152"/>
    </row>
    <row r="853" spans="13:13">
      <c r="M853" s="152"/>
    </row>
    <row r="854" spans="13:13">
      <c r="M854" s="152"/>
    </row>
    <row r="855" spans="13:13">
      <c r="M855" s="152"/>
    </row>
    <row r="856" spans="13:13">
      <c r="M856" s="152"/>
    </row>
    <row r="857" spans="13:13">
      <c r="M857" s="152"/>
    </row>
    <row r="858" spans="13:13">
      <c r="M858" s="152"/>
    </row>
    <row r="859" spans="13:13">
      <c r="M859" s="152"/>
    </row>
    <row r="860" spans="13:13">
      <c r="M860" s="152"/>
    </row>
    <row r="861" spans="13:13">
      <c r="M861" s="152"/>
    </row>
    <row r="862" spans="13:13">
      <c r="M862" s="152"/>
    </row>
    <row r="863" spans="13:13">
      <c r="M863" s="152"/>
    </row>
    <row r="864" spans="13:13">
      <c r="M864" s="152"/>
    </row>
    <row r="865" spans="13:13">
      <c r="M865" s="152"/>
    </row>
    <row r="866" spans="13:13">
      <c r="M866" s="152"/>
    </row>
    <row r="867" spans="13:13">
      <c r="M867" s="152"/>
    </row>
    <row r="868" spans="13:13">
      <c r="M868" s="152"/>
    </row>
    <row r="869" spans="13:13">
      <c r="M869" s="152"/>
    </row>
    <row r="870" spans="13:13">
      <c r="M870" s="152"/>
    </row>
    <row r="871" spans="13:13">
      <c r="M871" s="152"/>
    </row>
    <row r="872" spans="13:13">
      <c r="M872" s="152"/>
    </row>
    <row r="873" spans="13:13">
      <c r="M873" s="152"/>
    </row>
    <row r="874" spans="13:13">
      <c r="M874" s="152"/>
    </row>
    <row r="875" spans="13:13">
      <c r="M875" s="152"/>
    </row>
    <row r="876" spans="13:13">
      <c r="M876" s="152"/>
    </row>
    <row r="877" spans="13:13">
      <c r="M877" s="152"/>
    </row>
    <row r="878" spans="13:13">
      <c r="M878" s="152"/>
    </row>
    <row r="879" spans="13:13">
      <c r="M879" s="152"/>
    </row>
    <row r="880" spans="13:13">
      <c r="M880" s="152"/>
    </row>
    <row r="881" spans="13:13">
      <c r="M881" s="152"/>
    </row>
    <row r="882" spans="13:13">
      <c r="M882" s="152"/>
    </row>
    <row r="883" spans="13:13">
      <c r="M883" s="152"/>
    </row>
    <row r="884" spans="13:13">
      <c r="M884" s="152"/>
    </row>
    <row r="885" spans="13:13">
      <c r="M885" s="152"/>
    </row>
    <row r="886" spans="13:13">
      <c r="M886" s="152"/>
    </row>
    <row r="887" spans="13:13">
      <c r="M887" s="152"/>
    </row>
    <row r="888" spans="13:13">
      <c r="M888" s="152"/>
    </row>
    <row r="889" spans="13:13">
      <c r="M889" s="152"/>
    </row>
    <row r="890" spans="13:13">
      <c r="M890" s="152"/>
    </row>
    <row r="891" spans="13:13">
      <c r="M891" s="152"/>
    </row>
    <row r="892" spans="13:13">
      <c r="M892" s="152"/>
    </row>
    <row r="893" spans="13:13">
      <c r="M893" s="152"/>
    </row>
    <row r="894" spans="13:13">
      <c r="M894" s="152"/>
    </row>
    <row r="895" spans="13:13">
      <c r="M895" s="152"/>
    </row>
    <row r="896" spans="13:13">
      <c r="M896" s="152"/>
    </row>
    <row r="897" spans="13:13">
      <c r="M897" s="152"/>
    </row>
    <row r="898" spans="13:13">
      <c r="M898" s="152"/>
    </row>
    <row r="899" spans="13:13">
      <c r="M899" s="152"/>
    </row>
    <row r="900" spans="13:13">
      <c r="M900" s="152"/>
    </row>
    <row r="901" spans="13:13">
      <c r="M901" s="152"/>
    </row>
    <row r="902" spans="13:13">
      <c r="M902" s="152"/>
    </row>
    <row r="903" spans="13:13">
      <c r="M903" s="152"/>
    </row>
    <row r="904" spans="13:13">
      <c r="M904" s="152"/>
    </row>
    <row r="905" spans="13:13">
      <c r="M905" s="152"/>
    </row>
    <row r="906" spans="13:13">
      <c r="M906" s="152"/>
    </row>
    <row r="907" spans="13:13">
      <c r="M907" s="152"/>
    </row>
    <row r="908" spans="13:13">
      <c r="M908" s="152"/>
    </row>
    <row r="909" spans="13:13">
      <c r="M909" s="152"/>
    </row>
    <row r="910" spans="13:13">
      <c r="M910" s="152"/>
    </row>
  </sheetData>
  <mergeCells count="1">
    <mergeCell ref="B7:B9"/>
  </mergeCells>
  <pageMargins left="0.75" right="0.75" top="1" bottom="1" header="0" footer="0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3"/>
  <dimension ref="A1:AG405"/>
  <sheetViews>
    <sheetView showGridLines="0" showRowColHeaders="0" zoomScaleNormal="100" workbookViewId="0">
      <selection activeCell="L18" sqref="L18"/>
    </sheetView>
  </sheetViews>
  <sheetFormatPr baseColWidth="10" defaultRowHeight="12.75"/>
  <cols>
    <col min="1" max="1" width="2.7109375" customWidth="1"/>
    <col min="2" max="2" width="23.7109375" customWidth="1"/>
    <col min="3" max="3" width="1.28515625" customWidth="1"/>
    <col min="4" max="4" width="105.7109375" customWidth="1"/>
    <col min="5" max="5" width="13.7109375" style="50" customWidth="1"/>
    <col min="6" max="6" width="6.42578125" style="50" bestFit="1" customWidth="1"/>
    <col min="7" max="7" width="13.28515625" style="50" customWidth="1"/>
    <col min="8" max="12" width="11.5703125" style="50" bestFit="1" customWidth="1"/>
    <col min="13" max="13" width="9" style="50" bestFit="1" customWidth="1"/>
    <col min="14" max="14" width="9" style="50" customWidth="1"/>
    <col min="15" max="15" width="13.7109375" style="50" customWidth="1"/>
    <col min="16" max="22" width="13.7109375" style="57" customWidth="1"/>
    <col min="23" max="264" width="11.42578125" style="57"/>
    <col min="265" max="265" width="4.42578125" style="57" customWidth="1"/>
    <col min="266" max="266" width="13.28515625" style="57" customWidth="1"/>
    <col min="267" max="271" width="11.42578125" style="57"/>
    <col min="272" max="272" width="4.7109375" style="57" customWidth="1"/>
    <col min="273" max="520" width="11.42578125" style="57"/>
    <col min="521" max="521" width="4.42578125" style="57" customWidth="1"/>
    <col min="522" max="522" width="13.28515625" style="57" customWidth="1"/>
    <col min="523" max="527" width="11.42578125" style="57"/>
    <col min="528" max="528" width="4.7109375" style="57" customWidth="1"/>
    <col min="529" max="776" width="11.42578125" style="57"/>
    <col min="777" max="777" width="4.42578125" style="57" customWidth="1"/>
    <col min="778" max="778" width="13.28515625" style="57" customWidth="1"/>
    <col min="779" max="783" width="11.42578125" style="57"/>
    <col min="784" max="784" width="4.7109375" style="57" customWidth="1"/>
    <col min="785" max="1032" width="11.42578125" style="57"/>
    <col min="1033" max="1033" width="4.42578125" style="57" customWidth="1"/>
    <col min="1034" max="1034" width="13.28515625" style="57" customWidth="1"/>
    <col min="1035" max="1039" width="11.42578125" style="57"/>
    <col min="1040" max="1040" width="4.7109375" style="57" customWidth="1"/>
    <col min="1041" max="1288" width="11.42578125" style="57"/>
    <col min="1289" max="1289" width="4.42578125" style="57" customWidth="1"/>
    <col min="1290" max="1290" width="13.28515625" style="57" customWidth="1"/>
    <col min="1291" max="1295" width="11.42578125" style="57"/>
    <col min="1296" max="1296" width="4.7109375" style="57" customWidth="1"/>
    <col min="1297" max="1544" width="11.42578125" style="57"/>
    <col min="1545" max="1545" width="4.42578125" style="57" customWidth="1"/>
    <col min="1546" max="1546" width="13.28515625" style="57" customWidth="1"/>
    <col min="1547" max="1551" width="11.42578125" style="57"/>
    <col min="1552" max="1552" width="4.7109375" style="57" customWidth="1"/>
    <col min="1553" max="1800" width="11.42578125" style="57"/>
    <col min="1801" max="1801" width="4.42578125" style="57" customWidth="1"/>
    <col min="1802" max="1802" width="13.28515625" style="57" customWidth="1"/>
    <col min="1803" max="1807" width="11.42578125" style="57"/>
    <col min="1808" max="1808" width="4.7109375" style="57" customWidth="1"/>
    <col min="1809" max="2056" width="11.42578125" style="57"/>
    <col min="2057" max="2057" width="4.42578125" style="57" customWidth="1"/>
    <col min="2058" max="2058" width="13.28515625" style="57" customWidth="1"/>
    <col min="2059" max="2063" width="11.42578125" style="57"/>
    <col min="2064" max="2064" width="4.7109375" style="57" customWidth="1"/>
    <col min="2065" max="2312" width="11.42578125" style="57"/>
    <col min="2313" max="2313" width="4.42578125" style="57" customWidth="1"/>
    <col min="2314" max="2314" width="13.28515625" style="57" customWidth="1"/>
    <col min="2315" max="2319" width="11.42578125" style="57"/>
    <col min="2320" max="2320" width="4.7109375" style="57" customWidth="1"/>
    <col min="2321" max="2568" width="11.42578125" style="57"/>
    <col min="2569" max="2569" width="4.42578125" style="57" customWidth="1"/>
    <col min="2570" max="2570" width="13.28515625" style="57" customWidth="1"/>
    <col min="2571" max="2575" width="11.42578125" style="57"/>
    <col min="2576" max="2576" width="4.7109375" style="57" customWidth="1"/>
    <col min="2577" max="2824" width="11.42578125" style="57"/>
    <col min="2825" max="2825" width="4.42578125" style="57" customWidth="1"/>
    <col min="2826" max="2826" width="13.28515625" style="57" customWidth="1"/>
    <col min="2827" max="2831" width="11.42578125" style="57"/>
    <col min="2832" max="2832" width="4.7109375" style="57" customWidth="1"/>
    <col min="2833" max="3080" width="11.42578125" style="57"/>
    <col min="3081" max="3081" width="4.42578125" style="57" customWidth="1"/>
    <col min="3082" max="3082" width="13.28515625" style="57" customWidth="1"/>
    <col min="3083" max="3087" width="11.42578125" style="57"/>
    <col min="3088" max="3088" width="4.7109375" style="57" customWidth="1"/>
    <col min="3089" max="3336" width="11.42578125" style="57"/>
    <col min="3337" max="3337" width="4.42578125" style="57" customWidth="1"/>
    <col min="3338" max="3338" width="13.28515625" style="57" customWidth="1"/>
    <col min="3339" max="3343" width="11.42578125" style="57"/>
    <col min="3344" max="3344" width="4.7109375" style="57" customWidth="1"/>
    <col min="3345" max="3592" width="11.42578125" style="57"/>
    <col min="3593" max="3593" width="4.42578125" style="57" customWidth="1"/>
    <col min="3594" max="3594" width="13.28515625" style="57" customWidth="1"/>
    <col min="3595" max="3599" width="11.42578125" style="57"/>
    <col min="3600" max="3600" width="4.7109375" style="57" customWidth="1"/>
    <col min="3601" max="3848" width="11.42578125" style="57"/>
    <col min="3849" max="3849" width="4.42578125" style="57" customWidth="1"/>
    <col min="3850" max="3850" width="13.28515625" style="57" customWidth="1"/>
    <col min="3851" max="3855" width="11.42578125" style="57"/>
    <col min="3856" max="3856" width="4.7109375" style="57" customWidth="1"/>
    <col min="3857" max="4104" width="11.42578125" style="57"/>
    <col min="4105" max="4105" width="4.42578125" style="57" customWidth="1"/>
    <col min="4106" max="4106" width="13.28515625" style="57" customWidth="1"/>
    <col min="4107" max="4111" width="11.42578125" style="57"/>
    <col min="4112" max="4112" width="4.7109375" style="57" customWidth="1"/>
    <col min="4113" max="4360" width="11.42578125" style="57"/>
    <col min="4361" max="4361" width="4.42578125" style="57" customWidth="1"/>
    <col min="4362" max="4362" width="13.28515625" style="57" customWidth="1"/>
    <col min="4363" max="4367" width="11.42578125" style="57"/>
    <col min="4368" max="4368" width="4.7109375" style="57" customWidth="1"/>
    <col min="4369" max="4616" width="11.42578125" style="57"/>
    <col min="4617" max="4617" width="4.42578125" style="57" customWidth="1"/>
    <col min="4618" max="4618" width="13.28515625" style="57" customWidth="1"/>
    <col min="4619" max="4623" width="11.42578125" style="57"/>
    <col min="4624" max="4624" width="4.7109375" style="57" customWidth="1"/>
    <col min="4625" max="4872" width="11.42578125" style="57"/>
    <col min="4873" max="4873" width="4.42578125" style="57" customWidth="1"/>
    <col min="4874" max="4874" width="13.28515625" style="57" customWidth="1"/>
    <col min="4875" max="4879" width="11.42578125" style="57"/>
    <col min="4880" max="4880" width="4.7109375" style="57" customWidth="1"/>
    <col min="4881" max="5128" width="11.42578125" style="57"/>
    <col min="5129" max="5129" width="4.42578125" style="57" customWidth="1"/>
    <col min="5130" max="5130" width="13.28515625" style="57" customWidth="1"/>
    <col min="5131" max="5135" width="11.42578125" style="57"/>
    <col min="5136" max="5136" width="4.7109375" style="57" customWidth="1"/>
    <col min="5137" max="5384" width="11.42578125" style="57"/>
    <col min="5385" max="5385" width="4.42578125" style="57" customWidth="1"/>
    <col min="5386" max="5386" width="13.28515625" style="57" customWidth="1"/>
    <col min="5387" max="5391" width="11.42578125" style="57"/>
    <col min="5392" max="5392" width="4.7109375" style="57" customWidth="1"/>
    <col min="5393" max="5640" width="11.42578125" style="57"/>
    <col min="5641" max="5641" width="4.42578125" style="57" customWidth="1"/>
    <col min="5642" max="5642" width="13.28515625" style="57" customWidth="1"/>
    <col min="5643" max="5647" width="11.42578125" style="57"/>
    <col min="5648" max="5648" width="4.7109375" style="57" customWidth="1"/>
    <col min="5649" max="5896" width="11.42578125" style="57"/>
    <col min="5897" max="5897" width="4.42578125" style="57" customWidth="1"/>
    <col min="5898" max="5898" width="13.28515625" style="57" customWidth="1"/>
    <col min="5899" max="5903" width="11.42578125" style="57"/>
    <col min="5904" max="5904" width="4.7109375" style="57" customWidth="1"/>
    <col min="5905" max="6152" width="11.42578125" style="57"/>
    <col min="6153" max="6153" width="4.42578125" style="57" customWidth="1"/>
    <col min="6154" max="6154" width="13.28515625" style="57" customWidth="1"/>
    <col min="6155" max="6159" width="11.42578125" style="57"/>
    <col min="6160" max="6160" width="4.7109375" style="57" customWidth="1"/>
    <col min="6161" max="6408" width="11.42578125" style="57"/>
    <col min="6409" max="6409" width="4.42578125" style="57" customWidth="1"/>
    <col min="6410" max="6410" width="13.28515625" style="57" customWidth="1"/>
    <col min="6411" max="6415" width="11.42578125" style="57"/>
    <col min="6416" max="6416" width="4.7109375" style="57" customWidth="1"/>
    <col min="6417" max="6664" width="11.42578125" style="57"/>
    <col min="6665" max="6665" width="4.42578125" style="57" customWidth="1"/>
    <col min="6666" max="6666" width="13.28515625" style="57" customWidth="1"/>
    <col min="6667" max="6671" width="11.42578125" style="57"/>
    <col min="6672" max="6672" width="4.7109375" style="57" customWidth="1"/>
    <col min="6673" max="6920" width="11.42578125" style="57"/>
    <col min="6921" max="6921" width="4.42578125" style="57" customWidth="1"/>
    <col min="6922" max="6922" width="13.28515625" style="57" customWidth="1"/>
    <col min="6923" max="6927" width="11.42578125" style="57"/>
    <col min="6928" max="6928" width="4.7109375" style="57" customWidth="1"/>
    <col min="6929" max="7176" width="11.42578125" style="57"/>
    <col min="7177" max="7177" width="4.42578125" style="57" customWidth="1"/>
    <col min="7178" max="7178" width="13.28515625" style="57" customWidth="1"/>
    <col min="7179" max="7183" width="11.42578125" style="57"/>
    <col min="7184" max="7184" width="4.7109375" style="57" customWidth="1"/>
    <col min="7185" max="7432" width="11.42578125" style="57"/>
    <col min="7433" max="7433" width="4.42578125" style="57" customWidth="1"/>
    <col min="7434" max="7434" width="13.28515625" style="57" customWidth="1"/>
    <col min="7435" max="7439" width="11.42578125" style="57"/>
    <col min="7440" max="7440" width="4.7109375" style="57" customWidth="1"/>
    <col min="7441" max="7688" width="11.42578125" style="57"/>
    <col min="7689" max="7689" width="4.42578125" style="57" customWidth="1"/>
    <col min="7690" max="7690" width="13.28515625" style="57" customWidth="1"/>
    <col min="7691" max="7695" width="11.42578125" style="57"/>
    <col min="7696" max="7696" width="4.7109375" style="57" customWidth="1"/>
    <col min="7697" max="7944" width="11.42578125" style="57"/>
    <col min="7945" max="7945" width="4.42578125" style="57" customWidth="1"/>
    <col min="7946" max="7946" width="13.28515625" style="57" customWidth="1"/>
    <col min="7947" max="7951" width="11.42578125" style="57"/>
    <col min="7952" max="7952" width="4.7109375" style="57" customWidth="1"/>
    <col min="7953" max="8200" width="11.42578125" style="57"/>
    <col min="8201" max="8201" width="4.42578125" style="57" customWidth="1"/>
    <col min="8202" max="8202" width="13.28515625" style="57" customWidth="1"/>
    <col min="8203" max="8207" width="11.42578125" style="57"/>
    <col min="8208" max="8208" width="4.7109375" style="57" customWidth="1"/>
    <col min="8209" max="8456" width="11.42578125" style="57"/>
    <col min="8457" max="8457" width="4.42578125" style="57" customWidth="1"/>
    <col min="8458" max="8458" width="13.28515625" style="57" customWidth="1"/>
    <col min="8459" max="8463" width="11.42578125" style="57"/>
    <col min="8464" max="8464" width="4.7109375" style="57" customWidth="1"/>
    <col min="8465" max="8712" width="11.42578125" style="57"/>
    <col min="8713" max="8713" width="4.42578125" style="57" customWidth="1"/>
    <col min="8714" max="8714" width="13.28515625" style="57" customWidth="1"/>
    <col min="8715" max="8719" width="11.42578125" style="57"/>
    <col min="8720" max="8720" width="4.7109375" style="57" customWidth="1"/>
    <col min="8721" max="8968" width="11.42578125" style="57"/>
    <col min="8969" max="8969" width="4.42578125" style="57" customWidth="1"/>
    <col min="8970" max="8970" width="13.28515625" style="57" customWidth="1"/>
    <col min="8971" max="8975" width="11.42578125" style="57"/>
    <col min="8976" max="8976" width="4.7109375" style="57" customWidth="1"/>
    <col min="8977" max="9224" width="11.42578125" style="57"/>
    <col min="9225" max="9225" width="4.42578125" style="57" customWidth="1"/>
    <col min="9226" max="9226" width="13.28515625" style="57" customWidth="1"/>
    <col min="9227" max="9231" width="11.42578125" style="57"/>
    <col min="9232" max="9232" width="4.7109375" style="57" customWidth="1"/>
    <col min="9233" max="9480" width="11.42578125" style="57"/>
    <col min="9481" max="9481" width="4.42578125" style="57" customWidth="1"/>
    <col min="9482" max="9482" width="13.28515625" style="57" customWidth="1"/>
    <col min="9483" max="9487" width="11.42578125" style="57"/>
    <col min="9488" max="9488" width="4.7109375" style="57" customWidth="1"/>
    <col min="9489" max="9736" width="11.42578125" style="57"/>
    <col min="9737" max="9737" width="4.42578125" style="57" customWidth="1"/>
    <col min="9738" max="9738" width="13.28515625" style="57" customWidth="1"/>
    <col min="9739" max="9743" width="11.42578125" style="57"/>
    <col min="9744" max="9744" width="4.7109375" style="57" customWidth="1"/>
    <col min="9745" max="9992" width="11.42578125" style="57"/>
    <col min="9993" max="9993" width="4.42578125" style="57" customWidth="1"/>
    <col min="9994" max="9994" width="13.28515625" style="57" customWidth="1"/>
    <col min="9995" max="9999" width="11.42578125" style="57"/>
    <col min="10000" max="10000" width="4.7109375" style="57" customWidth="1"/>
    <col min="10001" max="10248" width="11.42578125" style="57"/>
    <col min="10249" max="10249" width="4.42578125" style="57" customWidth="1"/>
    <col min="10250" max="10250" width="13.28515625" style="57" customWidth="1"/>
    <col min="10251" max="10255" width="11.42578125" style="57"/>
    <col min="10256" max="10256" width="4.7109375" style="57" customWidth="1"/>
    <col min="10257" max="10504" width="11.42578125" style="57"/>
    <col min="10505" max="10505" width="4.42578125" style="57" customWidth="1"/>
    <col min="10506" max="10506" width="13.28515625" style="57" customWidth="1"/>
    <col min="10507" max="10511" width="11.42578125" style="57"/>
    <col min="10512" max="10512" width="4.7109375" style="57" customWidth="1"/>
    <col min="10513" max="10760" width="11.42578125" style="57"/>
    <col min="10761" max="10761" width="4.42578125" style="57" customWidth="1"/>
    <col min="10762" max="10762" width="13.28515625" style="57" customWidth="1"/>
    <col min="10763" max="10767" width="11.42578125" style="57"/>
    <col min="10768" max="10768" width="4.7109375" style="57" customWidth="1"/>
    <col min="10769" max="11016" width="11.42578125" style="57"/>
    <col min="11017" max="11017" width="4.42578125" style="57" customWidth="1"/>
    <col min="11018" max="11018" width="13.28515625" style="57" customWidth="1"/>
    <col min="11019" max="11023" width="11.42578125" style="57"/>
    <col min="11024" max="11024" width="4.7109375" style="57" customWidth="1"/>
    <col min="11025" max="11272" width="11.42578125" style="57"/>
    <col min="11273" max="11273" width="4.42578125" style="57" customWidth="1"/>
    <col min="11274" max="11274" width="13.28515625" style="57" customWidth="1"/>
    <col min="11275" max="11279" width="11.42578125" style="57"/>
    <col min="11280" max="11280" width="4.7109375" style="57" customWidth="1"/>
    <col min="11281" max="11528" width="11.42578125" style="57"/>
    <col min="11529" max="11529" width="4.42578125" style="57" customWidth="1"/>
    <col min="11530" max="11530" width="13.28515625" style="57" customWidth="1"/>
    <col min="11531" max="11535" width="11.42578125" style="57"/>
    <col min="11536" max="11536" width="4.7109375" style="57" customWidth="1"/>
    <col min="11537" max="11784" width="11.42578125" style="57"/>
    <col min="11785" max="11785" width="4.42578125" style="57" customWidth="1"/>
    <col min="11786" max="11786" width="13.28515625" style="57" customWidth="1"/>
    <col min="11787" max="11791" width="11.42578125" style="57"/>
    <col min="11792" max="11792" width="4.7109375" style="57" customWidth="1"/>
    <col min="11793" max="12040" width="11.42578125" style="57"/>
    <col min="12041" max="12041" width="4.42578125" style="57" customWidth="1"/>
    <col min="12042" max="12042" width="13.28515625" style="57" customWidth="1"/>
    <col min="12043" max="12047" width="11.42578125" style="57"/>
    <col min="12048" max="12048" width="4.7109375" style="57" customWidth="1"/>
    <col min="12049" max="12296" width="11.42578125" style="57"/>
    <col min="12297" max="12297" width="4.42578125" style="57" customWidth="1"/>
    <col min="12298" max="12298" width="13.28515625" style="57" customWidth="1"/>
    <col min="12299" max="12303" width="11.42578125" style="57"/>
    <col min="12304" max="12304" width="4.7109375" style="57" customWidth="1"/>
    <col min="12305" max="12552" width="11.42578125" style="57"/>
    <col min="12553" max="12553" width="4.42578125" style="57" customWidth="1"/>
    <col min="12554" max="12554" width="13.28515625" style="57" customWidth="1"/>
    <col min="12555" max="12559" width="11.42578125" style="57"/>
    <col min="12560" max="12560" width="4.7109375" style="57" customWidth="1"/>
    <col min="12561" max="12808" width="11.42578125" style="57"/>
    <col min="12809" max="12809" width="4.42578125" style="57" customWidth="1"/>
    <col min="12810" max="12810" width="13.28515625" style="57" customWidth="1"/>
    <col min="12811" max="12815" width="11.42578125" style="57"/>
    <col min="12816" max="12816" width="4.7109375" style="57" customWidth="1"/>
    <col min="12817" max="13064" width="11.42578125" style="57"/>
    <col min="13065" max="13065" width="4.42578125" style="57" customWidth="1"/>
    <col min="13066" max="13066" width="13.28515625" style="57" customWidth="1"/>
    <col min="13067" max="13071" width="11.42578125" style="57"/>
    <col min="13072" max="13072" width="4.7109375" style="57" customWidth="1"/>
    <col min="13073" max="13320" width="11.42578125" style="57"/>
    <col min="13321" max="13321" width="4.42578125" style="57" customWidth="1"/>
    <col min="13322" max="13322" width="13.28515625" style="57" customWidth="1"/>
    <col min="13323" max="13327" width="11.42578125" style="57"/>
    <col min="13328" max="13328" width="4.7109375" style="57" customWidth="1"/>
    <col min="13329" max="13576" width="11.42578125" style="57"/>
    <col min="13577" max="13577" width="4.42578125" style="57" customWidth="1"/>
    <col min="13578" max="13578" width="13.28515625" style="57" customWidth="1"/>
    <col min="13579" max="13583" width="11.42578125" style="57"/>
    <col min="13584" max="13584" width="4.7109375" style="57" customWidth="1"/>
    <col min="13585" max="13832" width="11.42578125" style="57"/>
    <col min="13833" max="13833" width="4.42578125" style="57" customWidth="1"/>
    <col min="13834" max="13834" width="13.28515625" style="57" customWidth="1"/>
    <col min="13835" max="13839" width="11.42578125" style="57"/>
    <col min="13840" max="13840" width="4.7109375" style="57" customWidth="1"/>
    <col min="13841" max="14088" width="11.42578125" style="57"/>
    <col min="14089" max="14089" width="4.42578125" style="57" customWidth="1"/>
    <col min="14090" max="14090" width="13.28515625" style="57" customWidth="1"/>
    <col min="14091" max="14095" width="11.42578125" style="57"/>
    <col min="14096" max="14096" width="4.7109375" style="57" customWidth="1"/>
    <col min="14097" max="14344" width="11.42578125" style="57"/>
    <col min="14345" max="14345" width="4.42578125" style="57" customWidth="1"/>
    <col min="14346" max="14346" width="13.28515625" style="57" customWidth="1"/>
    <col min="14347" max="14351" width="11.42578125" style="57"/>
    <col min="14352" max="14352" width="4.7109375" style="57" customWidth="1"/>
    <col min="14353" max="14600" width="11.42578125" style="57"/>
    <col min="14601" max="14601" width="4.42578125" style="57" customWidth="1"/>
    <col min="14602" max="14602" width="13.28515625" style="57" customWidth="1"/>
    <col min="14603" max="14607" width="11.42578125" style="57"/>
    <col min="14608" max="14608" width="4.7109375" style="57" customWidth="1"/>
    <col min="14609" max="14856" width="11.42578125" style="57"/>
    <col min="14857" max="14857" width="4.42578125" style="57" customWidth="1"/>
    <col min="14858" max="14858" width="13.28515625" style="57" customWidth="1"/>
    <col min="14859" max="14863" width="11.42578125" style="57"/>
    <col min="14864" max="14864" width="4.7109375" style="57" customWidth="1"/>
    <col min="14865" max="15112" width="11.42578125" style="57"/>
    <col min="15113" max="15113" width="4.42578125" style="57" customWidth="1"/>
    <col min="15114" max="15114" width="13.28515625" style="57" customWidth="1"/>
    <col min="15115" max="15119" width="11.42578125" style="57"/>
    <col min="15120" max="15120" width="4.7109375" style="57" customWidth="1"/>
    <col min="15121" max="15368" width="11.42578125" style="57"/>
    <col min="15369" max="15369" width="4.42578125" style="57" customWidth="1"/>
    <col min="15370" max="15370" width="13.28515625" style="57" customWidth="1"/>
    <col min="15371" max="15375" width="11.42578125" style="57"/>
    <col min="15376" max="15376" width="4.7109375" style="57" customWidth="1"/>
    <col min="15377" max="15624" width="11.42578125" style="57"/>
    <col min="15625" max="15625" width="4.42578125" style="57" customWidth="1"/>
    <col min="15626" max="15626" width="13.28515625" style="57" customWidth="1"/>
    <col min="15627" max="15631" width="11.42578125" style="57"/>
    <col min="15632" max="15632" width="4.7109375" style="57" customWidth="1"/>
    <col min="15633" max="15880" width="11.42578125" style="57"/>
    <col min="15881" max="15881" width="4.42578125" style="57" customWidth="1"/>
    <col min="15882" max="15882" width="13.28515625" style="57" customWidth="1"/>
    <col min="15883" max="15887" width="11.42578125" style="57"/>
    <col min="15888" max="15888" width="4.7109375" style="57" customWidth="1"/>
    <col min="15889" max="16136" width="11.42578125" style="57"/>
    <col min="16137" max="16137" width="4.42578125" style="57" customWidth="1"/>
    <col min="16138" max="16138" width="13.28515625" style="57" customWidth="1"/>
    <col min="16139" max="16143" width="11.42578125" style="57"/>
    <col min="16144" max="16144" width="4.7109375" style="57" customWidth="1"/>
    <col min="16145" max="16384" width="11.42578125" style="57"/>
  </cols>
  <sheetData>
    <row r="1" spans="1:33" s="50" customFormat="1">
      <c r="A1"/>
      <c r="B1"/>
      <c r="C1"/>
      <c r="D1"/>
    </row>
    <row r="2" spans="1:33" s="50" customFormat="1">
      <c r="A2"/>
      <c r="B2"/>
      <c r="C2"/>
      <c r="D2" s="115" t="s">
        <v>1</v>
      </c>
    </row>
    <row r="3" spans="1:33" s="50" customFormat="1">
      <c r="A3"/>
      <c r="B3"/>
      <c r="C3"/>
      <c r="D3" s="115" t="str">
        <f>Indice!E3</f>
        <v>Mayo 2019</v>
      </c>
    </row>
    <row r="4" spans="1:33" s="50" customFormat="1" ht="20.100000000000001" customHeight="1">
      <c r="A4"/>
      <c r="B4" s="105" t="s">
        <v>69</v>
      </c>
      <c r="C4"/>
      <c r="D4"/>
    </row>
    <row r="5" spans="1:33" s="50" customFormat="1">
      <c r="A5"/>
      <c r="B5"/>
      <c r="C5"/>
      <c r="D5"/>
      <c r="G5" s="53"/>
      <c r="H5" s="54"/>
      <c r="I5" s="54"/>
      <c r="J5" s="54"/>
      <c r="K5" s="54"/>
      <c r="L5" s="54"/>
    </row>
    <row r="6" spans="1:33" s="50" customFormat="1">
      <c r="A6"/>
      <c r="B6"/>
      <c r="C6"/>
      <c r="D6"/>
      <c r="AB6" s="55"/>
      <c r="AC6" s="55"/>
      <c r="AD6" s="55"/>
      <c r="AE6" s="55"/>
      <c r="AF6" s="55"/>
      <c r="AG6" s="55"/>
    </row>
    <row r="7" spans="1:33">
      <c r="B7" s="123" t="s">
        <v>41</v>
      </c>
      <c r="D7" s="4"/>
      <c r="F7" s="57"/>
      <c r="G7" s="57"/>
      <c r="H7" s="57"/>
      <c r="I7" s="57"/>
      <c r="J7" s="57"/>
      <c r="K7" s="57"/>
      <c r="L7" s="57"/>
      <c r="M7" s="57"/>
      <c r="N7" s="71"/>
      <c r="AB7" s="68"/>
      <c r="AC7" s="68"/>
      <c r="AD7" s="68"/>
      <c r="AE7" s="68"/>
      <c r="AF7" s="68"/>
      <c r="AG7" s="68"/>
    </row>
    <row r="8" spans="1:33">
      <c r="B8" s="43"/>
      <c r="D8" s="4"/>
      <c r="F8" s="57"/>
      <c r="G8" s="57"/>
      <c r="H8" s="57"/>
      <c r="I8" s="57"/>
      <c r="J8" s="57"/>
      <c r="K8" s="57"/>
      <c r="L8" s="57"/>
      <c r="M8" s="57"/>
      <c r="N8" s="139"/>
      <c r="P8" s="66"/>
      <c r="Q8" s="153"/>
      <c r="R8" s="154"/>
      <c r="S8" s="154"/>
      <c r="T8" s="154"/>
      <c r="U8" s="154"/>
      <c r="X8" s="154"/>
      <c r="Y8" s="154"/>
      <c r="Z8" s="154"/>
      <c r="AB8" s="68"/>
      <c r="AC8" s="68"/>
      <c r="AD8" s="68"/>
      <c r="AE8" s="68"/>
      <c r="AF8" s="68"/>
      <c r="AG8" s="68"/>
    </row>
    <row r="9" spans="1:33">
      <c r="B9" s="43"/>
      <c r="D9" s="4"/>
      <c r="F9" s="57"/>
      <c r="G9" s="57"/>
      <c r="H9" s="57"/>
      <c r="I9" s="57"/>
      <c r="J9" s="57"/>
      <c r="K9" s="57"/>
      <c r="L9" s="57"/>
      <c r="M9" s="57"/>
      <c r="N9" s="72"/>
      <c r="O9" s="63"/>
      <c r="P9" s="67"/>
      <c r="Q9" s="155"/>
      <c r="R9" s="155"/>
      <c r="S9" s="155"/>
      <c r="T9" s="155"/>
      <c r="U9" s="155"/>
      <c r="V9" s="156"/>
      <c r="X9" s="68"/>
      <c r="Y9" s="68"/>
      <c r="Z9" s="68"/>
      <c r="AB9" s="68"/>
      <c r="AC9" s="68"/>
      <c r="AD9" s="68"/>
      <c r="AE9" s="68"/>
      <c r="AF9" s="68"/>
      <c r="AG9" s="68"/>
    </row>
    <row r="10" spans="1:33">
      <c r="D10" s="4"/>
      <c r="F10" s="57"/>
      <c r="G10" s="57"/>
      <c r="H10" s="57"/>
      <c r="I10" s="57"/>
      <c r="J10" s="57"/>
      <c r="K10" s="57"/>
      <c r="L10" s="57"/>
      <c r="M10" s="57"/>
      <c r="N10" s="72"/>
      <c r="O10" s="63"/>
      <c r="P10" s="67"/>
      <c r="Q10" s="155"/>
      <c r="R10" s="155"/>
      <c r="S10" s="155"/>
      <c r="T10" s="155"/>
      <c r="U10" s="155"/>
      <c r="V10" s="156"/>
      <c r="X10" s="68"/>
      <c r="Y10" s="68"/>
      <c r="Z10" s="68"/>
      <c r="AB10" s="68"/>
      <c r="AC10" s="68"/>
      <c r="AD10" s="68"/>
      <c r="AE10" s="68"/>
      <c r="AF10" s="68"/>
      <c r="AG10" s="68"/>
    </row>
    <row r="11" spans="1:33">
      <c r="D11" s="4"/>
      <c r="F11" s="57"/>
      <c r="G11" s="57"/>
      <c r="H11" s="57"/>
      <c r="I11" s="57"/>
      <c r="J11" s="57"/>
      <c r="K11" s="57"/>
      <c r="L11" s="57"/>
      <c r="M11" s="57"/>
      <c r="N11" s="72"/>
      <c r="O11" s="63"/>
      <c r="P11" s="67"/>
      <c r="Q11" s="155"/>
      <c r="R11" s="155"/>
      <c r="S11" s="155"/>
      <c r="T11" s="155"/>
      <c r="U11" s="155"/>
      <c r="V11" s="156"/>
      <c r="X11" s="68"/>
      <c r="Y11" s="68"/>
      <c r="Z11" s="68"/>
      <c r="AB11" s="68"/>
      <c r="AC11" s="68"/>
      <c r="AD11" s="68"/>
      <c r="AE11" s="68"/>
      <c r="AF11" s="68"/>
      <c r="AG11" s="68"/>
    </row>
    <row r="12" spans="1:33">
      <c r="D12" s="4"/>
      <c r="F12" s="57"/>
      <c r="G12" s="57"/>
      <c r="H12" s="57"/>
      <c r="I12" s="57"/>
      <c r="J12" s="57"/>
      <c r="K12" s="57"/>
      <c r="L12" s="57"/>
      <c r="M12" s="57"/>
      <c r="N12" s="72"/>
      <c r="O12" s="63"/>
      <c r="P12" s="67"/>
      <c r="Q12" s="155"/>
      <c r="R12" s="155"/>
      <c r="S12" s="155"/>
      <c r="T12" s="155"/>
      <c r="U12" s="155"/>
      <c r="V12" s="156"/>
      <c r="X12" s="68"/>
      <c r="Y12" s="68"/>
      <c r="Z12" s="68"/>
      <c r="AB12" s="68"/>
      <c r="AC12" s="68"/>
      <c r="AD12" s="68"/>
      <c r="AE12" s="68"/>
      <c r="AF12" s="68"/>
      <c r="AG12" s="68"/>
    </row>
    <row r="13" spans="1:33">
      <c r="D13" s="4"/>
      <c r="F13" s="57"/>
      <c r="G13" s="57"/>
      <c r="H13" s="57"/>
      <c r="I13" s="57"/>
      <c r="J13" s="57"/>
      <c r="K13" s="57"/>
      <c r="L13" s="57"/>
      <c r="M13" s="57"/>
      <c r="N13" s="72"/>
      <c r="O13" s="63"/>
      <c r="P13" s="67"/>
      <c r="Q13" s="155"/>
      <c r="R13" s="155"/>
      <c r="S13" s="155"/>
      <c r="T13" s="155"/>
      <c r="U13" s="155"/>
      <c r="V13" s="156"/>
      <c r="X13" s="68"/>
      <c r="Y13" s="68"/>
      <c r="Z13" s="68"/>
      <c r="AB13" s="68"/>
      <c r="AC13" s="68"/>
      <c r="AD13" s="68"/>
      <c r="AE13" s="68"/>
      <c r="AF13" s="68"/>
      <c r="AG13" s="68"/>
    </row>
    <row r="14" spans="1:33">
      <c r="D14" s="4"/>
      <c r="F14" s="57"/>
      <c r="G14" s="57"/>
      <c r="H14" s="57"/>
      <c r="I14" s="57"/>
      <c r="J14" s="57"/>
      <c r="K14" s="57"/>
      <c r="L14" s="57"/>
      <c r="M14" s="57"/>
      <c r="N14" s="72"/>
      <c r="O14" s="63"/>
      <c r="P14" s="67"/>
      <c r="Q14" s="155"/>
      <c r="R14" s="155"/>
      <c r="S14" s="155"/>
      <c r="T14" s="155"/>
      <c r="U14" s="155"/>
      <c r="V14" s="156"/>
      <c r="X14" s="68"/>
      <c r="Y14" s="68"/>
      <c r="Z14" s="68"/>
      <c r="AB14" s="68"/>
      <c r="AC14" s="68"/>
      <c r="AD14" s="68"/>
      <c r="AE14" s="68"/>
      <c r="AF14" s="68"/>
      <c r="AG14" s="68"/>
    </row>
    <row r="15" spans="1:33">
      <c r="D15" s="4"/>
      <c r="F15" s="57"/>
      <c r="G15" s="57"/>
      <c r="H15" s="57"/>
      <c r="I15" s="57"/>
      <c r="J15" s="57"/>
      <c r="K15" s="57"/>
      <c r="L15" s="57"/>
      <c r="M15" s="57"/>
      <c r="N15" s="72"/>
      <c r="O15" s="63"/>
      <c r="P15" s="67"/>
      <c r="Q15" s="155"/>
      <c r="R15" s="155"/>
      <c r="S15" s="155"/>
      <c r="T15" s="155"/>
      <c r="U15" s="155"/>
      <c r="V15" s="156"/>
      <c r="X15" s="68"/>
      <c r="Y15" s="68"/>
      <c r="Z15" s="68"/>
      <c r="AB15" s="68"/>
      <c r="AC15" s="68"/>
      <c r="AD15" s="68"/>
      <c r="AE15" s="68"/>
      <c r="AF15" s="68"/>
      <c r="AG15" s="68"/>
    </row>
    <row r="16" spans="1:33">
      <c r="D16" s="4"/>
      <c r="F16" s="57"/>
      <c r="G16" s="57"/>
      <c r="H16" s="57"/>
      <c r="I16" s="57"/>
      <c r="J16" s="57"/>
      <c r="K16" s="57"/>
      <c r="L16" s="57"/>
      <c r="M16" s="57"/>
      <c r="N16" s="72"/>
      <c r="O16" s="63"/>
      <c r="P16" s="67"/>
      <c r="Q16" s="155"/>
      <c r="R16" s="155"/>
      <c r="S16" s="155"/>
      <c r="T16" s="155"/>
      <c r="U16" s="155"/>
      <c r="V16" s="156"/>
      <c r="X16" s="68"/>
      <c r="Y16" s="68"/>
      <c r="Z16" s="68"/>
      <c r="AB16" s="68"/>
      <c r="AC16" s="68"/>
      <c r="AD16" s="68"/>
      <c r="AE16" s="68"/>
      <c r="AF16" s="68"/>
      <c r="AG16" s="68"/>
    </row>
    <row r="17" spans="4:33">
      <c r="D17" s="4"/>
      <c r="F17" s="57"/>
      <c r="G17" s="57"/>
      <c r="H17" s="57"/>
      <c r="I17" s="57"/>
      <c r="J17" s="57"/>
      <c r="K17" s="57"/>
      <c r="L17" s="57"/>
      <c r="M17" s="57"/>
      <c r="N17" s="72"/>
      <c r="O17" s="63"/>
      <c r="P17" s="67"/>
      <c r="Q17" s="155"/>
      <c r="R17" s="155"/>
      <c r="S17" s="155"/>
      <c r="T17" s="155"/>
      <c r="U17" s="155"/>
      <c r="V17" s="156"/>
      <c r="X17" s="68"/>
      <c r="Y17" s="68"/>
      <c r="Z17" s="68"/>
      <c r="AB17" s="68"/>
      <c r="AC17" s="68"/>
      <c r="AD17" s="68"/>
      <c r="AE17" s="68"/>
      <c r="AF17" s="68"/>
      <c r="AG17" s="68"/>
    </row>
    <row r="18" spans="4:33">
      <c r="D18" s="4"/>
      <c r="F18" s="57"/>
      <c r="G18" s="57"/>
      <c r="H18" s="57"/>
      <c r="I18" s="57"/>
      <c r="J18" s="57"/>
      <c r="K18" s="57"/>
      <c r="L18" s="57"/>
      <c r="M18" s="57"/>
      <c r="N18" s="72"/>
      <c r="O18" s="63"/>
      <c r="P18" s="67"/>
      <c r="Q18" s="155"/>
      <c r="R18" s="155"/>
      <c r="S18" s="155"/>
      <c r="T18" s="155"/>
      <c r="U18" s="155"/>
      <c r="V18" s="156"/>
      <c r="X18" s="68"/>
      <c r="Y18" s="68"/>
      <c r="Z18" s="68"/>
      <c r="AB18" s="68"/>
      <c r="AC18" s="68"/>
      <c r="AD18" s="68"/>
      <c r="AE18" s="68"/>
      <c r="AF18" s="68"/>
      <c r="AG18" s="68"/>
    </row>
    <row r="19" spans="4:33" ht="11.25" customHeight="1">
      <c r="D19" s="4"/>
      <c r="F19" s="57"/>
      <c r="G19" s="57"/>
      <c r="H19" s="57"/>
      <c r="I19" s="57"/>
      <c r="J19" s="57"/>
      <c r="K19" s="57"/>
      <c r="L19" s="57"/>
      <c r="M19" s="57"/>
      <c r="N19" s="72"/>
      <c r="O19" s="63"/>
      <c r="P19" s="67"/>
      <c r="Q19" s="155"/>
      <c r="R19" s="155"/>
      <c r="S19" s="155"/>
      <c r="T19" s="155"/>
      <c r="U19" s="155"/>
      <c r="V19" s="156"/>
      <c r="X19" s="68"/>
      <c r="Y19" s="68"/>
      <c r="Z19" s="68"/>
      <c r="AB19" s="68"/>
      <c r="AC19" s="68"/>
      <c r="AD19" s="68"/>
      <c r="AE19" s="68"/>
      <c r="AF19" s="68"/>
      <c r="AG19" s="68"/>
    </row>
    <row r="20" spans="4:33">
      <c r="D20" s="4"/>
      <c r="F20" s="57"/>
      <c r="G20" s="57"/>
      <c r="H20" s="57"/>
      <c r="I20" s="57"/>
      <c r="J20" s="57"/>
      <c r="K20" s="57"/>
      <c r="L20" s="57"/>
      <c r="M20" s="57"/>
      <c r="N20" s="72"/>
      <c r="O20" s="63"/>
      <c r="P20" s="67"/>
      <c r="Q20" s="155"/>
      <c r="R20" s="155"/>
      <c r="S20" s="155"/>
      <c r="T20" s="155"/>
      <c r="U20" s="155"/>
      <c r="V20" s="156"/>
      <c r="X20" s="68"/>
      <c r="Y20" s="68"/>
      <c r="Z20" s="68"/>
      <c r="AB20" s="68"/>
      <c r="AC20" s="68"/>
      <c r="AD20" s="68"/>
      <c r="AE20" s="68"/>
      <c r="AF20" s="68"/>
      <c r="AG20" s="68"/>
    </row>
    <row r="21" spans="4:33">
      <c r="D21" s="4"/>
      <c r="F21" s="57"/>
      <c r="G21" s="57"/>
      <c r="H21" s="57"/>
      <c r="I21" s="57"/>
      <c r="J21" s="57"/>
      <c r="K21" s="57"/>
      <c r="L21" s="57"/>
      <c r="M21" s="57"/>
      <c r="N21" s="72"/>
      <c r="O21" s="63"/>
      <c r="P21" s="67"/>
      <c r="Q21" s="155"/>
      <c r="R21" s="155"/>
      <c r="S21" s="155"/>
      <c r="T21" s="155"/>
      <c r="U21" s="155"/>
      <c r="V21" s="156"/>
      <c r="X21" s="68"/>
      <c r="Y21" s="68"/>
      <c r="Z21" s="68"/>
      <c r="AB21" s="68"/>
      <c r="AC21" s="68"/>
      <c r="AD21" s="68"/>
      <c r="AE21" s="68"/>
      <c r="AF21" s="68"/>
      <c r="AG21" s="68"/>
    </row>
    <row r="22" spans="4:33">
      <c r="D22" s="41"/>
      <c r="F22" s="57"/>
      <c r="G22" s="57"/>
      <c r="H22" s="57"/>
      <c r="I22" s="57"/>
      <c r="J22" s="57"/>
      <c r="K22" s="57"/>
      <c r="L22" s="57"/>
      <c r="M22" s="57"/>
      <c r="N22" s="72"/>
      <c r="O22" s="63"/>
      <c r="P22" s="67"/>
      <c r="Q22" s="155"/>
      <c r="R22" s="155"/>
      <c r="S22" s="155"/>
      <c r="T22" s="155"/>
      <c r="U22" s="155"/>
      <c r="V22" s="156"/>
      <c r="X22" s="68"/>
      <c r="Y22" s="68"/>
      <c r="Z22" s="68"/>
      <c r="AB22" s="68"/>
      <c r="AC22" s="68"/>
      <c r="AD22" s="68"/>
      <c r="AE22" s="68"/>
      <c r="AF22" s="68"/>
      <c r="AG22" s="68"/>
    </row>
    <row r="23" spans="4:33">
      <c r="E23" s="57"/>
      <c r="F23" s="57"/>
      <c r="G23" s="57"/>
      <c r="H23" s="57"/>
      <c r="I23" s="57"/>
      <c r="J23" s="57"/>
      <c r="K23" s="57"/>
      <c r="L23" s="57"/>
      <c r="M23" s="57"/>
      <c r="N23" s="72"/>
      <c r="O23" s="64"/>
      <c r="P23" s="67"/>
      <c r="Q23" s="155"/>
      <c r="R23" s="155"/>
      <c r="S23" s="155"/>
      <c r="T23" s="155"/>
      <c r="U23" s="155"/>
      <c r="V23" s="156"/>
      <c r="X23" s="68"/>
      <c r="Y23" s="68"/>
      <c r="Z23" s="68"/>
      <c r="AB23" s="68"/>
      <c r="AC23" s="68"/>
      <c r="AD23" s="68"/>
      <c r="AE23" s="68"/>
      <c r="AF23" s="68"/>
      <c r="AG23" s="68"/>
    </row>
    <row r="24" spans="4:33">
      <c r="F24" s="57"/>
      <c r="G24" s="57"/>
      <c r="H24" s="57"/>
      <c r="I24" s="57"/>
      <c r="J24" s="57"/>
      <c r="K24" s="57"/>
      <c r="L24" s="57"/>
      <c r="M24" s="57"/>
      <c r="N24" s="73"/>
      <c r="O24" s="64"/>
      <c r="P24" s="67"/>
      <c r="Q24" s="155"/>
      <c r="R24" s="155"/>
      <c r="S24" s="155"/>
      <c r="T24" s="155"/>
      <c r="U24" s="155"/>
      <c r="V24" s="156"/>
      <c r="X24" s="68"/>
      <c r="Y24" s="68"/>
      <c r="Z24" s="68"/>
      <c r="AB24" s="68"/>
      <c r="AC24" s="68"/>
      <c r="AD24" s="68"/>
      <c r="AE24" s="68"/>
      <c r="AF24" s="68"/>
      <c r="AG24" s="68"/>
    </row>
    <row r="25" spans="4:33">
      <c r="F25" s="57"/>
      <c r="G25" s="57"/>
      <c r="H25" s="57"/>
      <c r="I25" s="57"/>
      <c r="J25" s="57"/>
      <c r="K25" s="57"/>
      <c r="L25" s="57"/>
      <c r="M25" s="57"/>
      <c r="N25" s="72"/>
      <c r="O25" s="63"/>
      <c r="P25" s="67"/>
      <c r="Q25" s="155"/>
      <c r="R25" s="155"/>
      <c r="S25" s="155"/>
      <c r="T25" s="155"/>
      <c r="U25" s="155"/>
      <c r="V25" s="156"/>
      <c r="X25" s="68"/>
      <c r="Y25" s="68"/>
      <c r="Z25" s="68"/>
      <c r="AB25" s="68"/>
      <c r="AC25" s="68"/>
      <c r="AD25" s="68"/>
      <c r="AE25" s="68"/>
      <c r="AF25" s="68"/>
      <c r="AG25" s="68"/>
    </row>
    <row r="26" spans="4:33">
      <c r="F26" s="57"/>
      <c r="G26" s="57"/>
      <c r="H26" s="57"/>
      <c r="I26" s="57"/>
      <c r="J26" s="57"/>
      <c r="K26" s="57"/>
      <c r="L26" s="57"/>
      <c r="M26" s="57"/>
      <c r="N26" s="72"/>
      <c r="O26" s="63"/>
      <c r="P26" s="67"/>
      <c r="Q26" s="155"/>
      <c r="R26" s="155"/>
      <c r="S26" s="155"/>
      <c r="T26" s="155"/>
      <c r="U26" s="155"/>
      <c r="V26" s="156"/>
      <c r="X26" s="68"/>
      <c r="Y26" s="68"/>
      <c r="Z26" s="68"/>
      <c r="AB26" s="68"/>
      <c r="AC26" s="68"/>
      <c r="AD26" s="68"/>
      <c r="AE26" s="68"/>
      <c r="AF26" s="68"/>
      <c r="AG26" s="68"/>
    </row>
    <row r="27" spans="4:33">
      <c r="F27" s="57"/>
      <c r="G27" s="57"/>
      <c r="H27" s="57"/>
      <c r="I27" s="57"/>
      <c r="J27" s="57"/>
      <c r="K27" s="57"/>
      <c r="L27" s="57"/>
      <c r="M27" s="57"/>
      <c r="N27" s="72"/>
      <c r="O27" s="63"/>
      <c r="P27" s="67"/>
      <c r="Q27" s="155"/>
      <c r="R27" s="155"/>
      <c r="S27" s="155"/>
      <c r="T27" s="155"/>
      <c r="U27" s="155"/>
      <c r="V27" s="156"/>
      <c r="X27" s="68"/>
      <c r="Y27" s="68"/>
      <c r="Z27" s="68"/>
      <c r="AB27" s="68"/>
      <c r="AC27" s="68"/>
      <c r="AD27" s="68"/>
      <c r="AE27" s="68"/>
      <c r="AF27" s="68"/>
      <c r="AG27" s="68"/>
    </row>
    <row r="28" spans="4:33">
      <c r="F28" s="57"/>
      <c r="G28" s="57"/>
      <c r="H28" s="57"/>
      <c r="I28" s="57"/>
      <c r="J28" s="57"/>
      <c r="K28" s="57"/>
      <c r="L28" s="57"/>
      <c r="M28" s="57"/>
      <c r="N28" s="72"/>
      <c r="O28" s="63"/>
      <c r="P28" s="67"/>
      <c r="Q28" s="155"/>
      <c r="R28" s="155"/>
      <c r="S28" s="155"/>
      <c r="T28" s="155"/>
      <c r="U28" s="155"/>
      <c r="V28" s="156"/>
      <c r="X28" s="68"/>
      <c r="Y28" s="68"/>
      <c r="Z28" s="68"/>
      <c r="AB28" s="68"/>
      <c r="AC28" s="68"/>
      <c r="AD28" s="68"/>
      <c r="AE28" s="68"/>
      <c r="AF28" s="68"/>
      <c r="AG28" s="68"/>
    </row>
    <row r="29" spans="4:33">
      <c r="F29" s="57"/>
      <c r="G29" s="57"/>
      <c r="H29" s="57"/>
      <c r="I29" s="57"/>
      <c r="J29" s="57"/>
      <c r="K29" s="57"/>
      <c r="L29" s="57"/>
      <c r="M29" s="57"/>
      <c r="N29" s="72"/>
      <c r="O29" s="63"/>
      <c r="P29" s="67"/>
      <c r="Q29" s="155"/>
      <c r="R29" s="155"/>
      <c r="S29" s="155"/>
      <c r="T29" s="155"/>
      <c r="U29" s="155"/>
      <c r="V29" s="156"/>
      <c r="X29" s="68"/>
      <c r="Y29" s="68"/>
      <c r="Z29" s="68"/>
      <c r="AB29" s="68"/>
      <c r="AC29" s="68"/>
      <c r="AD29" s="68"/>
      <c r="AE29" s="68"/>
      <c r="AF29" s="68"/>
      <c r="AG29" s="68"/>
    </row>
    <row r="30" spans="4:33">
      <c r="E30" s="70"/>
      <c r="F30" s="57"/>
      <c r="G30" s="57"/>
      <c r="H30" s="57"/>
      <c r="I30" s="57"/>
      <c r="J30" s="57"/>
      <c r="K30" s="57"/>
      <c r="L30" s="57"/>
      <c r="M30" s="57"/>
      <c r="N30" s="72"/>
      <c r="O30" s="63"/>
      <c r="P30" s="67"/>
      <c r="Q30" s="155"/>
      <c r="R30" s="155"/>
      <c r="S30" s="155"/>
      <c r="T30" s="155"/>
      <c r="U30" s="155"/>
      <c r="V30" s="156"/>
      <c r="X30" s="68"/>
      <c r="Y30" s="68"/>
      <c r="Z30" s="68"/>
      <c r="AA30" s="68"/>
      <c r="AB30" s="68"/>
      <c r="AC30" s="68"/>
      <c r="AD30" s="68"/>
      <c r="AE30" s="68"/>
      <c r="AF30" s="68"/>
      <c r="AG30" s="68"/>
    </row>
    <row r="31" spans="4:33">
      <c r="F31" s="57"/>
      <c r="G31" s="57"/>
      <c r="H31" s="57"/>
      <c r="I31" s="57"/>
      <c r="J31" s="57"/>
      <c r="K31" s="57"/>
      <c r="L31" s="57"/>
      <c r="M31" s="57"/>
      <c r="N31" s="72"/>
      <c r="O31" s="63"/>
      <c r="P31" s="67"/>
      <c r="Q31" s="155"/>
      <c r="R31" s="155"/>
      <c r="S31" s="155"/>
      <c r="T31" s="155"/>
      <c r="U31" s="155"/>
      <c r="V31" s="156"/>
      <c r="X31" s="68"/>
      <c r="Y31" s="68"/>
      <c r="Z31" s="68"/>
      <c r="AA31" s="68"/>
      <c r="AB31" s="68"/>
      <c r="AC31" s="68"/>
      <c r="AD31" s="68"/>
      <c r="AE31" s="68"/>
      <c r="AF31" s="68"/>
      <c r="AG31" s="68"/>
    </row>
    <row r="32" spans="4:33">
      <c r="F32" s="57"/>
      <c r="G32" s="57"/>
      <c r="H32" s="57"/>
      <c r="I32" s="57"/>
      <c r="J32" s="57"/>
      <c r="K32" s="57"/>
      <c r="L32" s="57"/>
      <c r="M32" s="57"/>
      <c r="N32" s="72"/>
      <c r="O32" s="63"/>
      <c r="P32" s="67"/>
      <c r="Q32" s="155"/>
      <c r="R32" s="155"/>
      <c r="S32" s="155"/>
      <c r="T32" s="155"/>
      <c r="U32" s="155"/>
      <c r="V32" s="156"/>
      <c r="X32" s="68"/>
      <c r="Y32" s="68"/>
      <c r="Z32" s="68"/>
      <c r="AA32" s="68"/>
      <c r="AB32" s="68"/>
      <c r="AC32" s="68"/>
      <c r="AD32" s="68"/>
      <c r="AE32" s="68"/>
      <c r="AF32" s="68"/>
      <c r="AG32" s="68"/>
    </row>
    <row r="33" spans="4:33">
      <c r="E33" s="55"/>
      <c r="F33" s="57"/>
      <c r="G33" s="57"/>
      <c r="H33" s="57"/>
      <c r="I33" s="57"/>
      <c r="J33" s="57"/>
      <c r="K33" s="57"/>
      <c r="L33" s="57"/>
      <c r="M33" s="57"/>
      <c r="N33" s="72"/>
      <c r="O33" s="63"/>
      <c r="P33" s="67"/>
      <c r="Q33" s="155"/>
      <c r="R33" s="155"/>
      <c r="S33" s="155"/>
      <c r="T33" s="155"/>
      <c r="U33" s="155"/>
      <c r="V33" s="156"/>
      <c r="X33" s="68"/>
      <c r="Y33" s="68"/>
      <c r="Z33" s="68"/>
      <c r="AA33" s="68"/>
      <c r="AB33" s="68"/>
      <c r="AC33" s="68"/>
      <c r="AD33" s="68"/>
      <c r="AE33" s="68"/>
      <c r="AF33" s="68"/>
      <c r="AG33" s="68"/>
    </row>
    <row r="34" spans="4:33">
      <c r="E34" s="55"/>
      <c r="F34" s="57"/>
      <c r="G34" s="57"/>
      <c r="H34" s="57"/>
      <c r="I34" s="57"/>
      <c r="J34" s="57"/>
      <c r="K34" s="57"/>
      <c r="L34" s="57"/>
      <c r="M34" s="57"/>
      <c r="N34" s="72"/>
      <c r="O34" s="63"/>
      <c r="P34" s="67"/>
      <c r="Q34" s="155"/>
      <c r="R34" s="155"/>
      <c r="S34" s="155"/>
      <c r="T34" s="155"/>
      <c r="U34" s="155"/>
      <c r="V34" s="156"/>
      <c r="X34" s="68"/>
      <c r="Y34" s="68"/>
      <c r="Z34" s="68"/>
      <c r="AA34" s="68"/>
      <c r="AB34" s="68"/>
      <c r="AC34" s="68"/>
      <c r="AD34" s="68"/>
      <c r="AE34" s="68"/>
      <c r="AF34" s="68"/>
      <c r="AG34" s="68"/>
    </row>
    <row r="35" spans="4:33">
      <c r="E35" s="55"/>
      <c r="F35" s="57"/>
      <c r="G35" s="57"/>
      <c r="H35" s="57"/>
      <c r="I35" s="57"/>
      <c r="J35" s="57"/>
      <c r="K35" s="57"/>
      <c r="L35" s="57"/>
      <c r="M35" s="57"/>
      <c r="N35" s="72"/>
      <c r="O35" s="63"/>
      <c r="P35" s="67"/>
      <c r="Q35" s="155"/>
      <c r="R35" s="155"/>
      <c r="S35" s="155"/>
      <c r="T35" s="155"/>
      <c r="U35" s="155"/>
      <c r="V35" s="156"/>
      <c r="X35" s="68"/>
      <c r="Y35" s="68"/>
      <c r="Z35" s="68"/>
      <c r="AA35" s="68"/>
      <c r="AB35" s="68"/>
      <c r="AC35" s="68"/>
      <c r="AD35" s="68"/>
      <c r="AE35" s="68"/>
      <c r="AF35" s="68"/>
      <c r="AG35" s="68"/>
    </row>
    <row r="36" spans="4:33">
      <c r="E36" s="55"/>
      <c r="F36" s="57"/>
      <c r="G36" s="57"/>
      <c r="H36" s="57"/>
      <c r="I36" s="57"/>
      <c r="J36" s="57"/>
      <c r="K36" s="57"/>
      <c r="L36" s="57"/>
      <c r="M36" s="57"/>
      <c r="N36" s="72"/>
      <c r="O36" s="63"/>
      <c r="P36" s="67"/>
      <c r="Q36" s="155"/>
      <c r="R36" s="155"/>
      <c r="S36" s="155"/>
      <c r="T36" s="155"/>
      <c r="U36" s="155"/>
      <c r="V36" s="156"/>
      <c r="X36" s="68"/>
      <c r="Y36" s="68"/>
      <c r="Z36" s="68"/>
      <c r="AA36" s="68"/>
      <c r="AB36" s="68"/>
      <c r="AC36" s="68"/>
      <c r="AD36" s="68"/>
      <c r="AE36" s="68"/>
      <c r="AF36" s="68"/>
      <c r="AG36" s="68"/>
    </row>
    <row r="37" spans="4:33">
      <c r="E37" s="55"/>
      <c r="F37" s="57"/>
      <c r="G37" s="57"/>
      <c r="H37" s="57"/>
      <c r="I37" s="57"/>
      <c r="J37" s="57"/>
      <c r="K37" s="57"/>
      <c r="L37" s="57"/>
      <c r="M37" s="57"/>
      <c r="N37" s="72"/>
      <c r="O37" s="63"/>
      <c r="P37" s="67"/>
      <c r="Q37" s="155"/>
      <c r="R37" s="155"/>
      <c r="S37" s="155"/>
      <c r="T37" s="155"/>
      <c r="U37" s="155"/>
      <c r="V37" s="156"/>
      <c r="X37" s="68"/>
      <c r="Y37" s="68"/>
      <c r="Z37" s="68"/>
      <c r="AA37" s="68"/>
      <c r="AB37" s="68"/>
      <c r="AC37" s="68"/>
      <c r="AD37" s="68"/>
      <c r="AE37" s="68"/>
      <c r="AF37" s="68"/>
      <c r="AG37" s="68"/>
    </row>
    <row r="38" spans="4:33">
      <c r="E38" s="55"/>
      <c r="F38" s="57"/>
      <c r="G38" s="57"/>
      <c r="H38" s="57"/>
      <c r="I38" s="57"/>
      <c r="J38" s="57"/>
      <c r="K38" s="57"/>
      <c r="L38" s="57"/>
      <c r="M38" s="57"/>
      <c r="N38" s="72"/>
      <c r="O38" s="63"/>
      <c r="P38" s="67"/>
      <c r="Q38" s="155"/>
      <c r="R38" s="155"/>
      <c r="S38" s="155"/>
      <c r="T38" s="155"/>
      <c r="U38" s="155"/>
      <c r="V38" s="156"/>
      <c r="X38" s="68"/>
      <c r="Y38" s="68"/>
      <c r="Z38" s="68"/>
      <c r="AA38" s="68"/>
      <c r="AB38" s="68"/>
      <c r="AC38" s="68"/>
      <c r="AD38" s="68"/>
      <c r="AE38" s="68"/>
      <c r="AF38" s="68"/>
      <c r="AG38" s="68"/>
    </row>
    <row r="39" spans="4:33">
      <c r="D39" s="41"/>
      <c r="E39" s="55"/>
      <c r="F39" s="57"/>
      <c r="G39" s="57"/>
      <c r="H39" s="57"/>
      <c r="I39" s="57"/>
      <c r="J39" s="57"/>
      <c r="K39" s="57"/>
      <c r="L39" s="57"/>
      <c r="M39" s="57"/>
      <c r="N39" s="72"/>
      <c r="O39" s="63"/>
      <c r="P39" s="67"/>
      <c r="Q39" s="155"/>
      <c r="R39" s="155"/>
      <c r="S39" s="155"/>
      <c r="T39" s="155"/>
      <c r="U39" s="155"/>
      <c r="V39" s="156"/>
      <c r="X39" s="68"/>
      <c r="Y39" s="68"/>
      <c r="Z39" s="68"/>
      <c r="AA39" s="68"/>
      <c r="AB39" s="68"/>
      <c r="AC39" s="68"/>
      <c r="AD39" s="68"/>
      <c r="AE39" s="68"/>
      <c r="AF39" s="68"/>
      <c r="AG39" s="68"/>
    </row>
    <row r="40" spans="4:33">
      <c r="E40" s="55"/>
      <c r="F40" s="57"/>
      <c r="G40" s="57"/>
      <c r="H40" s="57"/>
      <c r="I40" s="57"/>
      <c r="J40" s="57"/>
      <c r="K40" s="57"/>
      <c r="L40" s="57"/>
      <c r="M40" s="57"/>
      <c r="N40" s="72"/>
      <c r="O40" s="63"/>
      <c r="P40" s="67"/>
      <c r="Q40" s="155"/>
      <c r="R40" s="155"/>
      <c r="S40" s="155"/>
      <c r="T40" s="155"/>
      <c r="U40" s="155"/>
      <c r="V40" s="156"/>
      <c r="X40" s="68"/>
      <c r="Y40" s="68"/>
      <c r="Z40" s="68"/>
      <c r="AA40" s="68"/>
      <c r="AB40" s="68"/>
      <c r="AC40" s="68"/>
      <c r="AD40" s="68"/>
      <c r="AE40" s="68"/>
      <c r="AF40" s="68"/>
      <c r="AG40" s="68"/>
    </row>
    <row r="41" spans="4:33">
      <c r="E41" s="55"/>
      <c r="F41" s="57"/>
      <c r="G41" s="57"/>
      <c r="H41" s="57"/>
      <c r="I41" s="57"/>
      <c r="J41" s="57"/>
      <c r="K41" s="57"/>
      <c r="L41" s="57"/>
      <c r="M41" s="57"/>
      <c r="N41" s="72"/>
      <c r="O41" s="63"/>
      <c r="P41" s="67"/>
      <c r="Q41" s="155"/>
      <c r="R41" s="155"/>
      <c r="S41" s="155"/>
      <c r="T41" s="155"/>
      <c r="U41" s="155"/>
      <c r="V41" s="156"/>
      <c r="X41" s="68"/>
      <c r="Y41" s="68"/>
      <c r="Z41" s="68"/>
      <c r="AA41" s="68"/>
      <c r="AB41" s="68"/>
      <c r="AC41" s="68"/>
      <c r="AD41" s="68"/>
      <c r="AE41" s="68"/>
      <c r="AF41" s="68"/>
      <c r="AG41" s="68"/>
    </row>
    <row r="42" spans="4:33">
      <c r="E42" s="55"/>
      <c r="F42" s="57"/>
      <c r="G42" s="57"/>
      <c r="H42" s="57"/>
      <c r="I42" s="57"/>
      <c r="J42" s="57"/>
      <c r="K42" s="57"/>
      <c r="L42" s="57"/>
      <c r="M42" s="57"/>
      <c r="N42" s="72"/>
      <c r="O42" s="63"/>
      <c r="P42" s="67"/>
      <c r="Q42" s="155"/>
      <c r="R42" s="155"/>
      <c r="S42" s="155"/>
      <c r="T42" s="155"/>
      <c r="U42" s="155"/>
      <c r="V42" s="156"/>
      <c r="X42" s="68"/>
      <c r="Y42" s="68"/>
      <c r="Z42" s="68"/>
      <c r="AA42" s="68"/>
      <c r="AB42" s="68"/>
      <c r="AC42" s="68"/>
      <c r="AD42" s="68"/>
      <c r="AE42" s="68"/>
      <c r="AF42" s="68"/>
      <c r="AG42" s="68"/>
    </row>
    <row r="43" spans="4:33">
      <c r="E43" s="55"/>
      <c r="F43" s="57"/>
      <c r="G43" s="57"/>
      <c r="H43" s="57"/>
      <c r="I43" s="57"/>
      <c r="J43" s="57"/>
      <c r="K43" s="57"/>
      <c r="L43" s="57"/>
      <c r="M43" s="57"/>
      <c r="N43" s="72"/>
      <c r="O43" s="63"/>
      <c r="P43" s="67"/>
      <c r="Q43" s="155"/>
      <c r="R43" s="155"/>
      <c r="S43" s="155"/>
      <c r="T43" s="155"/>
      <c r="U43" s="155"/>
      <c r="V43" s="156"/>
      <c r="X43" s="68"/>
      <c r="Y43" s="68"/>
      <c r="Z43" s="68"/>
      <c r="AA43" s="68"/>
      <c r="AB43" s="68"/>
      <c r="AC43" s="68"/>
      <c r="AD43" s="68"/>
      <c r="AE43" s="68"/>
      <c r="AF43" s="68"/>
      <c r="AG43" s="68"/>
    </row>
    <row r="44" spans="4:33">
      <c r="E44" s="55"/>
      <c r="F44" s="57"/>
      <c r="G44" s="57"/>
      <c r="H44" s="57"/>
      <c r="I44" s="57"/>
      <c r="J44" s="57"/>
      <c r="K44" s="57"/>
      <c r="L44" s="57"/>
      <c r="M44" s="57"/>
      <c r="N44" s="72"/>
      <c r="O44" s="63"/>
      <c r="P44" s="67"/>
      <c r="Q44" s="155"/>
      <c r="R44" s="155"/>
      <c r="S44" s="155"/>
      <c r="T44" s="155"/>
      <c r="U44" s="155"/>
      <c r="V44" s="156"/>
      <c r="X44" s="68"/>
      <c r="Y44" s="68"/>
      <c r="Z44" s="68"/>
      <c r="AA44" s="68"/>
      <c r="AB44" s="68"/>
      <c r="AC44" s="68"/>
      <c r="AD44" s="68"/>
      <c r="AE44" s="68"/>
      <c r="AF44" s="68"/>
      <c r="AG44" s="68"/>
    </row>
    <row r="45" spans="4:33">
      <c r="E45" s="62"/>
      <c r="F45" s="57"/>
      <c r="G45" s="57"/>
      <c r="H45" s="57"/>
      <c r="I45" s="57"/>
      <c r="J45" s="57"/>
      <c r="K45" s="57"/>
      <c r="L45" s="57"/>
      <c r="M45" s="57"/>
      <c r="N45" s="72"/>
      <c r="O45" s="63"/>
      <c r="P45" s="67"/>
      <c r="Q45" s="155"/>
      <c r="R45" s="155"/>
      <c r="S45" s="155"/>
      <c r="T45" s="155"/>
      <c r="U45" s="155"/>
      <c r="V45" s="156"/>
      <c r="X45" s="68"/>
      <c r="Y45" s="68"/>
      <c r="Z45" s="68"/>
      <c r="AA45" s="68"/>
      <c r="AB45" s="68"/>
      <c r="AC45" s="68"/>
      <c r="AD45" s="68"/>
      <c r="AE45" s="68"/>
      <c r="AF45" s="68"/>
      <c r="AG45" s="68"/>
    </row>
    <row r="46" spans="4:33">
      <c r="E46" s="62"/>
      <c r="F46" s="57"/>
      <c r="G46" s="57"/>
      <c r="H46" s="57"/>
      <c r="I46" s="57"/>
      <c r="J46" s="57"/>
      <c r="K46" s="57"/>
      <c r="L46" s="57"/>
      <c r="M46" s="57"/>
      <c r="N46" s="72"/>
      <c r="O46" s="63"/>
      <c r="P46" s="67"/>
      <c r="Q46" s="155"/>
      <c r="R46" s="155"/>
      <c r="S46" s="155"/>
      <c r="T46" s="155"/>
      <c r="U46" s="155"/>
      <c r="V46" s="156"/>
      <c r="X46" s="68"/>
      <c r="Y46" s="68"/>
      <c r="Z46" s="68"/>
      <c r="AA46" s="68"/>
      <c r="AB46" s="68"/>
      <c r="AC46" s="68"/>
      <c r="AD46" s="68"/>
      <c r="AE46" s="68"/>
      <c r="AF46" s="68"/>
      <c r="AG46" s="68"/>
    </row>
    <row r="47" spans="4:33">
      <c r="E47" s="62"/>
      <c r="F47" s="57"/>
      <c r="G47" s="57"/>
      <c r="H47" s="57"/>
      <c r="I47" s="57"/>
      <c r="J47" s="57"/>
      <c r="K47" s="57"/>
      <c r="L47" s="57"/>
      <c r="M47" s="57"/>
      <c r="N47" s="72"/>
      <c r="O47" s="63"/>
      <c r="P47" s="67"/>
      <c r="Q47" s="155"/>
      <c r="R47" s="155"/>
      <c r="S47" s="155"/>
      <c r="T47" s="155"/>
      <c r="U47" s="155"/>
      <c r="V47" s="156"/>
      <c r="X47" s="68"/>
      <c r="Y47" s="68"/>
      <c r="Z47" s="68"/>
      <c r="AA47" s="68"/>
      <c r="AB47" s="68"/>
      <c r="AC47" s="68"/>
      <c r="AD47" s="68"/>
      <c r="AE47" s="68"/>
      <c r="AF47" s="68"/>
      <c r="AG47" s="68"/>
    </row>
    <row r="48" spans="4:33">
      <c r="E48" s="62"/>
      <c r="F48" s="57"/>
      <c r="G48" s="57"/>
      <c r="H48" s="57"/>
      <c r="I48" s="57"/>
      <c r="J48" s="57"/>
      <c r="K48" s="57"/>
      <c r="L48" s="57"/>
      <c r="M48" s="57"/>
      <c r="N48" s="72"/>
      <c r="O48" s="63"/>
      <c r="P48" s="67"/>
      <c r="Q48" s="155"/>
      <c r="R48" s="155"/>
      <c r="S48" s="155"/>
      <c r="T48" s="155"/>
      <c r="U48" s="155"/>
      <c r="V48" s="156"/>
      <c r="X48" s="68"/>
      <c r="Y48" s="68"/>
      <c r="Z48" s="68"/>
      <c r="AA48" s="68"/>
      <c r="AB48" s="68"/>
      <c r="AC48" s="68"/>
      <c r="AD48" s="68"/>
      <c r="AE48" s="68"/>
      <c r="AF48" s="68"/>
      <c r="AG48" s="68"/>
    </row>
    <row r="49" spans="5:33">
      <c r="E49" s="62"/>
      <c r="F49" s="57"/>
      <c r="G49" s="57"/>
      <c r="H49" s="57"/>
      <c r="I49" s="57"/>
      <c r="J49" s="57"/>
      <c r="K49" s="57"/>
      <c r="L49" s="57"/>
      <c r="M49" s="57"/>
      <c r="N49" s="72"/>
      <c r="O49" s="63"/>
      <c r="P49" s="67"/>
      <c r="Q49" s="155"/>
      <c r="R49" s="155"/>
      <c r="S49" s="155"/>
      <c r="T49" s="155"/>
      <c r="U49" s="155"/>
      <c r="V49" s="156"/>
      <c r="X49" s="68"/>
      <c r="Y49" s="68"/>
      <c r="Z49" s="68"/>
      <c r="AA49" s="68"/>
      <c r="AB49" s="68"/>
      <c r="AC49" s="68"/>
      <c r="AD49" s="68"/>
      <c r="AE49" s="68"/>
      <c r="AF49" s="68"/>
      <c r="AG49" s="68"/>
    </row>
    <row r="50" spans="5:33">
      <c r="E50" s="62"/>
      <c r="F50" s="57"/>
      <c r="G50" s="57"/>
      <c r="H50" s="57"/>
      <c r="I50" s="57"/>
      <c r="J50" s="57"/>
      <c r="K50" s="57"/>
      <c r="L50" s="57"/>
      <c r="M50" s="57"/>
      <c r="N50" s="72"/>
      <c r="O50" s="63"/>
      <c r="P50" s="67"/>
      <c r="Q50" s="155"/>
      <c r="R50" s="155"/>
      <c r="S50" s="155"/>
      <c r="T50" s="155"/>
      <c r="U50" s="155"/>
      <c r="V50" s="156"/>
      <c r="X50" s="68"/>
      <c r="Y50" s="68"/>
      <c r="Z50" s="68"/>
      <c r="AA50" s="68"/>
      <c r="AB50" s="68"/>
      <c r="AC50" s="68"/>
      <c r="AD50" s="68"/>
      <c r="AE50" s="68"/>
      <c r="AF50" s="68"/>
      <c r="AG50" s="68"/>
    </row>
    <row r="51" spans="5:33">
      <c r="E51" s="62"/>
      <c r="F51" s="57"/>
      <c r="G51" s="57"/>
      <c r="H51" s="57"/>
      <c r="I51" s="57"/>
      <c r="J51" s="57"/>
      <c r="K51" s="57"/>
      <c r="L51" s="57"/>
      <c r="M51" s="57"/>
      <c r="N51" s="72"/>
      <c r="O51" s="63"/>
      <c r="P51" s="67"/>
      <c r="Q51" s="155"/>
      <c r="R51" s="155"/>
      <c r="S51" s="155"/>
      <c r="T51" s="155"/>
      <c r="U51" s="155"/>
      <c r="V51" s="156"/>
      <c r="X51" s="68"/>
      <c r="Y51" s="68"/>
      <c r="Z51" s="68"/>
      <c r="AA51" s="68"/>
      <c r="AB51" s="68"/>
      <c r="AC51" s="68"/>
      <c r="AD51" s="68"/>
      <c r="AE51" s="68"/>
      <c r="AF51" s="68"/>
      <c r="AG51" s="68"/>
    </row>
    <row r="52" spans="5:33">
      <c r="E52" s="55"/>
      <c r="F52" s="57"/>
      <c r="G52" s="57"/>
      <c r="H52" s="57"/>
      <c r="I52" s="57"/>
      <c r="J52" s="57"/>
      <c r="K52" s="57"/>
      <c r="L52" s="57"/>
      <c r="M52" s="57"/>
      <c r="N52" s="72"/>
      <c r="O52" s="63"/>
      <c r="P52" s="67"/>
      <c r="Q52" s="155"/>
      <c r="R52" s="155"/>
      <c r="S52" s="155"/>
      <c r="T52" s="155"/>
      <c r="U52" s="155"/>
      <c r="V52" s="156"/>
      <c r="X52" s="68"/>
      <c r="Y52" s="68"/>
      <c r="Z52" s="68"/>
      <c r="AA52" s="68"/>
      <c r="AB52" s="68"/>
      <c r="AC52" s="68"/>
      <c r="AD52" s="68"/>
      <c r="AE52" s="68"/>
      <c r="AF52" s="68"/>
      <c r="AG52" s="68"/>
    </row>
    <row r="53" spans="5:33">
      <c r="E53" s="55"/>
      <c r="F53" s="57"/>
      <c r="G53" s="57"/>
      <c r="H53" s="57"/>
      <c r="I53" s="57"/>
      <c r="J53" s="57"/>
      <c r="K53" s="57"/>
      <c r="L53" s="57"/>
      <c r="M53" s="57"/>
      <c r="N53" s="72"/>
      <c r="O53" s="63"/>
      <c r="P53" s="67"/>
      <c r="Q53" s="155"/>
      <c r="R53" s="155"/>
      <c r="S53" s="155"/>
      <c r="T53" s="155"/>
      <c r="U53" s="155"/>
      <c r="V53" s="156"/>
      <c r="X53" s="68"/>
      <c r="Y53" s="68"/>
      <c r="Z53" s="68"/>
      <c r="AA53" s="68"/>
      <c r="AB53" s="68"/>
      <c r="AC53" s="68"/>
      <c r="AD53" s="68"/>
      <c r="AE53" s="68"/>
      <c r="AF53" s="68"/>
      <c r="AG53" s="68"/>
    </row>
    <row r="54" spans="5:33">
      <c r="E54" s="55"/>
      <c r="F54" s="57"/>
      <c r="G54" s="57"/>
      <c r="H54" s="57"/>
      <c r="I54" s="57"/>
      <c r="J54" s="57"/>
      <c r="K54" s="57"/>
      <c r="L54" s="57"/>
      <c r="M54" s="57"/>
      <c r="N54" s="72"/>
      <c r="O54" s="64">
        <v>42217</v>
      </c>
      <c r="P54" s="67"/>
      <c r="Q54" s="155"/>
      <c r="R54" s="155"/>
      <c r="S54" s="155"/>
      <c r="T54" s="155"/>
      <c r="U54" s="155"/>
      <c r="V54" s="156"/>
      <c r="X54" s="68"/>
      <c r="Y54" s="68"/>
      <c r="Z54" s="68"/>
      <c r="AA54" s="68"/>
      <c r="AB54" s="68"/>
    </row>
    <row r="55" spans="5:33">
      <c r="E55" s="55"/>
      <c r="F55" s="57"/>
      <c r="G55" s="57"/>
      <c r="H55" s="57"/>
      <c r="I55" s="57"/>
      <c r="J55" s="57"/>
      <c r="K55" s="57"/>
      <c r="L55" s="57"/>
      <c r="M55" s="57"/>
      <c r="N55" s="72"/>
      <c r="O55" s="64"/>
      <c r="P55" s="67"/>
      <c r="Q55" s="155"/>
      <c r="R55" s="155"/>
      <c r="S55" s="155"/>
      <c r="T55" s="155"/>
      <c r="U55" s="155"/>
      <c r="V55" s="156"/>
      <c r="X55" s="68"/>
      <c r="Y55" s="68"/>
      <c r="Z55" s="68"/>
      <c r="AA55" s="68"/>
      <c r="AB55" s="68"/>
    </row>
    <row r="56" spans="5:33">
      <c r="E56" s="55"/>
      <c r="F56" s="57"/>
      <c r="G56" s="57"/>
      <c r="H56" s="57"/>
      <c r="I56" s="57"/>
      <c r="J56" s="57"/>
      <c r="K56" s="57"/>
      <c r="L56" s="57"/>
      <c r="M56" s="57"/>
      <c r="N56" s="72"/>
      <c r="O56" s="63"/>
      <c r="P56" s="67"/>
      <c r="Q56" s="155"/>
      <c r="R56" s="155"/>
      <c r="S56" s="155"/>
      <c r="T56" s="155"/>
      <c r="U56" s="155"/>
      <c r="V56" s="156"/>
      <c r="X56" s="68"/>
      <c r="Y56" s="68"/>
      <c r="Z56" s="68"/>
      <c r="AA56" s="68"/>
      <c r="AB56" s="68"/>
    </row>
    <row r="57" spans="5:33">
      <c r="E57" s="69"/>
      <c r="F57" s="57"/>
      <c r="G57" s="57"/>
      <c r="H57" s="57"/>
      <c r="I57" s="57"/>
      <c r="J57" s="57"/>
      <c r="K57" s="57"/>
      <c r="L57" s="57"/>
      <c r="M57" s="57"/>
      <c r="N57" s="72"/>
      <c r="O57" s="63"/>
      <c r="P57" s="67"/>
      <c r="Q57" s="155"/>
      <c r="R57" s="155"/>
      <c r="S57" s="155"/>
      <c r="T57" s="155"/>
      <c r="U57" s="155"/>
      <c r="V57" s="156"/>
      <c r="X57" s="68"/>
      <c r="Y57" s="68"/>
      <c r="Z57" s="68"/>
      <c r="AA57" s="68"/>
      <c r="AB57" s="68"/>
    </row>
    <row r="58" spans="5:33">
      <c r="E58" s="69"/>
      <c r="F58" s="57"/>
      <c r="G58" s="57"/>
      <c r="H58" s="57"/>
      <c r="I58" s="57"/>
      <c r="J58" s="57"/>
      <c r="K58" s="57"/>
      <c r="L58" s="57"/>
      <c r="M58" s="57"/>
      <c r="N58" s="72"/>
      <c r="O58" s="63"/>
      <c r="P58" s="67"/>
      <c r="Q58" s="155"/>
      <c r="R58" s="155"/>
      <c r="S58" s="155"/>
      <c r="T58" s="155"/>
      <c r="U58" s="155"/>
      <c r="V58" s="156"/>
      <c r="X58" s="68"/>
      <c r="Y58" s="68"/>
      <c r="Z58" s="68"/>
      <c r="AA58" s="68"/>
      <c r="AB58" s="68"/>
    </row>
    <row r="59" spans="5:33">
      <c r="E59" s="69"/>
      <c r="F59" s="57"/>
      <c r="G59" s="57"/>
      <c r="H59" s="57"/>
      <c r="I59" s="57"/>
      <c r="J59" s="57"/>
      <c r="K59" s="57"/>
      <c r="L59" s="57"/>
      <c r="M59" s="57"/>
      <c r="N59" s="72"/>
      <c r="O59" s="63"/>
      <c r="P59" s="67"/>
      <c r="Q59" s="155"/>
      <c r="R59" s="155"/>
      <c r="S59" s="155"/>
      <c r="T59" s="155"/>
      <c r="U59" s="155"/>
      <c r="V59" s="156"/>
      <c r="X59" s="68"/>
      <c r="Y59" s="68"/>
      <c r="Z59" s="68"/>
      <c r="AA59" s="68"/>
      <c r="AB59" s="68"/>
    </row>
    <row r="60" spans="5:33">
      <c r="E60" s="69"/>
      <c r="F60" s="57"/>
      <c r="G60" s="57"/>
      <c r="H60" s="57"/>
      <c r="I60" s="57"/>
      <c r="J60" s="57"/>
      <c r="K60" s="57"/>
      <c r="L60" s="57"/>
      <c r="M60" s="57"/>
      <c r="N60" s="72"/>
      <c r="O60" s="63"/>
      <c r="P60" s="67"/>
      <c r="Q60" s="155"/>
      <c r="R60" s="155"/>
      <c r="S60" s="155"/>
      <c r="T60" s="155"/>
      <c r="U60" s="155"/>
      <c r="V60" s="156"/>
      <c r="X60" s="68"/>
      <c r="Y60" s="68"/>
      <c r="Z60" s="68"/>
      <c r="AB60" s="68"/>
    </row>
    <row r="61" spans="5:33">
      <c r="E61" s="69"/>
      <c r="F61" s="57"/>
      <c r="G61" s="57"/>
      <c r="H61" s="57"/>
      <c r="I61" s="57"/>
      <c r="J61" s="57"/>
      <c r="K61" s="57"/>
      <c r="L61" s="57"/>
      <c r="M61" s="57"/>
      <c r="N61" s="72"/>
      <c r="O61" s="63"/>
      <c r="P61" s="67"/>
      <c r="Q61" s="155"/>
      <c r="R61" s="155"/>
      <c r="S61" s="155"/>
      <c r="T61" s="155"/>
      <c r="U61" s="155"/>
      <c r="V61" s="156"/>
      <c r="X61" s="68"/>
      <c r="Y61" s="68"/>
      <c r="Z61" s="68"/>
    </row>
    <row r="62" spans="5:33">
      <c r="E62" s="69"/>
      <c r="F62" s="57"/>
      <c r="G62" s="57"/>
      <c r="H62" s="57"/>
      <c r="I62" s="57"/>
      <c r="J62" s="57"/>
      <c r="K62" s="57"/>
      <c r="L62" s="57"/>
      <c r="M62" s="57"/>
      <c r="N62" s="72"/>
      <c r="O62" s="63"/>
      <c r="P62" s="67"/>
      <c r="Q62" s="155"/>
      <c r="R62" s="155"/>
      <c r="S62" s="155"/>
      <c r="T62" s="155"/>
      <c r="U62" s="155"/>
      <c r="V62" s="156"/>
      <c r="X62" s="68"/>
      <c r="Y62" s="68"/>
      <c r="Z62" s="68"/>
    </row>
    <row r="63" spans="5:33">
      <c r="E63" s="69"/>
      <c r="F63" s="57"/>
      <c r="G63" s="57"/>
      <c r="H63" s="57"/>
      <c r="I63" s="57"/>
      <c r="J63" s="57"/>
      <c r="K63" s="57"/>
      <c r="L63" s="57"/>
      <c r="M63" s="57"/>
      <c r="N63" s="72"/>
      <c r="O63" s="63"/>
      <c r="P63" s="67"/>
      <c r="Q63" s="155"/>
      <c r="R63" s="155"/>
      <c r="S63" s="155"/>
      <c r="T63" s="155"/>
      <c r="U63" s="155"/>
      <c r="V63" s="156"/>
      <c r="X63" s="68"/>
      <c r="Y63" s="68"/>
      <c r="Z63" s="68"/>
    </row>
    <row r="64" spans="5:33">
      <c r="E64" s="69"/>
      <c r="F64" s="57"/>
      <c r="G64" s="57"/>
      <c r="H64" s="57"/>
      <c r="I64" s="57"/>
      <c r="J64" s="57"/>
      <c r="K64" s="57"/>
      <c r="L64" s="57"/>
      <c r="M64" s="57"/>
      <c r="N64" s="72">
        <f>'Data 3'!I60-'Data 3'!I59</f>
        <v>0</v>
      </c>
      <c r="O64" s="65">
        <f>'Data 3'!I60-'Data 3'!I48</f>
        <v>-44.083442278851528</v>
      </c>
      <c r="P64" s="67"/>
      <c r="Q64" s="155"/>
      <c r="R64" s="155"/>
      <c r="S64" s="155"/>
      <c r="T64" s="155"/>
      <c r="U64" s="155"/>
      <c r="V64" s="156"/>
      <c r="X64" s="68"/>
      <c r="Y64" s="68"/>
      <c r="Z64" s="68"/>
    </row>
    <row r="65" spans="5:26">
      <c r="E65" s="69"/>
      <c r="F65" s="57"/>
      <c r="G65" s="57"/>
      <c r="H65" s="57"/>
      <c r="I65" s="57"/>
      <c r="J65" s="57"/>
      <c r="K65" s="57"/>
      <c r="L65" s="57"/>
      <c r="M65" s="57"/>
      <c r="N65" s="72"/>
      <c r="O65" s="63"/>
      <c r="P65" s="67"/>
      <c r="Q65" s="155"/>
      <c r="R65" s="155"/>
      <c r="S65" s="155"/>
      <c r="T65" s="155"/>
      <c r="U65" s="155"/>
      <c r="V65" s="156"/>
      <c r="X65" s="68"/>
      <c r="Y65" s="68"/>
      <c r="Z65" s="68"/>
    </row>
    <row r="66" spans="5:26">
      <c r="E66" s="69"/>
      <c r="F66" s="57"/>
      <c r="G66" s="57"/>
      <c r="H66" s="57"/>
      <c r="I66" s="57"/>
      <c r="J66" s="57"/>
      <c r="K66" s="57"/>
      <c r="L66" s="57"/>
      <c r="M66" s="57"/>
      <c r="N66" s="72"/>
      <c r="O66" s="63"/>
      <c r="P66" s="67"/>
      <c r="Q66" s="155"/>
      <c r="R66" s="155"/>
      <c r="S66" s="155"/>
      <c r="T66" s="155"/>
      <c r="U66" s="155"/>
      <c r="V66" s="156"/>
      <c r="X66" s="68"/>
      <c r="Y66" s="68"/>
      <c r="Z66" s="68"/>
    </row>
    <row r="67" spans="5:26">
      <c r="E67" s="69"/>
      <c r="F67" s="57"/>
      <c r="G67" s="57"/>
      <c r="H67" s="57"/>
      <c r="I67" s="57"/>
      <c r="J67" s="57"/>
      <c r="K67" s="57"/>
      <c r="L67" s="57"/>
      <c r="M67" s="57"/>
      <c r="N67" s="72"/>
      <c r="O67" s="63"/>
      <c r="P67" s="67"/>
      <c r="Q67" s="155"/>
      <c r="R67" s="155"/>
      <c r="S67" s="155"/>
      <c r="T67" s="155"/>
      <c r="U67" s="155"/>
      <c r="V67" s="156"/>
      <c r="X67" s="68"/>
      <c r="Y67" s="68"/>
      <c r="Z67" s="68"/>
    </row>
    <row r="68" spans="5:26">
      <c r="E68" s="69"/>
      <c r="F68" s="57"/>
      <c r="G68" s="57"/>
      <c r="H68" s="57"/>
      <c r="I68" s="57"/>
      <c r="J68" s="57"/>
      <c r="K68" s="57"/>
      <c r="L68" s="57"/>
      <c r="M68" s="57"/>
      <c r="N68" s="72"/>
      <c r="O68" s="63"/>
      <c r="P68" s="67"/>
      <c r="Q68" s="155"/>
      <c r="R68" s="155"/>
      <c r="S68" s="155"/>
      <c r="T68" s="155"/>
      <c r="U68" s="155"/>
      <c r="V68" s="156"/>
      <c r="X68" s="68"/>
      <c r="Y68" s="68"/>
      <c r="Z68" s="68"/>
    </row>
    <row r="69" spans="5:26">
      <c r="F69" s="57"/>
      <c r="G69" s="57"/>
      <c r="H69" s="57"/>
      <c r="I69" s="57"/>
      <c r="J69" s="57"/>
      <c r="K69" s="57"/>
      <c r="L69" s="57"/>
      <c r="M69" s="57"/>
      <c r="N69" s="74"/>
      <c r="O69" s="63"/>
      <c r="P69" s="67"/>
      <c r="Q69" s="155"/>
      <c r="R69" s="155"/>
      <c r="S69" s="155"/>
      <c r="T69" s="155"/>
      <c r="U69" s="155"/>
      <c r="V69" s="156"/>
      <c r="X69" s="68"/>
      <c r="Y69" s="68"/>
      <c r="Z69" s="68"/>
    </row>
    <row r="70" spans="5:26">
      <c r="O70" s="63"/>
      <c r="P70" s="67"/>
      <c r="Q70" s="155"/>
      <c r="R70" s="155"/>
      <c r="S70" s="155"/>
      <c r="T70" s="155"/>
      <c r="U70" s="155"/>
      <c r="V70" s="156"/>
      <c r="X70" s="68"/>
      <c r="Y70" s="68"/>
      <c r="Z70" s="68"/>
    </row>
    <row r="71" spans="5:26">
      <c r="O71" s="63"/>
      <c r="P71" s="67"/>
      <c r="Q71" s="155"/>
      <c r="R71" s="155"/>
      <c r="S71" s="155"/>
      <c r="T71" s="155"/>
      <c r="U71" s="155"/>
      <c r="V71" s="156"/>
      <c r="X71" s="68"/>
      <c r="Y71" s="68"/>
      <c r="Z71" s="68"/>
    </row>
    <row r="72" spans="5:26">
      <c r="O72" s="63"/>
      <c r="P72" s="67"/>
      <c r="Q72" s="155"/>
      <c r="R72" s="155"/>
      <c r="S72" s="155"/>
      <c r="T72" s="155"/>
      <c r="U72" s="155"/>
      <c r="V72" s="156"/>
      <c r="X72" s="68"/>
      <c r="Y72" s="68"/>
      <c r="Z72" s="68"/>
    </row>
    <row r="73" spans="5:26">
      <c r="O73" s="63"/>
      <c r="P73" s="67"/>
      <c r="Q73" s="155"/>
      <c r="R73" s="155"/>
      <c r="S73" s="155"/>
      <c r="T73" s="155"/>
      <c r="U73" s="155"/>
      <c r="V73" s="156"/>
      <c r="X73" s="68"/>
      <c r="Y73" s="68"/>
      <c r="Z73" s="68"/>
    </row>
    <row r="74" spans="5:26">
      <c r="O74" s="63"/>
      <c r="P74" s="67"/>
      <c r="Q74" s="155"/>
      <c r="R74" s="155"/>
      <c r="S74" s="155"/>
      <c r="T74" s="155"/>
      <c r="U74" s="155"/>
      <c r="V74" s="156"/>
      <c r="X74" s="68"/>
      <c r="Y74" s="68"/>
      <c r="Z74" s="68"/>
    </row>
    <row r="75" spans="5:26">
      <c r="O75" s="63"/>
      <c r="P75" s="67"/>
      <c r="Q75" s="155"/>
      <c r="R75" s="155"/>
      <c r="S75" s="155"/>
      <c r="T75" s="155"/>
      <c r="U75" s="155"/>
      <c r="V75" s="156"/>
      <c r="X75" s="68"/>
      <c r="Y75" s="68"/>
      <c r="Z75" s="68"/>
    </row>
    <row r="76" spans="5:26">
      <c r="O76" s="63"/>
      <c r="P76" s="67"/>
      <c r="Q76" s="155"/>
      <c r="R76" s="155"/>
      <c r="S76" s="155"/>
      <c r="T76" s="155"/>
      <c r="U76" s="155"/>
      <c r="V76" s="156"/>
      <c r="X76" s="68"/>
      <c r="Y76" s="68"/>
      <c r="Z76" s="68"/>
    </row>
    <row r="77" spans="5:26">
      <c r="O77" s="63"/>
      <c r="P77" s="67"/>
      <c r="Q77" s="155"/>
      <c r="R77" s="155"/>
      <c r="S77" s="155"/>
      <c r="T77" s="155"/>
      <c r="U77" s="155"/>
      <c r="V77" s="156"/>
      <c r="X77" s="68"/>
      <c r="Y77" s="68"/>
      <c r="Z77" s="68"/>
    </row>
    <row r="78" spans="5:26">
      <c r="O78" s="63"/>
      <c r="P78" s="67"/>
      <c r="Q78" s="155"/>
      <c r="R78" s="155"/>
      <c r="S78" s="155"/>
      <c r="T78" s="155"/>
      <c r="U78" s="155"/>
      <c r="V78" s="156"/>
      <c r="X78" s="68"/>
      <c r="Y78" s="68"/>
      <c r="Z78" s="68"/>
    </row>
    <row r="79" spans="5:26">
      <c r="O79" s="63"/>
      <c r="P79" s="67"/>
      <c r="Q79" s="155"/>
      <c r="R79" s="155"/>
      <c r="S79" s="155"/>
      <c r="T79" s="155"/>
      <c r="U79" s="155"/>
      <c r="V79" s="156"/>
      <c r="X79" s="68"/>
      <c r="Y79" s="68"/>
      <c r="Z79" s="68"/>
    </row>
    <row r="80" spans="5:26">
      <c r="O80" s="63"/>
      <c r="P80" s="67"/>
      <c r="Q80" s="155"/>
      <c r="R80" s="155"/>
      <c r="S80" s="155"/>
      <c r="T80" s="155"/>
      <c r="U80" s="155"/>
      <c r="V80" s="156"/>
      <c r="X80" s="68"/>
      <c r="Y80" s="68"/>
      <c r="Z80" s="68"/>
    </row>
    <row r="81" spans="15:26">
      <c r="O81" s="63"/>
      <c r="P81" s="67"/>
      <c r="Q81" s="155"/>
      <c r="R81" s="155"/>
      <c r="S81" s="155"/>
      <c r="T81" s="155"/>
      <c r="U81" s="155"/>
      <c r="V81" s="156"/>
      <c r="X81" s="68"/>
      <c r="Y81" s="68"/>
      <c r="Z81" s="68"/>
    </row>
    <row r="82" spans="15:26">
      <c r="O82" s="63"/>
      <c r="P82" s="67"/>
      <c r="Q82" s="155"/>
      <c r="R82" s="155"/>
      <c r="S82" s="155"/>
      <c r="T82" s="155"/>
      <c r="U82" s="155"/>
      <c r="V82" s="156"/>
      <c r="X82" s="68"/>
      <c r="Y82" s="68"/>
      <c r="Z82" s="68"/>
    </row>
    <row r="83" spans="15:26">
      <c r="O83" s="63"/>
      <c r="P83" s="67"/>
      <c r="Q83" s="155"/>
      <c r="R83" s="155"/>
      <c r="S83" s="155"/>
      <c r="T83" s="155"/>
      <c r="U83" s="155"/>
      <c r="V83" s="156"/>
      <c r="X83" s="68"/>
      <c r="Y83" s="68"/>
      <c r="Z83" s="68"/>
    </row>
    <row r="84" spans="15:26">
      <c r="O84" s="64"/>
      <c r="P84" s="67"/>
      <c r="Q84" s="155"/>
      <c r="R84" s="155"/>
      <c r="S84" s="155"/>
      <c r="T84" s="155"/>
      <c r="U84" s="155"/>
      <c r="V84" s="156"/>
      <c r="X84" s="68"/>
      <c r="Y84" s="68"/>
      <c r="Z84" s="68"/>
    </row>
    <row r="85" spans="15:26">
      <c r="O85" s="64">
        <v>42248</v>
      </c>
      <c r="P85" s="67"/>
      <c r="Q85" s="155"/>
      <c r="R85" s="155"/>
      <c r="S85" s="155"/>
      <c r="T85" s="155"/>
      <c r="U85" s="155"/>
      <c r="V85" s="156"/>
      <c r="X85" s="68"/>
      <c r="Y85" s="68"/>
      <c r="Z85" s="68"/>
    </row>
    <row r="86" spans="15:26">
      <c r="O86" s="63"/>
      <c r="P86" s="67"/>
      <c r="Q86" s="155"/>
      <c r="R86" s="155"/>
      <c r="S86" s="155"/>
      <c r="T86" s="155"/>
      <c r="U86" s="155"/>
      <c r="V86" s="156"/>
      <c r="X86" s="68"/>
      <c r="Y86" s="68"/>
      <c r="Z86" s="68"/>
    </row>
    <row r="87" spans="15:26">
      <c r="O87" s="63"/>
      <c r="P87" s="67"/>
      <c r="Q87" s="155"/>
      <c r="R87" s="155"/>
      <c r="S87" s="155"/>
      <c r="T87" s="155"/>
      <c r="U87" s="155"/>
      <c r="V87" s="156"/>
      <c r="X87" s="68"/>
      <c r="Y87" s="68"/>
      <c r="Z87" s="68"/>
    </row>
    <row r="88" spans="15:26">
      <c r="O88" s="63"/>
      <c r="P88" s="67"/>
      <c r="Q88" s="155"/>
      <c r="R88" s="155"/>
      <c r="S88" s="155"/>
      <c r="T88" s="155"/>
      <c r="U88" s="155"/>
      <c r="V88" s="156"/>
      <c r="X88" s="68"/>
      <c r="Y88" s="68"/>
      <c r="Z88" s="68"/>
    </row>
    <row r="89" spans="15:26">
      <c r="O89" s="63"/>
      <c r="P89" s="67"/>
      <c r="Q89" s="155"/>
      <c r="R89" s="155"/>
      <c r="S89" s="155"/>
      <c r="T89" s="155"/>
      <c r="U89" s="155"/>
      <c r="V89" s="156"/>
      <c r="X89" s="68"/>
      <c r="Y89" s="68"/>
      <c r="Z89" s="68"/>
    </row>
    <row r="90" spans="15:26">
      <c r="O90" s="63"/>
      <c r="P90" s="67"/>
      <c r="Q90" s="155"/>
      <c r="R90" s="155"/>
      <c r="S90" s="155"/>
      <c r="T90" s="155"/>
      <c r="U90" s="155"/>
      <c r="V90" s="156"/>
      <c r="X90" s="68"/>
      <c r="Y90" s="68"/>
      <c r="Z90" s="68"/>
    </row>
    <row r="91" spans="15:26">
      <c r="O91" s="63"/>
      <c r="P91" s="67"/>
      <c r="Q91" s="155"/>
      <c r="R91" s="155"/>
      <c r="S91" s="155"/>
      <c r="T91" s="155"/>
      <c r="U91" s="155"/>
      <c r="V91" s="156"/>
      <c r="X91" s="68"/>
      <c r="Y91" s="68"/>
      <c r="Z91" s="68"/>
    </row>
    <row r="92" spans="15:26">
      <c r="O92" s="63"/>
      <c r="P92" s="67"/>
      <c r="Q92" s="155"/>
      <c r="R92" s="155"/>
      <c r="S92" s="155"/>
      <c r="T92" s="155"/>
      <c r="U92" s="155"/>
      <c r="V92" s="156"/>
      <c r="X92" s="68"/>
      <c r="Y92" s="68"/>
      <c r="Z92" s="68"/>
    </row>
    <row r="93" spans="15:26">
      <c r="O93" s="63"/>
      <c r="P93" s="67"/>
      <c r="Q93" s="155"/>
      <c r="R93" s="155"/>
      <c r="S93" s="155"/>
      <c r="T93" s="155"/>
      <c r="U93" s="155"/>
      <c r="V93" s="156"/>
      <c r="X93" s="68"/>
      <c r="Y93" s="68"/>
      <c r="Z93" s="68"/>
    </row>
    <row r="94" spans="15:26">
      <c r="O94" s="63"/>
      <c r="P94" s="67"/>
      <c r="Q94" s="155"/>
      <c r="R94" s="155"/>
      <c r="S94" s="155"/>
      <c r="T94" s="155"/>
      <c r="U94" s="155"/>
      <c r="V94" s="156"/>
      <c r="X94" s="68"/>
      <c r="Y94" s="68"/>
      <c r="Z94" s="68"/>
    </row>
    <row r="95" spans="15:26">
      <c r="O95" s="63"/>
      <c r="P95" s="67"/>
      <c r="Q95" s="155"/>
      <c r="R95" s="155"/>
      <c r="S95" s="155"/>
      <c r="T95" s="155"/>
      <c r="U95" s="155"/>
      <c r="V95" s="156"/>
      <c r="X95" s="68"/>
      <c r="Y95" s="68"/>
      <c r="Z95" s="68"/>
    </row>
    <row r="96" spans="15:26">
      <c r="O96" s="63"/>
      <c r="P96" s="67"/>
      <c r="Q96" s="155"/>
      <c r="R96" s="155"/>
      <c r="S96" s="155"/>
      <c r="T96" s="155"/>
      <c r="U96" s="155"/>
      <c r="V96" s="156"/>
      <c r="X96" s="68"/>
      <c r="Y96" s="68"/>
      <c r="Z96" s="68"/>
    </row>
    <row r="97" spans="15:26">
      <c r="O97" s="63"/>
      <c r="P97" s="67"/>
      <c r="Q97" s="155"/>
      <c r="R97" s="155"/>
      <c r="S97" s="155"/>
      <c r="T97" s="155"/>
      <c r="U97" s="155"/>
      <c r="V97" s="156"/>
      <c r="X97" s="68"/>
      <c r="Y97" s="68"/>
      <c r="Z97" s="68"/>
    </row>
    <row r="98" spans="15:26">
      <c r="O98" s="63"/>
      <c r="P98" s="67"/>
      <c r="Q98" s="155"/>
      <c r="R98" s="155"/>
      <c r="S98" s="155"/>
      <c r="T98" s="155"/>
      <c r="U98" s="155"/>
      <c r="V98" s="156"/>
      <c r="X98" s="68"/>
      <c r="Y98" s="68"/>
      <c r="Z98" s="68"/>
    </row>
    <row r="99" spans="15:26">
      <c r="O99" s="63"/>
      <c r="P99" s="67"/>
      <c r="Q99" s="155"/>
      <c r="R99" s="155"/>
      <c r="S99" s="155"/>
      <c r="T99" s="155"/>
      <c r="U99" s="155"/>
      <c r="V99" s="156"/>
      <c r="X99" s="68"/>
      <c r="Y99" s="68"/>
      <c r="Z99" s="68"/>
    </row>
    <row r="100" spans="15:26">
      <c r="O100" s="63"/>
      <c r="P100" s="67"/>
      <c r="Q100" s="155"/>
      <c r="R100" s="155"/>
      <c r="S100" s="155"/>
      <c r="T100" s="155"/>
      <c r="U100" s="155"/>
      <c r="V100" s="156"/>
      <c r="X100" s="68"/>
      <c r="Y100" s="68"/>
      <c r="Z100" s="68"/>
    </row>
    <row r="101" spans="15:26">
      <c r="O101" s="63"/>
      <c r="P101" s="67"/>
      <c r="Q101" s="155"/>
      <c r="R101" s="155"/>
      <c r="S101" s="155"/>
      <c r="T101" s="155"/>
      <c r="U101" s="155"/>
      <c r="V101" s="156"/>
      <c r="X101" s="68"/>
      <c r="Y101" s="68"/>
      <c r="Z101" s="68"/>
    </row>
    <row r="102" spans="15:26">
      <c r="O102" s="63"/>
      <c r="P102" s="67"/>
      <c r="Q102" s="155"/>
      <c r="R102" s="155"/>
      <c r="S102" s="155"/>
      <c r="T102" s="155"/>
      <c r="U102" s="155"/>
      <c r="V102" s="156"/>
      <c r="X102" s="68"/>
      <c r="Y102" s="68"/>
      <c r="Z102" s="68"/>
    </row>
    <row r="103" spans="15:26">
      <c r="O103" s="63"/>
      <c r="P103" s="67"/>
      <c r="Q103" s="155"/>
      <c r="R103" s="155"/>
      <c r="S103" s="155"/>
      <c r="T103" s="155"/>
      <c r="U103" s="155"/>
      <c r="V103" s="156"/>
      <c r="X103" s="68"/>
      <c r="Y103" s="68"/>
      <c r="Z103" s="68"/>
    </row>
    <row r="104" spans="15:26">
      <c r="O104" s="63"/>
      <c r="P104" s="67"/>
      <c r="Q104" s="155"/>
      <c r="R104" s="155"/>
      <c r="S104" s="155"/>
      <c r="T104" s="155"/>
      <c r="U104" s="155"/>
      <c r="V104" s="156"/>
      <c r="X104" s="68"/>
      <c r="Y104" s="68"/>
      <c r="Z104" s="68"/>
    </row>
    <row r="105" spans="15:26">
      <c r="O105" s="63"/>
      <c r="P105" s="67"/>
      <c r="Q105" s="155"/>
      <c r="R105" s="155"/>
      <c r="S105" s="155"/>
      <c r="T105" s="155"/>
      <c r="U105" s="155"/>
      <c r="V105" s="156"/>
      <c r="X105" s="68"/>
      <c r="Y105" s="68"/>
      <c r="Z105" s="68"/>
    </row>
    <row r="106" spans="15:26">
      <c r="O106" s="63"/>
      <c r="P106" s="67"/>
      <c r="Q106" s="155"/>
      <c r="R106" s="155"/>
      <c r="S106" s="155"/>
      <c r="T106" s="155"/>
      <c r="U106" s="155"/>
      <c r="V106" s="156"/>
      <c r="X106" s="68"/>
      <c r="Y106" s="68"/>
      <c r="Z106" s="68"/>
    </row>
    <row r="107" spans="15:26">
      <c r="O107" s="63"/>
      <c r="P107" s="67"/>
      <c r="Q107" s="155"/>
      <c r="R107" s="155"/>
      <c r="S107" s="155"/>
      <c r="T107" s="155"/>
      <c r="U107" s="155"/>
      <c r="V107" s="156"/>
      <c r="X107" s="68"/>
      <c r="Y107" s="68"/>
      <c r="Z107" s="68"/>
    </row>
    <row r="108" spans="15:26">
      <c r="O108" s="63"/>
      <c r="P108" s="67"/>
      <c r="Q108" s="155"/>
      <c r="R108" s="155"/>
      <c r="S108" s="155"/>
      <c r="T108" s="155"/>
      <c r="U108" s="155"/>
      <c r="V108" s="156"/>
      <c r="X108" s="68"/>
      <c r="Y108" s="68"/>
      <c r="Z108" s="68"/>
    </row>
    <row r="109" spans="15:26">
      <c r="O109" s="63"/>
      <c r="P109" s="67"/>
      <c r="Q109" s="155"/>
      <c r="R109" s="155"/>
      <c r="S109" s="155"/>
      <c r="T109" s="155"/>
      <c r="U109" s="155"/>
      <c r="V109" s="156"/>
      <c r="X109" s="68"/>
      <c r="Y109" s="68"/>
      <c r="Z109" s="68"/>
    </row>
    <row r="110" spans="15:26">
      <c r="O110" s="63"/>
      <c r="P110" s="67"/>
      <c r="Q110" s="155"/>
      <c r="R110" s="155"/>
      <c r="S110" s="155"/>
      <c r="T110" s="155"/>
      <c r="U110" s="155"/>
      <c r="V110" s="156"/>
      <c r="X110" s="68"/>
      <c r="Y110" s="68"/>
      <c r="Z110" s="68"/>
    </row>
    <row r="111" spans="15:26">
      <c r="O111" s="63"/>
      <c r="P111" s="67"/>
      <c r="Q111" s="155"/>
      <c r="R111" s="155"/>
      <c r="S111" s="155"/>
      <c r="T111" s="155"/>
      <c r="U111" s="155"/>
      <c r="V111" s="156"/>
      <c r="X111" s="68"/>
      <c r="Y111" s="68"/>
      <c r="Z111" s="68"/>
    </row>
    <row r="112" spans="15:26">
      <c r="O112" s="63"/>
      <c r="P112" s="67"/>
      <c r="Q112" s="155"/>
      <c r="R112" s="155"/>
      <c r="S112" s="155"/>
      <c r="T112" s="155"/>
      <c r="U112" s="155"/>
      <c r="V112" s="156"/>
      <c r="X112" s="68"/>
      <c r="Y112" s="68"/>
      <c r="Z112" s="68"/>
    </row>
    <row r="113" spans="15:26">
      <c r="O113" s="63"/>
      <c r="P113" s="67"/>
      <c r="Q113" s="155"/>
      <c r="R113" s="155"/>
      <c r="S113" s="155"/>
      <c r="T113" s="155"/>
      <c r="U113" s="155"/>
      <c r="V113" s="156"/>
      <c r="X113" s="68"/>
      <c r="Y113" s="68"/>
      <c r="Z113" s="68"/>
    </row>
    <row r="114" spans="15:26">
      <c r="O114" s="63"/>
      <c r="P114" s="67"/>
      <c r="Q114" s="155"/>
      <c r="R114" s="155"/>
      <c r="S114" s="155"/>
      <c r="T114" s="155"/>
      <c r="U114" s="155"/>
      <c r="V114" s="156"/>
      <c r="X114" s="68"/>
      <c r="Y114" s="68"/>
      <c r="Z114" s="68"/>
    </row>
    <row r="115" spans="15:26">
      <c r="O115" s="64">
        <v>42278</v>
      </c>
      <c r="P115" s="67"/>
      <c r="Q115" s="155"/>
      <c r="R115" s="155"/>
      <c r="S115" s="155"/>
      <c r="T115" s="155"/>
      <c r="U115" s="155"/>
      <c r="V115" s="156"/>
      <c r="X115" s="68"/>
      <c r="Y115" s="68"/>
      <c r="Z115" s="68"/>
    </row>
    <row r="116" spans="15:26">
      <c r="O116" s="64"/>
      <c r="P116" s="67"/>
      <c r="Q116" s="155"/>
      <c r="R116" s="155"/>
      <c r="S116" s="155"/>
      <c r="T116" s="155"/>
      <c r="U116" s="155"/>
      <c r="V116" s="156"/>
      <c r="X116" s="68"/>
      <c r="Y116" s="68"/>
      <c r="Z116" s="68"/>
    </row>
    <row r="117" spans="15:26">
      <c r="O117" s="63"/>
      <c r="P117" s="67"/>
      <c r="Q117" s="155"/>
      <c r="R117" s="155"/>
      <c r="S117" s="155"/>
      <c r="T117" s="155"/>
      <c r="U117" s="155"/>
      <c r="V117" s="156"/>
      <c r="X117" s="68"/>
      <c r="Y117" s="68"/>
      <c r="Z117" s="68"/>
    </row>
    <row r="118" spans="15:26">
      <c r="O118" s="63"/>
      <c r="P118" s="67"/>
      <c r="Q118" s="155"/>
      <c r="R118" s="155"/>
      <c r="S118" s="155"/>
      <c r="T118" s="155"/>
      <c r="U118" s="155"/>
      <c r="V118" s="156"/>
      <c r="X118" s="68"/>
      <c r="Y118" s="68"/>
      <c r="Z118" s="68"/>
    </row>
    <row r="119" spans="15:26">
      <c r="O119" s="63"/>
      <c r="P119" s="67"/>
      <c r="Q119" s="155"/>
      <c r="R119" s="155"/>
      <c r="S119" s="155"/>
      <c r="T119" s="155"/>
      <c r="U119" s="155"/>
      <c r="V119" s="156"/>
      <c r="X119" s="68"/>
      <c r="Y119" s="68"/>
      <c r="Z119" s="68"/>
    </row>
    <row r="120" spans="15:26">
      <c r="O120" s="63"/>
      <c r="P120" s="67"/>
      <c r="Q120" s="155"/>
      <c r="R120" s="155"/>
      <c r="S120" s="155"/>
      <c r="T120" s="155"/>
      <c r="U120" s="155"/>
      <c r="V120" s="156"/>
      <c r="X120" s="68"/>
      <c r="Y120" s="68"/>
      <c r="Z120" s="68"/>
    </row>
    <row r="121" spans="15:26">
      <c r="O121" s="63"/>
      <c r="P121" s="67"/>
      <c r="Q121" s="155"/>
      <c r="R121" s="155"/>
      <c r="S121" s="155"/>
      <c r="T121" s="155"/>
      <c r="U121" s="155"/>
      <c r="V121" s="156"/>
      <c r="X121" s="68"/>
      <c r="Y121" s="68"/>
      <c r="Z121" s="68"/>
    </row>
    <row r="122" spans="15:26">
      <c r="O122" s="63"/>
      <c r="P122" s="67"/>
      <c r="Q122" s="155"/>
      <c r="R122" s="155"/>
      <c r="S122" s="155"/>
      <c r="T122" s="155"/>
      <c r="U122" s="155"/>
      <c r="V122" s="156"/>
      <c r="X122" s="68"/>
      <c r="Y122" s="68"/>
      <c r="Z122" s="68"/>
    </row>
    <row r="123" spans="15:26">
      <c r="O123" s="63"/>
      <c r="P123" s="67"/>
      <c r="Q123" s="155"/>
      <c r="R123" s="155"/>
      <c r="S123" s="155"/>
      <c r="T123" s="155"/>
      <c r="U123" s="155"/>
      <c r="V123" s="156"/>
      <c r="X123" s="68"/>
      <c r="Y123" s="68"/>
      <c r="Z123" s="68"/>
    </row>
    <row r="124" spans="15:26">
      <c r="O124" s="63"/>
      <c r="P124" s="67"/>
      <c r="Q124" s="155"/>
      <c r="R124" s="155"/>
      <c r="S124" s="155"/>
      <c r="T124" s="155"/>
      <c r="U124" s="155"/>
      <c r="V124" s="156"/>
      <c r="X124" s="68"/>
      <c r="Y124" s="68"/>
      <c r="Z124" s="68"/>
    </row>
    <row r="125" spans="15:26">
      <c r="O125" s="63"/>
      <c r="P125" s="67"/>
      <c r="Q125" s="155"/>
      <c r="R125" s="155"/>
      <c r="S125" s="155"/>
      <c r="T125" s="155"/>
      <c r="U125" s="155"/>
      <c r="V125" s="156"/>
      <c r="X125" s="68"/>
      <c r="Y125" s="68"/>
      <c r="Z125" s="68"/>
    </row>
    <row r="126" spans="15:26">
      <c r="O126" s="63"/>
      <c r="P126" s="67"/>
      <c r="Q126" s="155"/>
      <c r="R126" s="155"/>
      <c r="S126" s="155"/>
      <c r="T126" s="155"/>
      <c r="U126" s="155"/>
      <c r="V126" s="156"/>
      <c r="X126" s="68"/>
      <c r="Y126" s="68"/>
      <c r="Z126" s="68"/>
    </row>
    <row r="127" spans="15:26">
      <c r="O127" s="63"/>
      <c r="P127" s="67"/>
      <c r="Q127" s="155"/>
      <c r="R127" s="155"/>
      <c r="S127" s="155"/>
      <c r="T127" s="155"/>
      <c r="U127" s="155"/>
      <c r="V127" s="156"/>
      <c r="X127" s="68"/>
      <c r="Y127" s="68"/>
      <c r="Z127" s="68"/>
    </row>
    <row r="128" spans="15:26">
      <c r="O128" s="63"/>
      <c r="P128" s="67"/>
      <c r="Q128" s="155"/>
      <c r="R128" s="155"/>
      <c r="S128" s="155"/>
      <c r="T128" s="155"/>
      <c r="U128" s="155"/>
      <c r="V128" s="156"/>
      <c r="X128" s="68"/>
      <c r="Y128" s="68"/>
      <c r="Z128" s="68"/>
    </row>
    <row r="129" spans="15:26">
      <c r="O129" s="63"/>
      <c r="P129" s="67"/>
      <c r="Q129" s="155"/>
      <c r="R129" s="155"/>
      <c r="S129" s="155"/>
      <c r="T129" s="155"/>
      <c r="U129" s="155"/>
      <c r="V129" s="156"/>
      <c r="X129" s="68"/>
      <c r="Y129" s="68"/>
      <c r="Z129" s="68"/>
    </row>
    <row r="130" spans="15:26">
      <c r="O130" s="63"/>
      <c r="P130" s="67"/>
      <c r="Q130" s="155"/>
      <c r="R130" s="155"/>
      <c r="S130" s="155"/>
      <c r="T130" s="155"/>
      <c r="U130" s="155"/>
      <c r="V130" s="156"/>
      <c r="X130" s="68"/>
      <c r="Y130" s="68"/>
      <c r="Z130" s="68"/>
    </row>
    <row r="131" spans="15:26">
      <c r="O131" s="63"/>
      <c r="P131" s="67"/>
      <c r="Q131" s="155"/>
      <c r="R131" s="155"/>
      <c r="S131" s="155"/>
      <c r="T131" s="155"/>
      <c r="U131" s="155"/>
      <c r="V131" s="156"/>
      <c r="X131" s="68"/>
      <c r="Y131" s="68"/>
      <c r="Z131" s="68"/>
    </row>
    <row r="132" spans="15:26">
      <c r="O132" s="63"/>
      <c r="P132" s="67"/>
      <c r="Q132" s="155"/>
      <c r="R132" s="155"/>
      <c r="S132" s="155"/>
      <c r="T132" s="155"/>
      <c r="U132" s="155"/>
      <c r="V132" s="156"/>
      <c r="X132" s="68"/>
      <c r="Y132" s="68"/>
      <c r="Z132" s="68"/>
    </row>
    <row r="133" spans="15:26">
      <c r="O133" s="63"/>
      <c r="P133" s="67"/>
      <c r="Q133" s="155"/>
      <c r="R133" s="155"/>
      <c r="S133" s="155"/>
      <c r="T133" s="155"/>
      <c r="U133" s="155"/>
      <c r="V133" s="156"/>
      <c r="X133" s="68"/>
      <c r="Y133" s="68"/>
      <c r="Z133" s="68"/>
    </row>
    <row r="134" spans="15:26">
      <c r="O134" s="63"/>
      <c r="P134" s="67"/>
      <c r="Q134" s="155"/>
      <c r="R134" s="155"/>
      <c r="S134" s="155"/>
      <c r="T134" s="155"/>
      <c r="U134" s="155"/>
      <c r="V134" s="156"/>
      <c r="X134" s="68"/>
      <c r="Y134" s="68"/>
      <c r="Z134" s="68"/>
    </row>
    <row r="135" spans="15:26">
      <c r="O135" s="63"/>
      <c r="P135" s="67"/>
      <c r="Q135" s="155"/>
      <c r="R135" s="155"/>
      <c r="S135" s="155"/>
      <c r="T135" s="155"/>
      <c r="U135" s="155"/>
      <c r="V135" s="156"/>
      <c r="X135" s="68"/>
      <c r="Y135" s="68"/>
      <c r="Z135" s="68"/>
    </row>
    <row r="136" spans="15:26">
      <c r="O136" s="63"/>
      <c r="P136" s="67"/>
      <c r="Q136" s="155"/>
      <c r="R136" s="155"/>
      <c r="S136" s="155"/>
      <c r="T136" s="155"/>
      <c r="U136" s="155"/>
      <c r="V136" s="156"/>
      <c r="X136" s="68"/>
      <c r="Y136" s="68"/>
      <c r="Z136" s="68"/>
    </row>
    <row r="137" spans="15:26">
      <c r="O137" s="63"/>
      <c r="P137" s="67"/>
      <c r="Q137" s="155"/>
      <c r="R137" s="155"/>
      <c r="S137" s="155"/>
      <c r="T137" s="155"/>
      <c r="U137" s="155"/>
      <c r="V137" s="156"/>
      <c r="X137" s="68"/>
      <c r="Y137" s="68"/>
      <c r="Z137" s="68"/>
    </row>
    <row r="138" spans="15:26">
      <c r="O138" s="63"/>
      <c r="P138" s="67"/>
      <c r="Q138" s="155"/>
      <c r="R138" s="155"/>
      <c r="S138" s="155"/>
      <c r="T138" s="155"/>
      <c r="U138" s="155"/>
      <c r="V138" s="156"/>
      <c r="X138" s="68"/>
      <c r="Y138" s="68"/>
      <c r="Z138" s="68"/>
    </row>
    <row r="139" spans="15:26">
      <c r="O139" s="63"/>
      <c r="P139" s="67"/>
      <c r="Q139" s="155"/>
      <c r="R139" s="155"/>
      <c r="S139" s="155"/>
      <c r="T139" s="155"/>
      <c r="U139" s="155"/>
      <c r="V139" s="156"/>
      <c r="X139" s="68"/>
      <c r="Y139" s="68"/>
      <c r="Z139" s="68"/>
    </row>
    <row r="140" spans="15:26">
      <c r="O140" s="63"/>
      <c r="P140" s="67"/>
      <c r="Q140" s="155"/>
      <c r="R140" s="155"/>
      <c r="S140" s="155"/>
      <c r="T140" s="155"/>
      <c r="U140" s="155"/>
      <c r="V140" s="156"/>
      <c r="X140" s="68"/>
      <c r="Y140" s="68"/>
      <c r="Z140" s="68"/>
    </row>
    <row r="141" spans="15:26">
      <c r="O141" s="63"/>
      <c r="P141" s="67"/>
      <c r="Q141" s="155"/>
      <c r="R141" s="155"/>
      <c r="S141" s="155"/>
      <c r="T141" s="155"/>
      <c r="U141" s="155"/>
      <c r="V141" s="156"/>
      <c r="X141" s="68"/>
      <c r="Y141" s="68"/>
      <c r="Z141" s="68"/>
    </row>
    <row r="142" spans="15:26">
      <c r="O142" s="63"/>
      <c r="P142" s="67"/>
      <c r="Q142" s="155"/>
      <c r="R142" s="155"/>
      <c r="S142" s="155"/>
      <c r="T142" s="155"/>
      <c r="U142" s="155"/>
      <c r="V142" s="156"/>
      <c r="X142" s="68"/>
      <c r="Y142" s="68"/>
      <c r="Z142" s="68"/>
    </row>
    <row r="143" spans="15:26">
      <c r="O143" s="63"/>
      <c r="P143" s="67"/>
      <c r="Q143" s="155"/>
      <c r="R143" s="155"/>
      <c r="S143" s="155"/>
      <c r="T143" s="155"/>
      <c r="U143" s="155"/>
      <c r="V143" s="156"/>
      <c r="X143" s="68"/>
      <c r="Y143" s="68"/>
      <c r="Z143" s="68"/>
    </row>
    <row r="144" spans="15:26">
      <c r="O144" s="63"/>
      <c r="P144" s="67"/>
      <c r="Q144" s="155"/>
      <c r="R144" s="155"/>
      <c r="S144" s="155"/>
      <c r="T144" s="155"/>
      <c r="U144" s="155"/>
      <c r="V144" s="156"/>
      <c r="X144" s="68"/>
      <c r="Y144" s="68"/>
      <c r="Z144" s="68"/>
    </row>
    <row r="145" spans="15:26">
      <c r="O145" s="63"/>
      <c r="P145" s="67"/>
      <c r="Q145" s="155"/>
      <c r="R145" s="155"/>
      <c r="S145" s="155"/>
      <c r="T145" s="155"/>
      <c r="U145" s="155"/>
      <c r="V145" s="156"/>
      <c r="X145" s="68"/>
      <c r="Y145" s="68"/>
      <c r="Z145" s="68"/>
    </row>
    <row r="146" spans="15:26">
      <c r="O146" s="64">
        <v>42309</v>
      </c>
      <c r="P146" s="67"/>
      <c r="Q146" s="155"/>
      <c r="R146" s="155"/>
      <c r="S146" s="155"/>
      <c r="T146" s="155"/>
      <c r="U146" s="155"/>
      <c r="V146" s="156"/>
      <c r="X146" s="68"/>
      <c r="Y146" s="68"/>
      <c r="Z146" s="68"/>
    </row>
    <row r="147" spans="15:26">
      <c r="O147" s="64"/>
      <c r="P147" s="67"/>
      <c r="Q147" s="155"/>
      <c r="R147" s="155"/>
      <c r="S147" s="155"/>
      <c r="T147" s="155"/>
      <c r="U147" s="155"/>
      <c r="V147" s="156"/>
      <c r="X147" s="68"/>
      <c r="Y147" s="68"/>
      <c r="Z147" s="68"/>
    </row>
    <row r="148" spans="15:26">
      <c r="O148" s="63"/>
      <c r="P148" s="67"/>
      <c r="Q148" s="155"/>
      <c r="R148" s="155"/>
      <c r="S148" s="155"/>
      <c r="T148" s="155"/>
      <c r="U148" s="155"/>
      <c r="V148" s="156"/>
      <c r="X148" s="68"/>
      <c r="Y148" s="68"/>
      <c r="Z148" s="68"/>
    </row>
    <row r="149" spans="15:26">
      <c r="O149" s="63"/>
      <c r="P149" s="67"/>
      <c r="Q149" s="155"/>
      <c r="R149" s="155"/>
      <c r="S149" s="155"/>
      <c r="T149" s="155"/>
      <c r="U149" s="155"/>
      <c r="V149" s="156"/>
      <c r="X149" s="68"/>
      <c r="Y149" s="68"/>
      <c r="Z149" s="68"/>
    </row>
    <row r="150" spans="15:26">
      <c r="O150" s="63"/>
      <c r="P150" s="67"/>
      <c r="Q150" s="155"/>
      <c r="R150" s="155"/>
      <c r="S150" s="155"/>
      <c r="T150" s="155"/>
      <c r="U150" s="155"/>
      <c r="V150" s="156"/>
      <c r="X150" s="68"/>
      <c r="Y150" s="68"/>
      <c r="Z150" s="68"/>
    </row>
    <row r="151" spans="15:26">
      <c r="O151" s="63"/>
      <c r="P151" s="67"/>
      <c r="Q151" s="155"/>
      <c r="R151" s="155"/>
      <c r="S151" s="155"/>
      <c r="T151" s="155"/>
      <c r="U151" s="155"/>
      <c r="V151" s="156"/>
      <c r="X151" s="68"/>
      <c r="Y151" s="68"/>
      <c r="Z151" s="68"/>
    </row>
    <row r="152" spans="15:26">
      <c r="O152" s="63"/>
      <c r="P152" s="67"/>
      <c r="Q152" s="155"/>
      <c r="R152" s="155"/>
      <c r="S152" s="155"/>
      <c r="T152" s="155"/>
      <c r="U152" s="155"/>
      <c r="V152" s="156"/>
      <c r="X152" s="68"/>
      <c r="Y152" s="68"/>
      <c r="Z152" s="68"/>
    </row>
    <row r="153" spans="15:26">
      <c r="O153" s="63"/>
      <c r="P153" s="67"/>
      <c r="Q153" s="155"/>
      <c r="R153" s="155"/>
      <c r="S153" s="155"/>
      <c r="T153" s="155"/>
      <c r="U153" s="155"/>
      <c r="V153" s="156"/>
      <c r="X153" s="68"/>
      <c r="Y153" s="68"/>
      <c r="Z153" s="68"/>
    </row>
    <row r="154" spans="15:26">
      <c r="O154" s="63"/>
      <c r="P154" s="67"/>
      <c r="Q154" s="155"/>
      <c r="R154" s="155"/>
      <c r="S154" s="155"/>
      <c r="T154" s="155"/>
      <c r="U154" s="155"/>
      <c r="V154" s="156"/>
      <c r="X154" s="68"/>
      <c r="Y154" s="68"/>
      <c r="Z154" s="68"/>
    </row>
    <row r="155" spans="15:26">
      <c r="O155" s="63"/>
      <c r="P155" s="67"/>
      <c r="Q155" s="155"/>
      <c r="R155" s="155"/>
      <c r="S155" s="155"/>
      <c r="T155" s="155"/>
      <c r="U155" s="155"/>
      <c r="V155" s="156"/>
      <c r="X155" s="68"/>
      <c r="Y155" s="68"/>
      <c r="Z155" s="68"/>
    </row>
    <row r="156" spans="15:26">
      <c r="O156" s="63"/>
      <c r="P156" s="67"/>
      <c r="Q156" s="155"/>
      <c r="R156" s="155"/>
      <c r="S156" s="155"/>
      <c r="T156" s="155"/>
      <c r="U156" s="155"/>
      <c r="V156" s="156"/>
      <c r="X156" s="68"/>
      <c r="Y156" s="68"/>
      <c r="Z156" s="68"/>
    </row>
    <row r="157" spans="15:26">
      <c r="O157" s="63"/>
      <c r="P157" s="67"/>
      <c r="Q157" s="155"/>
      <c r="R157" s="155"/>
      <c r="S157" s="155"/>
      <c r="T157" s="155"/>
      <c r="U157" s="155"/>
      <c r="V157" s="156"/>
      <c r="X157" s="68"/>
      <c r="Y157" s="68"/>
      <c r="Z157" s="68"/>
    </row>
    <row r="158" spans="15:26">
      <c r="O158" s="63"/>
      <c r="P158" s="67"/>
      <c r="Q158" s="155"/>
      <c r="R158" s="155"/>
      <c r="S158" s="155"/>
      <c r="T158" s="155"/>
      <c r="U158" s="155"/>
      <c r="V158" s="156"/>
      <c r="X158" s="68"/>
      <c r="Y158" s="68"/>
      <c r="Z158" s="68"/>
    </row>
    <row r="159" spans="15:26">
      <c r="O159" s="63"/>
      <c r="P159" s="67"/>
      <c r="Q159" s="155"/>
      <c r="R159" s="155"/>
      <c r="S159" s="155"/>
      <c r="T159" s="155"/>
      <c r="U159" s="155"/>
      <c r="V159" s="156"/>
      <c r="X159" s="68"/>
      <c r="Y159" s="68"/>
      <c r="Z159" s="68"/>
    </row>
    <row r="160" spans="15:26">
      <c r="O160" s="63"/>
      <c r="P160" s="67"/>
      <c r="Q160" s="155"/>
      <c r="R160" s="155"/>
      <c r="S160" s="155"/>
      <c r="T160" s="155"/>
      <c r="U160" s="155"/>
      <c r="V160" s="156"/>
      <c r="X160" s="68"/>
      <c r="Y160" s="68"/>
      <c r="Z160" s="68"/>
    </row>
    <row r="161" spans="15:26">
      <c r="O161" s="63"/>
      <c r="P161" s="67"/>
      <c r="Q161" s="155"/>
      <c r="R161" s="155"/>
      <c r="S161" s="155"/>
      <c r="T161" s="155"/>
      <c r="U161" s="155"/>
      <c r="V161" s="156"/>
      <c r="X161" s="68"/>
      <c r="Y161" s="68"/>
      <c r="Z161" s="68"/>
    </row>
    <row r="162" spans="15:26">
      <c r="O162" s="63"/>
      <c r="P162" s="67"/>
      <c r="Q162" s="155"/>
      <c r="R162" s="155"/>
      <c r="S162" s="155"/>
      <c r="T162" s="155"/>
      <c r="U162" s="155"/>
      <c r="V162" s="156"/>
      <c r="X162" s="68"/>
      <c r="Y162" s="68"/>
      <c r="Z162" s="68"/>
    </row>
    <row r="163" spans="15:26">
      <c r="O163" s="63"/>
      <c r="P163" s="67"/>
      <c r="Q163" s="155"/>
      <c r="R163" s="155"/>
      <c r="S163" s="155"/>
      <c r="T163" s="155"/>
      <c r="U163" s="155"/>
      <c r="V163" s="156"/>
      <c r="X163" s="68"/>
      <c r="Y163" s="68"/>
      <c r="Z163" s="68"/>
    </row>
    <row r="164" spans="15:26">
      <c r="O164" s="63"/>
      <c r="P164" s="67"/>
      <c r="Q164" s="155"/>
      <c r="R164" s="155"/>
      <c r="S164" s="155"/>
      <c r="T164" s="155"/>
      <c r="U164" s="155"/>
      <c r="V164" s="156"/>
      <c r="X164" s="68"/>
      <c r="Y164" s="68"/>
      <c r="Z164" s="68"/>
    </row>
    <row r="165" spans="15:26">
      <c r="O165" s="63"/>
      <c r="P165" s="67"/>
      <c r="Q165" s="155"/>
      <c r="R165" s="155"/>
      <c r="S165" s="155"/>
      <c r="T165" s="155"/>
      <c r="U165" s="155"/>
      <c r="V165" s="156"/>
      <c r="X165" s="68"/>
      <c r="Y165" s="68"/>
      <c r="Z165" s="68"/>
    </row>
    <row r="166" spans="15:26">
      <c r="O166" s="63"/>
      <c r="P166" s="67"/>
      <c r="Q166" s="155"/>
      <c r="R166" s="155"/>
      <c r="S166" s="155"/>
      <c r="T166" s="155"/>
      <c r="U166" s="155"/>
      <c r="V166" s="156"/>
      <c r="X166" s="68"/>
      <c r="Y166" s="68"/>
      <c r="Z166" s="68"/>
    </row>
    <row r="167" spans="15:26">
      <c r="O167" s="63"/>
      <c r="P167" s="67"/>
      <c r="Q167" s="155"/>
      <c r="R167" s="155"/>
      <c r="S167" s="155"/>
      <c r="T167" s="155"/>
      <c r="U167" s="155"/>
      <c r="V167" s="156"/>
      <c r="X167" s="68"/>
      <c r="Y167" s="68"/>
      <c r="Z167" s="68"/>
    </row>
    <row r="168" spans="15:26">
      <c r="O168" s="63"/>
      <c r="P168" s="67"/>
      <c r="Q168" s="155"/>
      <c r="R168" s="155"/>
      <c r="S168" s="155"/>
      <c r="T168" s="155"/>
      <c r="U168" s="155"/>
      <c r="V168" s="156"/>
      <c r="X168" s="68"/>
      <c r="Y168" s="68"/>
      <c r="Z168" s="68"/>
    </row>
    <row r="169" spans="15:26">
      <c r="O169" s="63"/>
      <c r="P169" s="67"/>
      <c r="Q169" s="155"/>
      <c r="R169" s="155"/>
      <c r="S169" s="155"/>
      <c r="T169" s="155"/>
      <c r="U169" s="155"/>
      <c r="V169" s="156"/>
      <c r="X169" s="68"/>
      <c r="Y169" s="68"/>
      <c r="Z169" s="68"/>
    </row>
    <row r="170" spans="15:26">
      <c r="O170" s="63"/>
      <c r="P170" s="67"/>
      <c r="Q170" s="155"/>
      <c r="R170" s="155"/>
      <c r="S170" s="155"/>
      <c r="T170" s="155"/>
      <c r="U170" s="155"/>
      <c r="V170" s="156"/>
      <c r="X170" s="68"/>
      <c r="Y170" s="68"/>
      <c r="Z170" s="68"/>
    </row>
    <row r="171" spans="15:26">
      <c r="O171" s="63"/>
      <c r="P171" s="67"/>
      <c r="Q171" s="155"/>
      <c r="R171" s="155"/>
      <c r="S171" s="155"/>
      <c r="T171" s="155"/>
      <c r="U171" s="155"/>
      <c r="V171" s="156"/>
      <c r="X171" s="68"/>
      <c r="Y171" s="68"/>
      <c r="Z171" s="68"/>
    </row>
    <row r="172" spans="15:26">
      <c r="O172" s="63"/>
      <c r="P172" s="67"/>
      <c r="Q172" s="155"/>
      <c r="R172" s="155"/>
      <c r="S172" s="155"/>
      <c r="T172" s="155"/>
      <c r="U172" s="155"/>
      <c r="V172" s="156"/>
      <c r="X172" s="68"/>
      <c r="Y172" s="68"/>
      <c r="Z172" s="68"/>
    </row>
    <row r="173" spans="15:26">
      <c r="O173" s="63"/>
      <c r="P173" s="67"/>
      <c r="Q173" s="155"/>
      <c r="R173" s="155"/>
      <c r="S173" s="155"/>
      <c r="T173" s="155"/>
      <c r="U173" s="155"/>
      <c r="V173" s="156"/>
      <c r="X173" s="68"/>
      <c r="Y173" s="68"/>
      <c r="Z173" s="68"/>
    </row>
    <row r="174" spans="15:26">
      <c r="O174" s="63"/>
      <c r="P174" s="67"/>
      <c r="Q174" s="155"/>
      <c r="R174" s="155"/>
      <c r="S174" s="155"/>
      <c r="T174" s="155"/>
      <c r="U174" s="155"/>
      <c r="V174" s="156"/>
      <c r="X174" s="68"/>
      <c r="Y174" s="68"/>
      <c r="Z174" s="68"/>
    </row>
    <row r="175" spans="15:26">
      <c r="O175" s="63"/>
      <c r="P175" s="67"/>
      <c r="Q175" s="155"/>
      <c r="R175" s="155"/>
      <c r="S175" s="155"/>
      <c r="T175" s="155"/>
      <c r="U175" s="155"/>
      <c r="V175" s="156"/>
      <c r="X175" s="68"/>
      <c r="Y175" s="68"/>
      <c r="Z175" s="68"/>
    </row>
    <row r="176" spans="15:26">
      <c r="O176" s="64">
        <v>42339</v>
      </c>
      <c r="P176" s="67"/>
      <c r="Q176" s="155"/>
      <c r="R176" s="155"/>
      <c r="S176" s="155"/>
      <c r="T176" s="155"/>
      <c r="U176" s="155"/>
      <c r="V176" s="156"/>
      <c r="X176" s="68"/>
      <c r="Y176" s="68"/>
      <c r="Z176" s="68"/>
    </row>
    <row r="177" spans="15:26">
      <c r="O177" s="64"/>
      <c r="P177" s="67"/>
      <c r="Q177" s="155"/>
      <c r="R177" s="155"/>
      <c r="S177" s="155"/>
      <c r="T177" s="155"/>
      <c r="U177" s="155"/>
      <c r="V177" s="156"/>
      <c r="X177" s="68"/>
      <c r="Y177" s="68"/>
      <c r="Z177" s="68"/>
    </row>
    <row r="178" spans="15:26">
      <c r="O178" s="63"/>
      <c r="P178" s="67"/>
      <c r="Q178" s="155"/>
      <c r="R178" s="155"/>
      <c r="S178" s="155"/>
      <c r="T178" s="155"/>
      <c r="U178" s="155"/>
      <c r="V178" s="156"/>
      <c r="X178" s="68"/>
      <c r="Y178" s="68"/>
      <c r="Z178" s="68"/>
    </row>
    <row r="179" spans="15:26">
      <c r="O179" s="63"/>
      <c r="P179" s="67"/>
      <c r="Q179" s="155"/>
      <c r="R179" s="155"/>
      <c r="S179" s="155"/>
      <c r="T179" s="155"/>
      <c r="U179" s="155"/>
      <c r="V179" s="156"/>
      <c r="X179" s="68"/>
      <c r="Y179" s="68"/>
      <c r="Z179" s="68"/>
    </row>
    <row r="180" spans="15:26">
      <c r="O180" s="63"/>
      <c r="P180" s="67"/>
      <c r="Q180" s="155"/>
      <c r="R180" s="155"/>
      <c r="S180" s="155"/>
      <c r="T180" s="155"/>
      <c r="U180" s="155"/>
      <c r="V180" s="156"/>
      <c r="X180" s="68"/>
      <c r="Y180" s="68"/>
      <c r="Z180" s="68"/>
    </row>
    <row r="181" spans="15:26">
      <c r="O181" s="63"/>
      <c r="P181" s="67"/>
      <c r="Q181" s="155"/>
      <c r="R181" s="155"/>
      <c r="S181" s="155"/>
      <c r="T181" s="155"/>
      <c r="U181" s="155"/>
      <c r="V181" s="156"/>
      <c r="X181" s="68"/>
      <c r="Y181" s="68"/>
      <c r="Z181" s="68"/>
    </row>
    <row r="182" spans="15:26">
      <c r="O182" s="63"/>
      <c r="P182" s="67"/>
      <c r="Q182" s="155"/>
      <c r="R182" s="155"/>
      <c r="S182" s="155"/>
      <c r="T182" s="155"/>
      <c r="U182" s="155"/>
      <c r="V182" s="156"/>
      <c r="X182" s="68"/>
      <c r="Y182" s="68"/>
      <c r="Z182" s="68"/>
    </row>
    <row r="183" spans="15:26">
      <c r="O183" s="63"/>
      <c r="P183" s="67"/>
      <c r="Q183" s="155"/>
      <c r="R183" s="155"/>
      <c r="S183" s="155"/>
      <c r="T183" s="155"/>
      <c r="U183" s="155"/>
      <c r="V183" s="156"/>
      <c r="X183" s="68"/>
      <c r="Y183" s="68"/>
      <c r="Z183" s="68"/>
    </row>
    <row r="184" spans="15:26">
      <c r="O184" s="63"/>
      <c r="P184" s="67"/>
      <c r="Q184" s="155"/>
      <c r="R184" s="155"/>
      <c r="S184" s="155"/>
      <c r="T184" s="155"/>
      <c r="U184" s="155"/>
      <c r="V184" s="156"/>
      <c r="X184" s="68"/>
      <c r="Y184" s="68"/>
      <c r="Z184" s="68"/>
    </row>
    <row r="185" spans="15:26">
      <c r="O185" s="63"/>
      <c r="P185" s="67"/>
      <c r="Q185" s="155"/>
      <c r="R185" s="155"/>
      <c r="S185" s="155"/>
      <c r="T185" s="155"/>
      <c r="U185" s="155"/>
      <c r="V185" s="156"/>
      <c r="X185" s="68"/>
      <c r="Y185" s="68"/>
      <c r="Z185" s="68"/>
    </row>
    <row r="186" spans="15:26">
      <c r="O186" s="63"/>
      <c r="P186" s="67"/>
      <c r="Q186" s="155"/>
      <c r="R186" s="155"/>
      <c r="S186" s="155"/>
      <c r="T186" s="155"/>
      <c r="U186" s="155"/>
      <c r="V186" s="156"/>
      <c r="X186" s="68"/>
      <c r="Y186" s="68"/>
      <c r="Z186" s="68"/>
    </row>
    <row r="187" spans="15:26">
      <c r="O187" s="63"/>
      <c r="P187" s="67"/>
      <c r="Q187" s="155"/>
      <c r="R187" s="155"/>
      <c r="S187" s="155"/>
      <c r="T187" s="155"/>
      <c r="U187" s="155"/>
      <c r="V187" s="156"/>
      <c r="X187" s="68"/>
      <c r="Y187" s="68"/>
      <c r="Z187" s="68"/>
    </row>
    <row r="188" spans="15:26">
      <c r="O188" s="63"/>
      <c r="P188" s="67"/>
      <c r="Q188" s="155"/>
      <c r="R188" s="155"/>
      <c r="S188" s="155"/>
      <c r="T188" s="155"/>
      <c r="U188" s="155"/>
      <c r="V188" s="156"/>
      <c r="X188" s="68"/>
      <c r="Y188" s="68"/>
      <c r="Z188" s="68"/>
    </row>
    <row r="189" spans="15:26">
      <c r="O189" s="63"/>
      <c r="P189" s="67"/>
      <c r="Q189" s="155"/>
      <c r="R189" s="155"/>
      <c r="S189" s="155"/>
      <c r="T189" s="155"/>
      <c r="U189" s="155"/>
      <c r="V189" s="156"/>
      <c r="X189" s="68"/>
      <c r="Y189" s="68"/>
      <c r="Z189" s="68"/>
    </row>
    <row r="190" spans="15:26">
      <c r="O190" s="63"/>
      <c r="P190" s="67"/>
      <c r="Q190" s="155"/>
      <c r="R190" s="155"/>
      <c r="S190" s="155"/>
      <c r="T190" s="155"/>
      <c r="U190" s="155"/>
      <c r="V190" s="156"/>
      <c r="X190" s="68"/>
      <c r="Y190" s="68"/>
      <c r="Z190" s="68"/>
    </row>
    <row r="191" spans="15:26">
      <c r="O191" s="63"/>
      <c r="P191" s="67"/>
      <c r="Q191" s="155"/>
      <c r="R191" s="155"/>
      <c r="S191" s="155"/>
      <c r="T191" s="155"/>
      <c r="U191" s="155"/>
      <c r="V191" s="156"/>
      <c r="X191" s="68"/>
      <c r="Y191" s="68"/>
      <c r="Z191" s="68"/>
    </row>
    <row r="192" spans="15:26">
      <c r="O192" s="63"/>
      <c r="P192" s="67"/>
      <c r="Q192" s="155"/>
      <c r="R192" s="155"/>
      <c r="S192" s="155"/>
      <c r="T192" s="155"/>
      <c r="U192" s="155"/>
      <c r="V192" s="156"/>
      <c r="X192" s="68"/>
      <c r="Y192" s="68"/>
      <c r="Z192" s="68"/>
    </row>
    <row r="193" spans="15:26">
      <c r="O193" s="63"/>
      <c r="P193" s="67"/>
      <c r="Q193" s="155"/>
      <c r="R193" s="155"/>
      <c r="S193" s="155"/>
      <c r="T193" s="155"/>
      <c r="U193" s="155"/>
      <c r="V193" s="156"/>
      <c r="X193" s="68"/>
      <c r="Y193" s="68"/>
      <c r="Z193" s="68"/>
    </row>
    <row r="194" spans="15:26">
      <c r="O194" s="63"/>
      <c r="P194" s="67"/>
      <c r="Q194" s="155"/>
      <c r="R194" s="155"/>
      <c r="S194" s="155"/>
      <c r="T194" s="155"/>
      <c r="U194" s="155"/>
      <c r="V194" s="156"/>
      <c r="X194" s="68"/>
      <c r="Y194" s="68"/>
      <c r="Z194" s="68"/>
    </row>
    <row r="195" spans="15:26">
      <c r="O195" s="63"/>
      <c r="P195" s="67"/>
      <c r="Q195" s="155"/>
      <c r="R195" s="155"/>
      <c r="S195" s="155"/>
      <c r="T195" s="155"/>
      <c r="U195" s="155"/>
      <c r="V195" s="156"/>
      <c r="X195" s="68"/>
      <c r="Y195" s="68"/>
      <c r="Z195" s="68"/>
    </row>
    <row r="196" spans="15:26">
      <c r="O196" s="63"/>
      <c r="P196" s="67"/>
      <c r="Q196" s="155"/>
      <c r="R196" s="155"/>
      <c r="S196" s="155"/>
      <c r="T196" s="155"/>
      <c r="U196" s="155"/>
      <c r="V196" s="156"/>
      <c r="X196" s="68"/>
      <c r="Y196" s="68"/>
      <c r="Z196" s="68"/>
    </row>
    <row r="197" spans="15:26">
      <c r="O197" s="63"/>
      <c r="P197" s="67"/>
      <c r="Q197" s="155"/>
      <c r="R197" s="155"/>
      <c r="S197" s="155"/>
      <c r="T197" s="155"/>
      <c r="U197" s="155"/>
      <c r="V197" s="156"/>
      <c r="X197" s="68"/>
      <c r="Y197" s="68"/>
      <c r="Z197" s="68"/>
    </row>
    <row r="198" spans="15:26">
      <c r="O198" s="63"/>
      <c r="P198" s="67"/>
      <c r="Q198" s="155"/>
      <c r="R198" s="155"/>
      <c r="S198" s="155"/>
      <c r="T198" s="155"/>
      <c r="U198" s="155"/>
      <c r="V198" s="156"/>
      <c r="X198" s="68"/>
      <c r="Y198" s="68"/>
      <c r="Z198" s="68"/>
    </row>
    <row r="199" spans="15:26">
      <c r="O199" s="63"/>
      <c r="P199" s="67"/>
      <c r="Q199" s="155"/>
      <c r="R199" s="155"/>
      <c r="S199" s="155"/>
      <c r="T199" s="155"/>
      <c r="U199" s="155"/>
      <c r="V199" s="156"/>
      <c r="X199" s="68"/>
      <c r="Y199" s="68"/>
      <c r="Z199" s="68"/>
    </row>
    <row r="200" spans="15:26">
      <c r="O200" s="63"/>
      <c r="P200" s="67"/>
      <c r="Q200" s="155"/>
      <c r="R200" s="155"/>
      <c r="S200" s="155"/>
      <c r="T200" s="155"/>
      <c r="U200" s="155"/>
      <c r="V200" s="156"/>
      <c r="X200" s="68"/>
      <c r="Y200" s="68"/>
      <c r="Z200" s="68"/>
    </row>
    <row r="201" spans="15:26">
      <c r="O201" s="63"/>
      <c r="P201" s="67"/>
      <c r="Q201" s="155"/>
      <c r="R201" s="155"/>
      <c r="S201" s="155"/>
      <c r="T201" s="155"/>
      <c r="U201" s="155"/>
      <c r="V201" s="156"/>
      <c r="X201" s="68"/>
      <c r="Y201" s="68"/>
      <c r="Z201" s="68"/>
    </row>
    <row r="202" spans="15:26">
      <c r="O202" s="63"/>
      <c r="P202" s="67"/>
      <c r="Q202" s="155"/>
      <c r="R202" s="155"/>
      <c r="S202" s="155"/>
      <c r="T202" s="155"/>
      <c r="U202" s="155"/>
      <c r="V202" s="156"/>
      <c r="X202" s="68"/>
      <c r="Y202" s="68"/>
      <c r="Z202" s="68"/>
    </row>
    <row r="203" spans="15:26">
      <c r="O203" s="63"/>
      <c r="P203" s="67"/>
      <c r="Q203" s="155"/>
      <c r="R203" s="155"/>
      <c r="S203" s="155"/>
      <c r="T203" s="155"/>
      <c r="U203" s="155"/>
      <c r="V203" s="156"/>
      <c r="X203" s="68"/>
      <c r="Y203" s="68"/>
      <c r="Z203" s="68"/>
    </row>
    <row r="204" spans="15:26">
      <c r="O204" s="63"/>
      <c r="P204" s="67"/>
      <c r="Q204" s="155"/>
      <c r="R204" s="155"/>
      <c r="S204" s="155"/>
      <c r="T204" s="155"/>
      <c r="U204" s="155"/>
      <c r="V204" s="156"/>
      <c r="X204" s="68"/>
      <c r="Y204" s="68"/>
      <c r="Z204" s="68"/>
    </row>
    <row r="205" spans="15:26">
      <c r="O205" s="63"/>
      <c r="P205" s="67"/>
      <c r="Q205" s="155"/>
      <c r="R205" s="155"/>
      <c r="S205" s="155"/>
      <c r="T205" s="155"/>
      <c r="U205" s="155"/>
      <c r="V205" s="156"/>
      <c r="X205" s="68"/>
      <c r="Y205" s="68"/>
      <c r="Z205" s="68"/>
    </row>
    <row r="206" spans="15:26">
      <c r="O206" s="63"/>
      <c r="P206" s="67"/>
      <c r="Q206" s="155"/>
      <c r="R206" s="155"/>
      <c r="S206" s="155"/>
      <c r="T206" s="155"/>
      <c r="U206" s="155"/>
      <c r="V206" s="156"/>
      <c r="X206" s="68"/>
      <c r="Y206" s="68"/>
      <c r="Z206" s="68"/>
    </row>
    <row r="207" spans="15:26">
      <c r="O207" s="64">
        <v>42370</v>
      </c>
      <c r="P207" s="67"/>
      <c r="Q207" s="155"/>
      <c r="R207" s="155"/>
      <c r="S207" s="155"/>
      <c r="T207" s="155"/>
      <c r="U207" s="155"/>
      <c r="V207" s="156"/>
      <c r="X207" s="68"/>
      <c r="Y207" s="68"/>
      <c r="Z207" s="68"/>
    </row>
    <row r="208" spans="15:26">
      <c r="O208" s="64"/>
      <c r="P208" s="67"/>
      <c r="Q208" s="155"/>
      <c r="R208" s="155"/>
      <c r="S208" s="155"/>
      <c r="T208" s="155"/>
      <c r="U208" s="155"/>
      <c r="V208" s="156"/>
      <c r="X208" s="68"/>
      <c r="Y208" s="68"/>
      <c r="Z208" s="68"/>
    </row>
    <row r="209" spans="15:26">
      <c r="O209" s="63"/>
      <c r="P209" s="67"/>
      <c r="Q209" s="155"/>
      <c r="R209" s="155"/>
      <c r="S209" s="155"/>
      <c r="T209" s="155"/>
      <c r="U209" s="155"/>
      <c r="V209" s="156"/>
      <c r="X209" s="68"/>
      <c r="Y209" s="68"/>
      <c r="Z209" s="68"/>
    </row>
    <row r="210" spans="15:26">
      <c r="O210" s="63"/>
      <c r="P210" s="67"/>
      <c r="Q210" s="155"/>
      <c r="R210" s="155"/>
      <c r="S210" s="155"/>
      <c r="T210" s="155"/>
      <c r="U210" s="155"/>
      <c r="V210" s="156"/>
      <c r="X210" s="68"/>
      <c r="Y210" s="68"/>
      <c r="Z210" s="68"/>
    </row>
    <row r="211" spans="15:26">
      <c r="O211" s="63"/>
      <c r="P211" s="67"/>
      <c r="Q211" s="155"/>
      <c r="R211" s="155"/>
      <c r="S211" s="155"/>
      <c r="T211" s="155"/>
      <c r="U211" s="155"/>
      <c r="V211" s="156"/>
      <c r="X211" s="68"/>
      <c r="Y211" s="68"/>
      <c r="Z211" s="68"/>
    </row>
    <row r="212" spans="15:26">
      <c r="O212" s="63"/>
      <c r="P212" s="67"/>
      <c r="Q212" s="155"/>
      <c r="R212" s="155"/>
      <c r="S212" s="155"/>
      <c r="T212" s="155"/>
      <c r="U212" s="155"/>
      <c r="V212" s="156"/>
      <c r="X212" s="68"/>
      <c r="Y212" s="68"/>
      <c r="Z212" s="68"/>
    </row>
    <row r="213" spans="15:26">
      <c r="O213" s="63"/>
      <c r="P213" s="67"/>
      <c r="Q213" s="155"/>
      <c r="R213" s="155"/>
      <c r="S213" s="155"/>
      <c r="T213" s="155"/>
      <c r="U213" s="155"/>
      <c r="V213" s="156"/>
      <c r="X213" s="68"/>
      <c r="Y213" s="68"/>
      <c r="Z213" s="68"/>
    </row>
    <row r="214" spans="15:26">
      <c r="O214" s="63"/>
      <c r="P214" s="67"/>
      <c r="Q214" s="155"/>
      <c r="R214" s="155"/>
      <c r="S214" s="155"/>
      <c r="T214" s="155"/>
      <c r="U214" s="155"/>
      <c r="V214" s="156"/>
      <c r="X214" s="68"/>
      <c r="Y214" s="68"/>
      <c r="Z214" s="68"/>
    </row>
    <row r="215" spans="15:26">
      <c r="O215" s="63"/>
      <c r="P215" s="67"/>
      <c r="Q215" s="155"/>
      <c r="R215" s="155"/>
      <c r="S215" s="155"/>
      <c r="T215" s="155"/>
      <c r="U215" s="155"/>
      <c r="V215" s="156"/>
      <c r="X215" s="68"/>
      <c r="Y215" s="68"/>
      <c r="Z215" s="68"/>
    </row>
    <row r="216" spans="15:26">
      <c r="O216" s="63"/>
      <c r="P216" s="67"/>
      <c r="Q216" s="155"/>
      <c r="R216" s="155"/>
      <c r="S216" s="155"/>
      <c r="T216" s="155"/>
      <c r="U216" s="155"/>
      <c r="V216" s="156"/>
      <c r="X216" s="68"/>
      <c r="Y216" s="68"/>
      <c r="Z216" s="68"/>
    </row>
    <row r="217" spans="15:26">
      <c r="O217" s="63"/>
      <c r="P217" s="67"/>
      <c r="Q217" s="155"/>
      <c r="R217" s="155"/>
      <c r="S217" s="155"/>
      <c r="T217" s="155"/>
      <c r="U217" s="155"/>
      <c r="V217" s="156"/>
      <c r="X217" s="68"/>
      <c r="Y217" s="68"/>
      <c r="Z217" s="68"/>
    </row>
    <row r="218" spans="15:26">
      <c r="O218" s="63"/>
      <c r="P218" s="67"/>
      <c r="Q218" s="155"/>
      <c r="R218" s="155"/>
      <c r="S218" s="155"/>
      <c r="T218" s="155"/>
      <c r="U218" s="155"/>
      <c r="V218" s="156"/>
      <c r="X218" s="68"/>
      <c r="Y218" s="68"/>
      <c r="Z218" s="68"/>
    </row>
    <row r="219" spans="15:26">
      <c r="O219" s="63"/>
      <c r="P219" s="67"/>
      <c r="Q219" s="155"/>
      <c r="R219" s="155"/>
      <c r="S219" s="155"/>
      <c r="T219" s="155"/>
      <c r="U219" s="155"/>
      <c r="V219" s="156"/>
      <c r="X219" s="68"/>
      <c r="Y219" s="68"/>
      <c r="Z219" s="68"/>
    </row>
    <row r="220" spans="15:26">
      <c r="O220" s="63"/>
      <c r="P220" s="67"/>
      <c r="Q220" s="155"/>
      <c r="R220" s="155"/>
      <c r="S220" s="155"/>
      <c r="T220" s="155"/>
      <c r="U220" s="155"/>
      <c r="V220" s="156"/>
      <c r="X220" s="68"/>
      <c r="Y220" s="68"/>
      <c r="Z220" s="68"/>
    </row>
    <row r="221" spans="15:26">
      <c r="O221" s="63"/>
      <c r="P221" s="67"/>
      <c r="Q221" s="155"/>
      <c r="R221" s="155"/>
      <c r="S221" s="155"/>
      <c r="T221" s="155"/>
      <c r="U221" s="155"/>
      <c r="V221" s="156"/>
      <c r="X221" s="68"/>
      <c r="Y221" s="68"/>
      <c r="Z221" s="68"/>
    </row>
    <row r="222" spans="15:26">
      <c r="O222" s="63"/>
      <c r="P222" s="67"/>
      <c r="Q222" s="155"/>
      <c r="R222" s="155"/>
      <c r="S222" s="155"/>
      <c r="T222" s="155"/>
      <c r="U222" s="155"/>
      <c r="V222" s="156"/>
      <c r="X222" s="68"/>
      <c r="Y222" s="68"/>
      <c r="Z222" s="68"/>
    </row>
    <row r="223" spans="15:26">
      <c r="O223" s="63"/>
      <c r="P223" s="67"/>
      <c r="Q223" s="155"/>
      <c r="R223" s="155"/>
      <c r="S223" s="155"/>
      <c r="T223" s="155"/>
      <c r="U223" s="155"/>
      <c r="V223" s="156"/>
      <c r="X223" s="68"/>
      <c r="Y223" s="68"/>
      <c r="Z223" s="68"/>
    </row>
    <row r="224" spans="15:26">
      <c r="O224" s="63"/>
      <c r="P224" s="67"/>
      <c r="Q224" s="155"/>
      <c r="R224" s="155"/>
      <c r="S224" s="155"/>
      <c r="T224" s="155"/>
      <c r="U224" s="155"/>
      <c r="V224" s="156"/>
      <c r="X224" s="68"/>
      <c r="Y224" s="68"/>
      <c r="Z224" s="68"/>
    </row>
    <row r="225" spans="15:26">
      <c r="O225" s="63"/>
      <c r="P225" s="67"/>
      <c r="Q225" s="155"/>
      <c r="R225" s="155"/>
      <c r="S225" s="155"/>
      <c r="T225" s="155"/>
      <c r="U225" s="155"/>
      <c r="V225" s="156"/>
      <c r="X225" s="68"/>
      <c r="Y225" s="68"/>
      <c r="Z225" s="68"/>
    </row>
    <row r="226" spans="15:26">
      <c r="O226" s="63"/>
      <c r="P226" s="67"/>
      <c r="Q226" s="155"/>
      <c r="R226" s="155"/>
      <c r="S226" s="155"/>
      <c r="T226" s="155"/>
      <c r="U226" s="155"/>
      <c r="V226" s="156"/>
      <c r="X226" s="68"/>
      <c r="Y226" s="68"/>
      <c r="Z226" s="68"/>
    </row>
    <row r="227" spans="15:26">
      <c r="O227" s="63"/>
      <c r="P227" s="67"/>
      <c r="Q227" s="155"/>
      <c r="R227" s="155"/>
      <c r="S227" s="155"/>
      <c r="T227" s="155"/>
      <c r="U227" s="155"/>
      <c r="V227" s="156"/>
      <c r="X227" s="68"/>
      <c r="Y227" s="68"/>
      <c r="Z227" s="68"/>
    </row>
    <row r="228" spans="15:26">
      <c r="O228" s="63"/>
      <c r="P228" s="67"/>
      <c r="Q228" s="155"/>
      <c r="R228" s="155"/>
      <c r="S228" s="155"/>
      <c r="T228" s="155"/>
      <c r="U228" s="155"/>
      <c r="V228" s="156"/>
      <c r="X228" s="68"/>
      <c r="Y228" s="68"/>
      <c r="Z228" s="68"/>
    </row>
    <row r="229" spans="15:26">
      <c r="O229" s="63"/>
      <c r="P229" s="67"/>
      <c r="Q229" s="155"/>
      <c r="R229" s="155"/>
      <c r="S229" s="155"/>
      <c r="T229" s="155"/>
      <c r="U229" s="155"/>
      <c r="V229" s="156"/>
      <c r="X229" s="68"/>
      <c r="Y229" s="68"/>
      <c r="Z229" s="68"/>
    </row>
    <row r="230" spans="15:26">
      <c r="O230" s="63"/>
      <c r="P230" s="67"/>
      <c r="Q230" s="155"/>
      <c r="R230" s="155"/>
      <c r="S230" s="155"/>
      <c r="T230" s="155"/>
      <c r="U230" s="155"/>
      <c r="V230" s="156"/>
      <c r="X230" s="68"/>
      <c r="Y230" s="68"/>
      <c r="Z230" s="68"/>
    </row>
    <row r="231" spans="15:26">
      <c r="O231" s="63"/>
      <c r="P231" s="67"/>
      <c r="Q231" s="155"/>
      <c r="R231" s="155"/>
      <c r="S231" s="155"/>
      <c r="T231" s="155"/>
      <c r="U231" s="155"/>
      <c r="V231" s="156"/>
      <c r="X231" s="68"/>
      <c r="Y231" s="68"/>
      <c r="Z231" s="68"/>
    </row>
    <row r="232" spans="15:26">
      <c r="O232" s="63"/>
      <c r="P232" s="67"/>
      <c r="Q232" s="155"/>
      <c r="R232" s="155"/>
      <c r="S232" s="155"/>
      <c r="T232" s="155"/>
      <c r="U232" s="155"/>
      <c r="V232" s="156"/>
      <c r="X232" s="68"/>
      <c r="Y232" s="68"/>
      <c r="Z232" s="68"/>
    </row>
    <row r="233" spans="15:26">
      <c r="O233" s="63"/>
      <c r="P233" s="67"/>
      <c r="Q233" s="155"/>
      <c r="R233" s="155"/>
      <c r="S233" s="155"/>
      <c r="T233" s="155"/>
      <c r="U233" s="155"/>
      <c r="V233" s="156"/>
      <c r="X233" s="68"/>
      <c r="Y233" s="68"/>
      <c r="Z233" s="68"/>
    </row>
    <row r="234" spans="15:26">
      <c r="O234" s="63"/>
      <c r="P234" s="67"/>
      <c r="Q234" s="155"/>
      <c r="R234" s="155"/>
      <c r="S234" s="155"/>
      <c r="T234" s="155"/>
      <c r="U234" s="155"/>
      <c r="V234" s="156"/>
      <c r="X234" s="68"/>
      <c r="Y234" s="68"/>
      <c r="Z234" s="68"/>
    </row>
    <row r="235" spans="15:26">
      <c r="O235" s="63"/>
      <c r="P235" s="67"/>
      <c r="Q235" s="155"/>
      <c r="R235" s="155"/>
      <c r="S235" s="155"/>
      <c r="T235" s="155"/>
      <c r="U235" s="155"/>
      <c r="V235" s="156"/>
      <c r="X235" s="68"/>
      <c r="Y235" s="68"/>
      <c r="Z235" s="68"/>
    </row>
    <row r="236" spans="15:26">
      <c r="O236" s="63"/>
      <c r="P236" s="67"/>
      <c r="Q236" s="155"/>
      <c r="R236" s="155"/>
      <c r="S236" s="155"/>
      <c r="T236" s="155"/>
      <c r="U236" s="155"/>
      <c r="V236" s="156"/>
      <c r="X236" s="68"/>
      <c r="Y236" s="68"/>
      <c r="Z236" s="68"/>
    </row>
    <row r="237" spans="15:26">
      <c r="O237" s="63"/>
      <c r="P237" s="67"/>
      <c r="Q237" s="155"/>
      <c r="R237" s="155"/>
      <c r="S237" s="155"/>
      <c r="T237" s="155"/>
      <c r="U237" s="155"/>
      <c r="V237" s="156"/>
      <c r="X237" s="68"/>
      <c r="Y237" s="68"/>
      <c r="Z237" s="68"/>
    </row>
    <row r="238" spans="15:26">
      <c r="O238" s="64">
        <v>42401</v>
      </c>
      <c r="P238" s="67"/>
      <c r="Q238" s="155"/>
      <c r="R238" s="155"/>
      <c r="S238" s="155"/>
      <c r="T238" s="155"/>
      <c r="U238" s="155"/>
      <c r="V238" s="156"/>
      <c r="X238" s="68"/>
      <c r="Y238" s="68"/>
      <c r="Z238" s="68"/>
    </row>
    <row r="239" spans="15:26">
      <c r="O239" s="64"/>
      <c r="P239" s="67"/>
      <c r="Q239" s="155"/>
      <c r="R239" s="155"/>
      <c r="S239" s="155"/>
      <c r="T239" s="155"/>
      <c r="U239" s="155"/>
      <c r="V239" s="156"/>
      <c r="X239" s="68"/>
      <c r="Y239" s="68"/>
      <c r="Z239" s="68"/>
    </row>
    <row r="240" spans="15:26">
      <c r="O240" s="63"/>
      <c r="P240" s="67"/>
      <c r="Q240" s="155"/>
      <c r="R240" s="155"/>
      <c r="S240" s="155"/>
      <c r="T240" s="155"/>
      <c r="U240" s="155"/>
      <c r="V240" s="156"/>
      <c r="X240" s="68"/>
      <c r="Y240" s="68"/>
      <c r="Z240" s="68"/>
    </row>
    <row r="241" spans="15:26">
      <c r="O241" s="63"/>
      <c r="P241" s="67"/>
      <c r="Q241" s="155"/>
      <c r="R241" s="155"/>
      <c r="S241" s="155"/>
      <c r="T241" s="155"/>
      <c r="U241" s="155"/>
      <c r="V241" s="156"/>
      <c r="X241" s="68"/>
      <c r="Y241" s="68"/>
      <c r="Z241" s="68"/>
    </row>
    <row r="242" spans="15:26">
      <c r="O242" s="63"/>
      <c r="P242" s="67"/>
      <c r="Q242" s="155"/>
      <c r="R242" s="155"/>
      <c r="S242" s="155"/>
      <c r="T242" s="155"/>
      <c r="U242" s="155"/>
      <c r="V242" s="156"/>
      <c r="X242" s="68"/>
      <c r="Y242" s="68"/>
      <c r="Z242" s="68"/>
    </row>
    <row r="243" spans="15:26">
      <c r="O243" s="63"/>
      <c r="P243" s="67"/>
      <c r="Q243" s="155"/>
      <c r="R243" s="155"/>
      <c r="S243" s="155"/>
      <c r="T243" s="155"/>
      <c r="U243" s="155"/>
      <c r="V243" s="156"/>
      <c r="X243" s="68"/>
      <c r="Y243" s="68"/>
      <c r="Z243" s="68"/>
    </row>
    <row r="244" spans="15:26">
      <c r="O244" s="63"/>
      <c r="P244" s="67"/>
      <c r="Q244" s="155"/>
      <c r="R244" s="155"/>
      <c r="S244" s="155"/>
      <c r="T244" s="155"/>
      <c r="U244" s="155"/>
      <c r="V244" s="156"/>
      <c r="X244" s="68"/>
      <c r="Y244" s="68"/>
      <c r="Z244" s="68"/>
    </row>
    <row r="245" spans="15:26">
      <c r="O245" s="63"/>
      <c r="P245" s="67"/>
      <c r="Q245" s="155"/>
      <c r="R245" s="155"/>
      <c r="S245" s="155"/>
      <c r="T245" s="155"/>
      <c r="U245" s="155"/>
      <c r="V245" s="156"/>
      <c r="X245" s="68"/>
      <c r="Y245" s="68"/>
      <c r="Z245" s="68"/>
    </row>
    <row r="246" spans="15:26">
      <c r="O246" s="63"/>
      <c r="P246" s="67"/>
      <c r="Q246" s="155"/>
      <c r="R246" s="155"/>
      <c r="S246" s="155"/>
      <c r="T246" s="155"/>
      <c r="U246" s="155"/>
      <c r="V246" s="156"/>
      <c r="X246" s="68"/>
      <c r="Y246" s="68"/>
      <c r="Z246" s="68"/>
    </row>
    <row r="247" spans="15:26">
      <c r="O247" s="63"/>
      <c r="P247" s="67"/>
      <c r="Q247" s="155"/>
      <c r="R247" s="155"/>
      <c r="S247" s="155"/>
      <c r="T247" s="155"/>
      <c r="U247" s="155"/>
      <c r="V247" s="156"/>
      <c r="X247" s="68"/>
      <c r="Y247" s="68"/>
      <c r="Z247" s="68"/>
    </row>
    <row r="248" spans="15:26">
      <c r="O248" s="63"/>
      <c r="P248" s="67"/>
      <c r="Q248" s="155"/>
      <c r="R248" s="155"/>
      <c r="S248" s="155"/>
      <c r="T248" s="155"/>
      <c r="U248" s="155"/>
      <c r="V248" s="156"/>
      <c r="X248" s="68"/>
      <c r="Y248" s="68"/>
      <c r="Z248" s="68"/>
    </row>
    <row r="249" spans="15:26">
      <c r="O249" s="63"/>
      <c r="P249" s="67"/>
      <c r="Q249" s="155"/>
      <c r="R249" s="155"/>
      <c r="S249" s="155"/>
      <c r="T249" s="155"/>
      <c r="U249" s="155"/>
      <c r="V249" s="156"/>
      <c r="X249" s="68"/>
      <c r="Y249" s="68"/>
      <c r="Z249" s="68"/>
    </row>
    <row r="250" spans="15:26">
      <c r="O250" s="63"/>
      <c r="P250" s="67"/>
      <c r="Q250" s="155"/>
      <c r="R250" s="155"/>
      <c r="S250" s="155"/>
      <c r="T250" s="155"/>
      <c r="U250" s="155"/>
      <c r="V250" s="156"/>
      <c r="X250" s="68"/>
      <c r="Y250" s="68"/>
      <c r="Z250" s="68"/>
    </row>
    <row r="251" spans="15:26">
      <c r="O251" s="63"/>
      <c r="P251" s="67"/>
      <c r="Q251" s="155"/>
      <c r="R251" s="155"/>
      <c r="S251" s="155"/>
      <c r="T251" s="155"/>
      <c r="U251" s="155"/>
      <c r="V251" s="156"/>
      <c r="X251" s="68"/>
      <c r="Y251" s="68"/>
      <c r="Z251" s="68"/>
    </row>
    <row r="252" spans="15:26">
      <c r="O252" s="63"/>
      <c r="P252" s="67"/>
      <c r="Q252" s="155"/>
      <c r="R252" s="155"/>
      <c r="S252" s="155"/>
      <c r="T252" s="155"/>
      <c r="U252" s="155"/>
      <c r="V252" s="156"/>
      <c r="X252" s="68"/>
      <c r="Y252" s="68"/>
      <c r="Z252" s="68"/>
    </row>
    <row r="253" spans="15:26">
      <c r="O253" s="63"/>
      <c r="P253" s="67"/>
      <c r="Q253" s="155"/>
      <c r="R253" s="155"/>
      <c r="S253" s="155"/>
      <c r="T253" s="155"/>
      <c r="U253" s="155"/>
      <c r="V253" s="156"/>
      <c r="X253" s="68"/>
      <c r="Y253" s="68"/>
      <c r="Z253" s="68"/>
    </row>
    <row r="254" spans="15:26">
      <c r="O254" s="63"/>
      <c r="P254" s="67"/>
      <c r="Q254" s="155"/>
      <c r="R254" s="155"/>
      <c r="S254" s="155"/>
      <c r="T254" s="155"/>
      <c r="U254" s="155"/>
      <c r="V254" s="156"/>
      <c r="X254" s="68"/>
      <c r="Y254" s="68"/>
      <c r="Z254" s="68"/>
    </row>
    <row r="255" spans="15:26">
      <c r="O255" s="63"/>
      <c r="P255" s="67"/>
      <c r="Q255" s="155"/>
      <c r="R255" s="155"/>
      <c r="S255" s="155"/>
      <c r="T255" s="155"/>
      <c r="U255" s="155"/>
      <c r="V255" s="156"/>
      <c r="X255" s="68"/>
      <c r="Y255" s="68"/>
      <c r="Z255" s="68"/>
    </row>
    <row r="256" spans="15:26">
      <c r="O256" s="63"/>
      <c r="P256" s="67"/>
      <c r="Q256" s="155"/>
      <c r="R256" s="155"/>
      <c r="S256" s="155"/>
      <c r="T256" s="155"/>
      <c r="U256" s="155"/>
      <c r="V256" s="156"/>
      <c r="X256" s="68"/>
      <c r="Y256" s="68"/>
      <c r="Z256" s="68"/>
    </row>
    <row r="257" spans="15:26">
      <c r="O257" s="63"/>
      <c r="P257" s="67"/>
      <c r="Q257" s="155"/>
      <c r="R257" s="155"/>
      <c r="S257" s="155"/>
      <c r="T257" s="155"/>
      <c r="U257" s="155"/>
      <c r="V257" s="156"/>
      <c r="X257" s="68"/>
      <c r="Y257" s="68"/>
      <c r="Z257" s="68"/>
    </row>
    <row r="258" spans="15:26">
      <c r="O258" s="63"/>
      <c r="P258" s="67"/>
      <c r="Q258" s="155"/>
      <c r="R258" s="155"/>
      <c r="S258" s="155"/>
      <c r="T258" s="155"/>
      <c r="U258" s="155"/>
      <c r="V258" s="156"/>
      <c r="X258" s="68"/>
      <c r="Y258" s="68"/>
      <c r="Z258" s="68"/>
    </row>
    <row r="259" spans="15:26">
      <c r="O259" s="63"/>
      <c r="P259" s="67"/>
      <c r="Q259" s="155"/>
      <c r="R259" s="155"/>
      <c r="S259" s="155"/>
      <c r="T259" s="155"/>
      <c r="U259" s="155"/>
      <c r="V259" s="156"/>
      <c r="X259" s="68"/>
      <c r="Y259" s="68"/>
      <c r="Z259" s="68"/>
    </row>
    <row r="260" spans="15:26">
      <c r="O260" s="63"/>
      <c r="P260" s="67"/>
      <c r="Q260" s="155"/>
      <c r="R260" s="155"/>
      <c r="S260" s="155"/>
      <c r="T260" s="155"/>
      <c r="U260" s="155"/>
      <c r="V260" s="156"/>
      <c r="X260" s="68"/>
      <c r="Y260" s="68"/>
      <c r="Z260" s="68"/>
    </row>
    <row r="261" spans="15:26">
      <c r="O261" s="63"/>
      <c r="P261" s="67"/>
      <c r="Q261" s="155"/>
      <c r="R261" s="155"/>
      <c r="S261" s="155"/>
      <c r="T261" s="155"/>
      <c r="U261" s="155"/>
      <c r="V261" s="156"/>
      <c r="X261" s="68"/>
      <c r="Y261" s="68"/>
      <c r="Z261" s="68"/>
    </row>
    <row r="262" spans="15:26">
      <c r="O262" s="63"/>
      <c r="P262" s="67"/>
      <c r="Q262" s="155"/>
      <c r="R262" s="155"/>
      <c r="S262" s="155"/>
      <c r="T262" s="155"/>
      <c r="U262" s="155"/>
      <c r="V262" s="156"/>
      <c r="X262" s="68"/>
      <c r="Y262" s="68"/>
      <c r="Z262" s="68"/>
    </row>
    <row r="263" spans="15:26">
      <c r="O263" s="63"/>
      <c r="P263" s="67"/>
      <c r="Q263" s="155"/>
      <c r="R263" s="155"/>
      <c r="S263" s="155"/>
      <c r="T263" s="155"/>
      <c r="U263" s="155"/>
      <c r="V263" s="156"/>
      <c r="X263" s="68"/>
      <c r="Y263" s="68"/>
      <c r="Z263" s="68"/>
    </row>
    <row r="264" spans="15:26">
      <c r="O264" s="63"/>
      <c r="P264" s="67"/>
      <c r="Q264" s="155"/>
      <c r="R264" s="155"/>
      <c r="S264" s="155"/>
      <c r="T264" s="155"/>
      <c r="U264" s="155"/>
      <c r="V264" s="156"/>
      <c r="X264" s="68"/>
      <c r="Y264" s="68"/>
      <c r="Z264" s="68"/>
    </row>
    <row r="265" spans="15:26">
      <c r="O265" s="63"/>
      <c r="P265" s="67"/>
      <c r="Q265" s="155"/>
      <c r="R265" s="155"/>
      <c r="S265" s="155"/>
      <c r="T265" s="155"/>
      <c r="U265" s="155"/>
      <c r="V265" s="156"/>
      <c r="X265" s="68"/>
      <c r="Y265" s="68"/>
      <c r="Z265" s="68"/>
    </row>
    <row r="266" spans="15:26">
      <c r="O266" s="63"/>
      <c r="P266" s="67"/>
      <c r="Q266" s="155"/>
      <c r="R266" s="155"/>
      <c r="S266" s="155"/>
      <c r="T266" s="155"/>
      <c r="U266" s="155"/>
      <c r="V266" s="156"/>
      <c r="X266" s="68"/>
      <c r="Y266" s="68"/>
      <c r="Z266" s="68"/>
    </row>
    <row r="267" spans="15:26">
      <c r="O267" s="64">
        <v>42430</v>
      </c>
      <c r="P267" s="67"/>
      <c r="Q267" s="155"/>
      <c r="R267" s="155"/>
      <c r="S267" s="155"/>
      <c r="T267" s="155"/>
      <c r="U267" s="155"/>
      <c r="V267" s="156"/>
      <c r="X267" s="68"/>
      <c r="Y267" s="68"/>
      <c r="Z267" s="68"/>
    </row>
    <row r="268" spans="15:26">
      <c r="O268" s="63"/>
      <c r="P268" s="67"/>
      <c r="Q268" s="155"/>
      <c r="R268" s="155"/>
      <c r="S268" s="155"/>
      <c r="T268" s="155"/>
      <c r="U268" s="155"/>
      <c r="V268" s="156"/>
      <c r="X268" s="68"/>
      <c r="Y268" s="68"/>
      <c r="Z268" s="68"/>
    </row>
    <row r="269" spans="15:26">
      <c r="O269" s="64"/>
      <c r="P269" s="67"/>
      <c r="Q269" s="155"/>
      <c r="R269" s="155"/>
      <c r="S269" s="155"/>
      <c r="T269" s="155"/>
      <c r="U269" s="155"/>
      <c r="V269" s="156"/>
      <c r="X269" s="68"/>
      <c r="Y269" s="68"/>
      <c r="Z269" s="68"/>
    </row>
    <row r="270" spans="15:26">
      <c r="O270" s="64"/>
      <c r="P270" s="67"/>
      <c r="Q270" s="155"/>
      <c r="R270" s="155"/>
      <c r="S270" s="155"/>
      <c r="T270" s="155"/>
      <c r="U270" s="155"/>
      <c r="V270" s="156"/>
      <c r="X270" s="68"/>
      <c r="Y270" s="68"/>
      <c r="Z270" s="68"/>
    </row>
    <row r="271" spans="15:26">
      <c r="O271" s="63"/>
      <c r="P271" s="67"/>
      <c r="Q271" s="155"/>
      <c r="R271" s="155"/>
      <c r="S271" s="155"/>
      <c r="T271" s="155"/>
      <c r="U271" s="155"/>
      <c r="V271" s="156"/>
      <c r="X271" s="68"/>
      <c r="Y271" s="68"/>
      <c r="Z271" s="68"/>
    </row>
    <row r="272" spans="15:26">
      <c r="O272" s="63"/>
      <c r="P272" s="67"/>
      <c r="Q272" s="155"/>
      <c r="R272" s="155"/>
      <c r="S272" s="155"/>
      <c r="T272" s="155"/>
      <c r="U272" s="155"/>
      <c r="V272" s="156"/>
      <c r="X272" s="68"/>
      <c r="Y272" s="68"/>
      <c r="Z272" s="68"/>
    </row>
    <row r="273" spans="15:26">
      <c r="O273" s="63"/>
      <c r="P273" s="67"/>
      <c r="Q273" s="155"/>
      <c r="R273" s="155"/>
      <c r="S273" s="155"/>
      <c r="T273" s="155"/>
      <c r="U273" s="155"/>
      <c r="V273" s="156"/>
      <c r="X273" s="68"/>
      <c r="Y273" s="68"/>
      <c r="Z273" s="68"/>
    </row>
    <row r="274" spans="15:26">
      <c r="O274" s="63"/>
      <c r="P274" s="67"/>
      <c r="Q274" s="155"/>
      <c r="R274" s="155"/>
      <c r="S274" s="155"/>
      <c r="T274" s="155"/>
      <c r="U274" s="155"/>
      <c r="V274" s="156"/>
      <c r="X274" s="68"/>
      <c r="Y274" s="68"/>
      <c r="Z274" s="68"/>
    </row>
    <row r="275" spans="15:26">
      <c r="O275" s="63"/>
      <c r="P275" s="67"/>
      <c r="Q275" s="155"/>
      <c r="R275" s="155"/>
      <c r="S275" s="155"/>
      <c r="T275" s="155"/>
      <c r="U275" s="155"/>
      <c r="V275" s="156"/>
      <c r="X275" s="68"/>
      <c r="Y275" s="68"/>
      <c r="Z275" s="68"/>
    </row>
    <row r="276" spans="15:26">
      <c r="O276" s="63"/>
      <c r="P276" s="67"/>
      <c r="Q276" s="155"/>
      <c r="R276" s="155"/>
      <c r="S276" s="155"/>
      <c r="T276" s="155"/>
      <c r="U276" s="155"/>
      <c r="V276" s="156"/>
      <c r="X276" s="68"/>
      <c r="Y276" s="68"/>
      <c r="Z276" s="68"/>
    </row>
    <row r="277" spans="15:26">
      <c r="O277" s="63"/>
      <c r="P277" s="67"/>
      <c r="Q277" s="155"/>
      <c r="R277" s="155"/>
      <c r="S277" s="155"/>
      <c r="T277" s="155"/>
      <c r="U277" s="155"/>
      <c r="V277" s="156"/>
      <c r="X277" s="68"/>
      <c r="Y277" s="68"/>
      <c r="Z277" s="68"/>
    </row>
    <row r="278" spans="15:26">
      <c r="O278" s="63"/>
      <c r="P278" s="67"/>
      <c r="Q278" s="155"/>
      <c r="R278" s="155"/>
      <c r="S278" s="155"/>
      <c r="T278" s="155"/>
      <c r="U278" s="155"/>
      <c r="V278" s="156"/>
      <c r="X278" s="68"/>
      <c r="Y278" s="68"/>
      <c r="Z278" s="68"/>
    </row>
    <row r="279" spans="15:26">
      <c r="O279" s="63"/>
      <c r="P279" s="67"/>
      <c r="Q279" s="155"/>
      <c r="R279" s="155"/>
      <c r="S279" s="155"/>
      <c r="T279" s="155"/>
      <c r="U279" s="155"/>
      <c r="V279" s="156"/>
      <c r="X279" s="68"/>
      <c r="Y279" s="68"/>
      <c r="Z279" s="68"/>
    </row>
    <row r="280" spans="15:26">
      <c r="O280" s="63"/>
      <c r="P280" s="67"/>
      <c r="Q280" s="155"/>
      <c r="R280" s="155"/>
      <c r="S280" s="155"/>
      <c r="T280" s="155"/>
      <c r="U280" s="155"/>
      <c r="V280" s="156"/>
      <c r="X280" s="68"/>
      <c r="Y280" s="68"/>
      <c r="Z280" s="68"/>
    </row>
    <row r="281" spans="15:26">
      <c r="O281" s="63"/>
      <c r="P281" s="67"/>
      <c r="Q281" s="155"/>
      <c r="R281" s="155"/>
      <c r="S281" s="155"/>
      <c r="T281" s="155"/>
      <c r="U281" s="155"/>
      <c r="V281" s="156"/>
      <c r="X281" s="68"/>
      <c r="Y281" s="68"/>
      <c r="Z281" s="68"/>
    </row>
    <row r="282" spans="15:26">
      <c r="O282" s="63"/>
      <c r="P282" s="67"/>
      <c r="Q282" s="155"/>
      <c r="R282" s="155"/>
      <c r="S282" s="155"/>
      <c r="T282" s="155"/>
      <c r="U282" s="155"/>
      <c r="V282" s="156"/>
      <c r="X282" s="68"/>
      <c r="Y282" s="68"/>
      <c r="Z282" s="68"/>
    </row>
    <row r="283" spans="15:26">
      <c r="O283" s="63"/>
      <c r="P283" s="67"/>
      <c r="Q283" s="155"/>
      <c r="R283" s="155"/>
      <c r="S283" s="155"/>
      <c r="T283" s="155"/>
      <c r="U283" s="155"/>
      <c r="V283" s="156"/>
      <c r="X283" s="68"/>
      <c r="Y283" s="68"/>
      <c r="Z283" s="68"/>
    </row>
    <row r="284" spans="15:26">
      <c r="O284" s="63"/>
      <c r="P284" s="67"/>
      <c r="Q284" s="155"/>
      <c r="R284" s="155"/>
      <c r="S284" s="155"/>
      <c r="T284" s="155"/>
      <c r="U284" s="155"/>
      <c r="V284" s="156"/>
      <c r="X284" s="68"/>
      <c r="Y284" s="68"/>
      <c r="Z284" s="68"/>
    </row>
    <row r="285" spans="15:26">
      <c r="O285" s="63"/>
      <c r="P285" s="67"/>
      <c r="Q285" s="155"/>
      <c r="R285" s="155"/>
      <c r="S285" s="155"/>
      <c r="T285" s="155"/>
      <c r="U285" s="155"/>
      <c r="V285" s="156"/>
      <c r="X285" s="68"/>
      <c r="Y285" s="68"/>
      <c r="Z285" s="68"/>
    </row>
    <row r="286" spans="15:26">
      <c r="O286" s="63"/>
      <c r="P286" s="67"/>
      <c r="Q286" s="155"/>
      <c r="R286" s="155"/>
      <c r="S286" s="155"/>
      <c r="T286" s="155"/>
      <c r="U286" s="155"/>
      <c r="V286" s="156"/>
      <c r="X286" s="68"/>
      <c r="Y286" s="68"/>
      <c r="Z286" s="68"/>
    </row>
    <row r="287" spans="15:26">
      <c r="O287" s="63"/>
      <c r="P287" s="67"/>
      <c r="Q287" s="155"/>
      <c r="R287" s="155"/>
      <c r="S287" s="155"/>
      <c r="T287" s="155"/>
      <c r="U287" s="155"/>
      <c r="V287" s="156"/>
      <c r="X287" s="68"/>
      <c r="Y287" s="68"/>
      <c r="Z287" s="68"/>
    </row>
    <row r="288" spans="15:26">
      <c r="O288" s="63"/>
      <c r="P288" s="67"/>
      <c r="Q288" s="155"/>
      <c r="R288" s="155"/>
      <c r="S288" s="155"/>
      <c r="T288" s="155"/>
      <c r="U288" s="155"/>
      <c r="V288" s="156"/>
      <c r="X288" s="68"/>
      <c r="Y288" s="68"/>
      <c r="Z288" s="68"/>
    </row>
    <row r="289" spans="15:26">
      <c r="O289" s="63"/>
      <c r="P289" s="67"/>
      <c r="Q289" s="155"/>
      <c r="R289" s="155"/>
      <c r="S289" s="155"/>
      <c r="T289" s="155"/>
      <c r="U289" s="155"/>
      <c r="V289" s="156"/>
      <c r="X289" s="68"/>
      <c r="Y289" s="68"/>
      <c r="Z289" s="68"/>
    </row>
    <row r="290" spans="15:26">
      <c r="O290" s="63"/>
      <c r="P290" s="67"/>
      <c r="Q290" s="155"/>
      <c r="R290" s="155"/>
      <c r="S290" s="155"/>
      <c r="T290" s="155"/>
      <c r="U290" s="155"/>
      <c r="V290" s="156"/>
      <c r="X290" s="68"/>
      <c r="Y290" s="68"/>
      <c r="Z290" s="68"/>
    </row>
    <row r="291" spans="15:26">
      <c r="O291" s="63"/>
      <c r="P291" s="67"/>
      <c r="Q291" s="155"/>
      <c r="R291" s="155"/>
      <c r="S291" s="155"/>
      <c r="T291" s="155"/>
      <c r="U291" s="155"/>
      <c r="V291" s="156"/>
      <c r="X291" s="68"/>
      <c r="Y291" s="68"/>
      <c r="Z291" s="68"/>
    </row>
    <row r="292" spans="15:26">
      <c r="O292" s="63"/>
      <c r="P292" s="67"/>
      <c r="Q292" s="155"/>
      <c r="R292" s="155"/>
      <c r="S292" s="155"/>
      <c r="T292" s="155"/>
      <c r="U292" s="155"/>
      <c r="V292" s="156"/>
      <c r="X292" s="68"/>
      <c r="Y292" s="68"/>
      <c r="Z292" s="68"/>
    </row>
    <row r="293" spans="15:26">
      <c r="O293" s="63"/>
      <c r="P293" s="67"/>
      <c r="Q293" s="155"/>
      <c r="R293" s="155"/>
      <c r="S293" s="155"/>
      <c r="T293" s="155"/>
      <c r="U293" s="155"/>
      <c r="V293" s="156"/>
      <c r="X293" s="68"/>
      <c r="Y293" s="68"/>
      <c r="Z293" s="68"/>
    </row>
    <row r="294" spans="15:26">
      <c r="O294" s="63"/>
      <c r="P294" s="67"/>
      <c r="Q294" s="155"/>
      <c r="R294" s="155"/>
      <c r="S294" s="155"/>
      <c r="T294" s="155"/>
      <c r="U294" s="155"/>
      <c r="V294" s="156"/>
      <c r="X294" s="68"/>
      <c r="Y294" s="68"/>
      <c r="Z294" s="68"/>
    </row>
    <row r="295" spans="15:26">
      <c r="O295" s="63"/>
      <c r="P295" s="67"/>
      <c r="Q295" s="155"/>
      <c r="R295" s="155"/>
      <c r="S295" s="155"/>
      <c r="T295" s="155"/>
      <c r="U295" s="155"/>
      <c r="V295" s="156"/>
      <c r="X295" s="68"/>
      <c r="Y295" s="68"/>
      <c r="Z295" s="68"/>
    </row>
    <row r="296" spans="15:26">
      <c r="O296" s="63"/>
      <c r="P296" s="67"/>
      <c r="Q296" s="155"/>
      <c r="R296" s="155"/>
      <c r="S296" s="155"/>
      <c r="T296" s="155"/>
      <c r="U296" s="155"/>
      <c r="V296" s="156"/>
      <c r="X296" s="68"/>
      <c r="Y296" s="68"/>
      <c r="Z296" s="68"/>
    </row>
    <row r="297" spans="15:26">
      <c r="O297" s="64"/>
      <c r="P297" s="67"/>
      <c r="Q297" s="155"/>
      <c r="R297" s="155"/>
      <c r="S297" s="155"/>
      <c r="T297" s="155"/>
      <c r="U297" s="155"/>
      <c r="V297" s="156"/>
      <c r="X297" s="68"/>
      <c r="Y297" s="68"/>
      <c r="Z297" s="68"/>
    </row>
    <row r="298" spans="15:26">
      <c r="O298" s="64">
        <v>42461</v>
      </c>
      <c r="P298" s="67"/>
      <c r="Q298" s="155"/>
      <c r="R298" s="155"/>
      <c r="S298" s="155"/>
      <c r="T298" s="155"/>
      <c r="U298" s="155"/>
      <c r="V298" s="156"/>
      <c r="X298" s="68"/>
      <c r="Y298" s="68"/>
      <c r="Z298" s="68"/>
    </row>
    <row r="299" spans="15:26">
      <c r="O299" s="63"/>
      <c r="P299" s="67"/>
      <c r="Q299" s="155"/>
      <c r="R299" s="155"/>
      <c r="S299" s="155"/>
      <c r="T299" s="155"/>
      <c r="U299" s="155"/>
      <c r="V299" s="156"/>
      <c r="X299" s="68"/>
      <c r="Y299" s="68"/>
      <c r="Z299" s="68"/>
    </row>
    <row r="300" spans="15:26">
      <c r="O300" s="63"/>
      <c r="P300" s="67"/>
      <c r="Q300" s="155"/>
      <c r="R300" s="155"/>
      <c r="S300" s="155"/>
      <c r="T300" s="155"/>
      <c r="U300" s="155"/>
      <c r="V300" s="156"/>
      <c r="X300" s="68"/>
      <c r="Y300" s="68"/>
      <c r="Z300" s="68"/>
    </row>
    <row r="301" spans="15:26">
      <c r="O301" s="63"/>
      <c r="P301" s="67"/>
      <c r="Q301" s="155"/>
      <c r="R301" s="155"/>
      <c r="S301" s="155"/>
      <c r="T301" s="155"/>
      <c r="U301" s="155"/>
      <c r="V301" s="156"/>
      <c r="X301" s="68"/>
      <c r="Y301" s="68"/>
      <c r="Z301" s="68"/>
    </row>
    <row r="302" spans="15:26">
      <c r="O302" s="63"/>
      <c r="P302" s="67"/>
      <c r="Q302" s="155"/>
      <c r="R302" s="155"/>
      <c r="S302" s="155"/>
      <c r="T302" s="155"/>
      <c r="U302" s="155"/>
      <c r="V302" s="156"/>
      <c r="X302" s="68"/>
      <c r="Y302" s="68"/>
      <c r="Z302" s="68"/>
    </row>
    <row r="303" spans="15:26">
      <c r="O303" s="63"/>
      <c r="P303" s="67"/>
      <c r="Q303" s="155"/>
      <c r="R303" s="155"/>
      <c r="S303" s="155"/>
      <c r="T303" s="155"/>
      <c r="U303" s="155"/>
      <c r="V303" s="156"/>
      <c r="X303" s="68"/>
      <c r="Y303" s="68"/>
      <c r="Z303" s="68"/>
    </row>
    <row r="304" spans="15:26">
      <c r="O304" s="63"/>
      <c r="P304" s="67"/>
      <c r="Q304" s="155"/>
      <c r="R304" s="155"/>
      <c r="S304" s="155"/>
      <c r="T304" s="155"/>
      <c r="U304" s="155"/>
      <c r="V304" s="156"/>
      <c r="X304" s="68"/>
      <c r="Y304" s="68"/>
      <c r="Z304" s="68"/>
    </row>
    <row r="305" spans="15:26">
      <c r="O305" s="63"/>
      <c r="P305" s="67"/>
      <c r="Q305" s="155"/>
      <c r="R305" s="155"/>
      <c r="S305" s="155"/>
      <c r="T305" s="155"/>
      <c r="U305" s="155"/>
      <c r="V305" s="156"/>
      <c r="X305" s="68"/>
      <c r="Y305" s="68"/>
      <c r="Z305" s="68"/>
    </row>
    <row r="306" spans="15:26">
      <c r="O306" s="63"/>
      <c r="P306" s="67"/>
      <c r="Q306" s="155"/>
      <c r="R306" s="155"/>
      <c r="S306" s="155"/>
      <c r="T306" s="155"/>
      <c r="U306" s="155"/>
      <c r="V306" s="156"/>
      <c r="X306" s="68"/>
      <c r="Y306" s="68"/>
      <c r="Z306" s="68"/>
    </row>
    <row r="307" spans="15:26">
      <c r="O307" s="63"/>
      <c r="P307" s="67"/>
      <c r="Q307" s="155"/>
      <c r="R307" s="155"/>
      <c r="S307" s="155"/>
      <c r="T307" s="155"/>
      <c r="U307" s="155"/>
      <c r="V307" s="156"/>
      <c r="X307" s="68"/>
      <c r="Y307" s="68"/>
      <c r="Z307" s="68"/>
    </row>
    <row r="308" spans="15:26">
      <c r="O308" s="63"/>
      <c r="P308" s="67"/>
      <c r="Q308" s="155"/>
      <c r="R308" s="155"/>
      <c r="S308" s="155"/>
      <c r="T308" s="155"/>
      <c r="U308" s="155"/>
      <c r="V308" s="156"/>
      <c r="X308" s="68"/>
      <c r="Y308" s="68"/>
      <c r="Z308" s="68"/>
    </row>
    <row r="309" spans="15:26">
      <c r="O309" s="63"/>
      <c r="P309" s="67"/>
      <c r="Q309" s="155"/>
      <c r="R309" s="155"/>
      <c r="S309" s="155"/>
      <c r="T309" s="155"/>
      <c r="U309" s="155"/>
      <c r="V309" s="156"/>
      <c r="X309" s="68"/>
      <c r="Y309" s="68"/>
      <c r="Z309" s="68"/>
    </row>
    <row r="310" spans="15:26">
      <c r="O310" s="63"/>
      <c r="P310" s="67"/>
      <c r="Q310" s="155"/>
      <c r="R310" s="155"/>
      <c r="S310" s="155"/>
      <c r="T310" s="155"/>
      <c r="U310" s="155"/>
      <c r="V310" s="156"/>
      <c r="X310" s="68"/>
      <c r="Y310" s="68"/>
      <c r="Z310" s="68"/>
    </row>
    <row r="311" spans="15:26">
      <c r="O311" s="63"/>
      <c r="P311" s="67"/>
      <c r="Q311" s="155"/>
      <c r="R311" s="155"/>
      <c r="S311" s="155"/>
      <c r="T311" s="155"/>
      <c r="U311" s="155"/>
      <c r="V311" s="156"/>
      <c r="X311" s="68"/>
      <c r="Y311" s="68"/>
      <c r="Z311" s="68"/>
    </row>
    <row r="312" spans="15:26">
      <c r="O312" s="63"/>
      <c r="P312" s="67"/>
      <c r="Q312" s="155"/>
      <c r="R312" s="155"/>
      <c r="S312" s="155"/>
      <c r="T312" s="155"/>
      <c r="U312" s="155"/>
      <c r="V312" s="156"/>
      <c r="X312" s="68"/>
      <c r="Y312" s="68"/>
      <c r="Z312" s="68"/>
    </row>
    <row r="313" spans="15:26">
      <c r="O313" s="63"/>
      <c r="P313" s="67"/>
      <c r="Q313" s="155"/>
      <c r="R313" s="155"/>
      <c r="S313" s="155"/>
      <c r="T313" s="155"/>
      <c r="U313" s="155"/>
      <c r="V313" s="156"/>
      <c r="X313" s="68"/>
      <c r="Y313" s="68"/>
      <c r="Z313" s="68"/>
    </row>
    <row r="314" spans="15:26">
      <c r="O314" s="63"/>
      <c r="P314" s="67"/>
      <c r="Q314" s="155"/>
      <c r="R314" s="155"/>
      <c r="S314" s="155"/>
      <c r="T314" s="155"/>
      <c r="U314" s="155"/>
      <c r="V314" s="156"/>
      <c r="X314" s="68"/>
      <c r="Y314" s="68"/>
      <c r="Z314" s="68"/>
    </row>
    <row r="315" spans="15:26">
      <c r="O315" s="63"/>
      <c r="P315" s="67"/>
      <c r="Q315" s="155"/>
      <c r="R315" s="155"/>
      <c r="S315" s="155"/>
      <c r="T315" s="155"/>
      <c r="U315" s="155"/>
      <c r="V315" s="156"/>
      <c r="X315" s="68"/>
      <c r="Y315" s="68"/>
      <c r="Z315" s="68"/>
    </row>
    <row r="316" spans="15:26">
      <c r="O316" s="63"/>
      <c r="P316" s="67"/>
      <c r="Q316" s="155"/>
      <c r="R316" s="155"/>
      <c r="S316" s="155"/>
      <c r="T316" s="155"/>
      <c r="U316" s="155"/>
      <c r="V316" s="156"/>
      <c r="X316" s="68"/>
      <c r="Y316" s="68"/>
      <c r="Z316" s="68"/>
    </row>
    <row r="317" spans="15:26">
      <c r="O317" s="63"/>
      <c r="P317" s="67"/>
      <c r="Q317" s="155"/>
      <c r="R317" s="155"/>
      <c r="S317" s="155"/>
      <c r="T317" s="155"/>
      <c r="U317" s="155"/>
      <c r="V317" s="156"/>
      <c r="X317" s="68"/>
      <c r="Y317" s="68"/>
      <c r="Z317" s="68"/>
    </row>
    <row r="318" spans="15:26">
      <c r="O318" s="63"/>
      <c r="P318" s="67"/>
      <c r="Q318" s="155"/>
      <c r="R318" s="155"/>
      <c r="S318" s="155"/>
      <c r="T318" s="155"/>
      <c r="U318" s="155"/>
      <c r="V318" s="156"/>
      <c r="X318" s="68"/>
      <c r="Y318" s="68"/>
      <c r="Z318" s="68"/>
    </row>
    <row r="319" spans="15:26">
      <c r="O319" s="63"/>
      <c r="P319" s="67"/>
      <c r="Q319" s="155"/>
      <c r="R319" s="155"/>
      <c r="S319" s="155"/>
      <c r="T319" s="155"/>
      <c r="U319" s="155"/>
      <c r="V319" s="156"/>
      <c r="X319" s="68"/>
      <c r="Y319" s="68"/>
      <c r="Z319" s="68"/>
    </row>
    <row r="320" spans="15:26">
      <c r="O320" s="63"/>
      <c r="P320" s="67"/>
      <c r="Q320" s="155"/>
      <c r="R320" s="155"/>
      <c r="S320" s="155"/>
      <c r="T320" s="155"/>
      <c r="U320" s="155"/>
      <c r="V320" s="156"/>
      <c r="X320" s="68"/>
      <c r="Y320" s="68"/>
      <c r="Z320" s="68"/>
    </row>
    <row r="321" spans="15:26">
      <c r="O321" s="63"/>
      <c r="P321" s="67"/>
      <c r="Q321" s="155"/>
      <c r="R321" s="155"/>
      <c r="S321" s="155"/>
      <c r="T321" s="155"/>
      <c r="U321" s="155"/>
      <c r="V321" s="156"/>
      <c r="X321" s="68"/>
      <c r="Y321" s="68"/>
      <c r="Z321" s="68"/>
    </row>
    <row r="322" spans="15:26">
      <c r="O322" s="63"/>
      <c r="P322" s="67"/>
      <c r="Q322" s="155"/>
      <c r="R322" s="155"/>
      <c r="S322" s="155"/>
      <c r="T322" s="155"/>
      <c r="U322" s="155"/>
      <c r="V322" s="156"/>
      <c r="X322" s="68"/>
      <c r="Y322" s="68"/>
      <c r="Z322" s="68"/>
    </row>
    <row r="323" spans="15:26">
      <c r="O323" s="63"/>
      <c r="P323" s="67"/>
      <c r="Q323" s="155"/>
      <c r="R323" s="155"/>
      <c r="S323" s="155"/>
      <c r="T323" s="155"/>
      <c r="U323" s="155"/>
      <c r="V323" s="156"/>
      <c r="X323" s="68"/>
      <c r="Y323" s="68"/>
      <c r="Z323" s="68"/>
    </row>
    <row r="324" spans="15:26">
      <c r="O324" s="63"/>
      <c r="P324" s="67"/>
      <c r="Q324" s="155"/>
      <c r="R324" s="155"/>
      <c r="S324" s="155"/>
      <c r="T324" s="155"/>
      <c r="U324" s="155"/>
      <c r="V324" s="156"/>
      <c r="X324" s="68"/>
      <c r="Y324" s="68"/>
      <c r="Z324" s="68"/>
    </row>
    <row r="325" spans="15:26">
      <c r="O325" s="63"/>
      <c r="P325" s="67"/>
      <c r="Q325" s="155"/>
      <c r="R325" s="155"/>
      <c r="S325" s="155"/>
      <c r="T325" s="155"/>
      <c r="U325" s="155"/>
      <c r="V325" s="156"/>
      <c r="X325" s="68"/>
      <c r="Y325" s="68"/>
      <c r="Z325" s="68"/>
    </row>
    <row r="326" spans="15:26">
      <c r="O326" s="63"/>
      <c r="P326" s="67"/>
      <c r="Q326" s="155"/>
      <c r="R326" s="155"/>
      <c r="S326" s="155"/>
      <c r="T326" s="155"/>
      <c r="U326" s="155"/>
      <c r="V326" s="156"/>
      <c r="X326" s="68"/>
      <c r="Y326" s="68"/>
      <c r="Z326" s="68"/>
    </row>
    <row r="327" spans="15:26">
      <c r="O327" s="63"/>
      <c r="P327" s="67"/>
      <c r="Q327" s="155"/>
      <c r="R327" s="155"/>
      <c r="S327" s="155"/>
      <c r="T327" s="155"/>
      <c r="U327" s="155"/>
      <c r="V327" s="156"/>
      <c r="X327" s="68"/>
      <c r="Y327" s="68"/>
      <c r="Z327" s="68"/>
    </row>
    <row r="328" spans="15:26">
      <c r="O328" s="64">
        <v>42491</v>
      </c>
      <c r="P328" s="67"/>
      <c r="Q328" s="155"/>
      <c r="R328" s="155"/>
      <c r="S328" s="155"/>
      <c r="T328" s="155"/>
      <c r="U328" s="155"/>
      <c r="V328" s="156"/>
      <c r="X328" s="68"/>
      <c r="Y328" s="68"/>
      <c r="Z328" s="68"/>
    </row>
    <row r="329" spans="15:26">
      <c r="O329" s="64"/>
      <c r="P329" s="67"/>
      <c r="Q329" s="155"/>
      <c r="R329" s="155"/>
      <c r="S329" s="155"/>
      <c r="T329" s="155"/>
      <c r="U329" s="155"/>
      <c r="V329" s="156"/>
      <c r="X329" s="68"/>
      <c r="Y329" s="68"/>
      <c r="Z329" s="68"/>
    </row>
    <row r="330" spans="15:26">
      <c r="O330" s="63"/>
      <c r="P330" s="67"/>
      <c r="Q330" s="155"/>
      <c r="R330" s="155"/>
      <c r="S330" s="155"/>
      <c r="T330" s="155"/>
      <c r="U330" s="155"/>
      <c r="V330" s="156"/>
      <c r="X330" s="68"/>
      <c r="Y330" s="68"/>
      <c r="Z330" s="68"/>
    </row>
    <row r="331" spans="15:26">
      <c r="O331" s="63"/>
      <c r="P331" s="67"/>
      <c r="Q331" s="155"/>
      <c r="R331" s="155"/>
      <c r="S331" s="155"/>
      <c r="T331" s="155"/>
      <c r="U331" s="155"/>
      <c r="V331" s="156"/>
      <c r="X331" s="68"/>
      <c r="Y331" s="68"/>
      <c r="Z331" s="68"/>
    </row>
    <row r="332" spans="15:26">
      <c r="O332" s="63"/>
      <c r="P332" s="67"/>
      <c r="Q332" s="155"/>
      <c r="R332" s="155"/>
      <c r="S332" s="155"/>
      <c r="T332" s="155"/>
      <c r="U332" s="155"/>
      <c r="V332" s="156"/>
      <c r="X332" s="68"/>
      <c r="Y332" s="68"/>
      <c r="Z332" s="68"/>
    </row>
    <row r="333" spans="15:26">
      <c r="O333" s="63"/>
      <c r="P333" s="67"/>
      <c r="Q333" s="155"/>
      <c r="R333" s="155"/>
      <c r="S333" s="155"/>
      <c r="T333" s="155"/>
      <c r="U333" s="155"/>
      <c r="V333" s="156"/>
      <c r="X333" s="68"/>
      <c r="Y333" s="68"/>
      <c r="Z333" s="68"/>
    </row>
    <row r="334" spans="15:26">
      <c r="O334" s="63"/>
      <c r="P334" s="67"/>
      <c r="Q334" s="155"/>
      <c r="R334" s="155"/>
      <c r="S334" s="155"/>
      <c r="T334" s="155"/>
      <c r="U334" s="155"/>
      <c r="V334" s="156"/>
      <c r="X334" s="68"/>
      <c r="Y334" s="68"/>
      <c r="Z334" s="68"/>
    </row>
    <row r="335" spans="15:26">
      <c r="O335" s="63"/>
      <c r="P335" s="67"/>
      <c r="Q335" s="155"/>
      <c r="R335" s="155"/>
      <c r="S335" s="155"/>
      <c r="T335" s="155"/>
      <c r="U335" s="155"/>
      <c r="V335" s="156"/>
      <c r="X335" s="68"/>
      <c r="Y335" s="68"/>
      <c r="Z335" s="68"/>
    </row>
    <row r="336" spans="15:26">
      <c r="O336" s="63"/>
      <c r="P336" s="67"/>
      <c r="Q336" s="155"/>
      <c r="R336" s="155"/>
      <c r="S336" s="155"/>
      <c r="T336" s="155"/>
      <c r="U336" s="155"/>
      <c r="V336" s="156"/>
      <c r="X336" s="68"/>
      <c r="Y336" s="68"/>
      <c r="Z336" s="68"/>
    </row>
    <row r="337" spans="15:26">
      <c r="O337" s="63"/>
      <c r="P337" s="67"/>
      <c r="Q337" s="155"/>
      <c r="R337" s="155"/>
      <c r="S337" s="155"/>
      <c r="T337" s="155"/>
      <c r="U337" s="155"/>
      <c r="V337" s="156"/>
      <c r="X337" s="68"/>
      <c r="Y337" s="68"/>
      <c r="Z337" s="68"/>
    </row>
    <row r="338" spans="15:26">
      <c r="O338" s="63"/>
      <c r="P338" s="67"/>
      <c r="Q338" s="155"/>
      <c r="R338" s="155"/>
      <c r="S338" s="155"/>
      <c r="T338" s="155"/>
      <c r="U338" s="155"/>
      <c r="V338" s="156"/>
      <c r="X338" s="68"/>
      <c r="Y338" s="68"/>
      <c r="Z338" s="68"/>
    </row>
    <row r="339" spans="15:26">
      <c r="O339" s="63"/>
      <c r="P339" s="67"/>
      <c r="Q339" s="155"/>
      <c r="R339" s="155"/>
      <c r="S339" s="155"/>
      <c r="T339" s="155"/>
      <c r="U339" s="155"/>
      <c r="V339" s="156"/>
      <c r="X339" s="68"/>
      <c r="Y339" s="68"/>
      <c r="Z339" s="68"/>
    </row>
    <row r="340" spans="15:26">
      <c r="O340" s="63"/>
      <c r="P340" s="67"/>
      <c r="Q340" s="155"/>
      <c r="R340" s="155"/>
      <c r="S340" s="155"/>
      <c r="T340" s="155"/>
      <c r="U340" s="155"/>
      <c r="V340" s="156"/>
      <c r="X340" s="68"/>
      <c r="Y340" s="68"/>
      <c r="Z340" s="68"/>
    </row>
    <row r="341" spans="15:26">
      <c r="O341" s="63"/>
      <c r="P341" s="67"/>
      <c r="Q341" s="155"/>
      <c r="R341" s="155"/>
      <c r="S341" s="155"/>
      <c r="T341" s="155"/>
      <c r="U341" s="155"/>
      <c r="V341" s="156"/>
      <c r="X341" s="68"/>
      <c r="Y341" s="68"/>
      <c r="Z341" s="68"/>
    </row>
    <row r="342" spans="15:26">
      <c r="O342" s="63"/>
      <c r="P342" s="67"/>
      <c r="Q342" s="155"/>
      <c r="R342" s="155"/>
      <c r="S342" s="155"/>
      <c r="T342" s="155"/>
      <c r="U342" s="155"/>
      <c r="V342" s="156"/>
      <c r="X342" s="68"/>
      <c r="Y342" s="68"/>
      <c r="Z342" s="68"/>
    </row>
    <row r="343" spans="15:26">
      <c r="O343" s="63"/>
      <c r="P343" s="67"/>
      <c r="Q343" s="155"/>
      <c r="R343" s="155"/>
      <c r="S343" s="155"/>
      <c r="T343" s="155"/>
      <c r="U343" s="155"/>
      <c r="V343" s="156"/>
      <c r="X343" s="68"/>
      <c r="Y343" s="68"/>
      <c r="Z343" s="68"/>
    </row>
    <row r="344" spans="15:26">
      <c r="O344" s="63"/>
      <c r="P344" s="67"/>
      <c r="Q344" s="155"/>
      <c r="R344" s="155"/>
      <c r="S344" s="155"/>
      <c r="T344" s="155"/>
      <c r="U344" s="155"/>
      <c r="V344" s="156"/>
      <c r="X344" s="68"/>
      <c r="Y344" s="68"/>
      <c r="Z344" s="68"/>
    </row>
    <row r="345" spans="15:26">
      <c r="O345" s="63"/>
      <c r="P345" s="67"/>
      <c r="Q345" s="155"/>
      <c r="R345" s="155"/>
      <c r="S345" s="155"/>
      <c r="T345" s="155"/>
      <c r="U345" s="155"/>
      <c r="V345" s="156"/>
      <c r="X345" s="68"/>
      <c r="Y345" s="68"/>
      <c r="Z345" s="68"/>
    </row>
    <row r="346" spans="15:26">
      <c r="O346" s="63"/>
      <c r="P346" s="67"/>
      <c r="Q346" s="155"/>
      <c r="R346" s="155"/>
      <c r="S346" s="155"/>
      <c r="T346" s="155"/>
      <c r="U346" s="155"/>
      <c r="V346" s="156"/>
      <c r="X346" s="68"/>
      <c r="Y346" s="68"/>
      <c r="Z346" s="68"/>
    </row>
    <row r="347" spans="15:26">
      <c r="O347" s="63"/>
      <c r="P347" s="67"/>
      <c r="Q347" s="155"/>
      <c r="R347" s="155"/>
      <c r="S347" s="155"/>
      <c r="T347" s="155"/>
      <c r="U347" s="155"/>
      <c r="V347" s="156"/>
      <c r="X347" s="68"/>
      <c r="Y347" s="68"/>
      <c r="Z347" s="68"/>
    </row>
    <row r="348" spans="15:26">
      <c r="O348" s="63"/>
      <c r="P348" s="67"/>
      <c r="Q348" s="155"/>
      <c r="R348" s="155"/>
      <c r="S348" s="155"/>
      <c r="T348" s="155"/>
      <c r="U348" s="155"/>
      <c r="V348" s="156"/>
      <c r="X348" s="68"/>
      <c r="Y348" s="68"/>
      <c r="Z348" s="68"/>
    </row>
    <row r="349" spans="15:26">
      <c r="O349" s="63"/>
      <c r="P349" s="67"/>
      <c r="Q349" s="155"/>
      <c r="R349" s="155"/>
      <c r="S349" s="155"/>
      <c r="T349" s="155"/>
      <c r="U349" s="155"/>
      <c r="V349" s="156"/>
      <c r="X349" s="68"/>
      <c r="Y349" s="68"/>
      <c r="Z349" s="68"/>
    </row>
    <row r="350" spans="15:26">
      <c r="O350" s="63"/>
      <c r="P350" s="67"/>
      <c r="Q350" s="155"/>
      <c r="R350" s="155"/>
      <c r="S350" s="155"/>
      <c r="T350" s="155"/>
      <c r="U350" s="155"/>
      <c r="V350" s="156"/>
      <c r="X350" s="68"/>
      <c r="Y350" s="68"/>
      <c r="Z350" s="68"/>
    </row>
    <row r="351" spans="15:26">
      <c r="O351" s="63"/>
      <c r="P351" s="67"/>
      <c r="Q351" s="155"/>
      <c r="R351" s="155"/>
      <c r="S351" s="155"/>
      <c r="T351" s="155"/>
      <c r="U351" s="155"/>
      <c r="V351" s="156"/>
      <c r="X351" s="68"/>
      <c r="Y351" s="68"/>
      <c r="Z351" s="68"/>
    </row>
    <row r="352" spans="15:26">
      <c r="O352" s="63"/>
      <c r="P352" s="67"/>
      <c r="Q352" s="155"/>
      <c r="R352" s="155"/>
      <c r="S352" s="155"/>
      <c r="T352" s="155"/>
      <c r="U352" s="155"/>
      <c r="V352" s="156"/>
      <c r="X352" s="68"/>
      <c r="Y352" s="68"/>
      <c r="Z352" s="68"/>
    </row>
    <row r="353" spans="15:26">
      <c r="O353" s="63"/>
      <c r="P353" s="67"/>
      <c r="Q353" s="155"/>
      <c r="R353" s="155"/>
      <c r="S353" s="155"/>
      <c r="T353" s="155"/>
      <c r="U353" s="155"/>
      <c r="V353" s="156"/>
      <c r="X353" s="68"/>
      <c r="Y353" s="68"/>
      <c r="Z353" s="68"/>
    </row>
    <row r="354" spans="15:26">
      <c r="O354" s="63"/>
      <c r="P354" s="67"/>
      <c r="Q354" s="155"/>
      <c r="R354" s="155"/>
      <c r="S354" s="155"/>
      <c r="T354" s="155"/>
      <c r="U354" s="155"/>
      <c r="V354" s="156"/>
      <c r="X354" s="68"/>
      <c r="Y354" s="68"/>
      <c r="Z354" s="68"/>
    </row>
    <row r="355" spans="15:26">
      <c r="O355" s="63"/>
      <c r="P355" s="67"/>
      <c r="Q355" s="155"/>
      <c r="R355" s="155"/>
      <c r="S355" s="155"/>
      <c r="T355" s="155"/>
      <c r="U355" s="155"/>
      <c r="V355" s="156"/>
      <c r="X355" s="68"/>
      <c r="Y355" s="68"/>
      <c r="Z355" s="68"/>
    </row>
    <row r="356" spans="15:26">
      <c r="O356" s="63"/>
      <c r="P356" s="67"/>
      <c r="Q356" s="155"/>
      <c r="R356" s="155"/>
      <c r="S356" s="155"/>
      <c r="T356" s="155"/>
      <c r="U356" s="155"/>
      <c r="V356" s="156"/>
      <c r="X356" s="68"/>
      <c r="Y356" s="68"/>
      <c r="Z356" s="68"/>
    </row>
    <row r="357" spans="15:26">
      <c r="O357" s="63"/>
      <c r="P357" s="67"/>
      <c r="Q357" s="155"/>
      <c r="R357" s="155"/>
      <c r="S357" s="155"/>
      <c r="T357" s="155"/>
      <c r="U357" s="155"/>
      <c r="V357" s="156"/>
      <c r="X357" s="68"/>
      <c r="Y357" s="68"/>
      <c r="Z357" s="68"/>
    </row>
    <row r="358" spans="15:26">
      <c r="O358" s="64"/>
      <c r="P358" s="67"/>
      <c r="Q358" s="155"/>
      <c r="R358" s="155"/>
      <c r="S358" s="155"/>
      <c r="T358" s="155"/>
      <c r="U358" s="155"/>
      <c r="V358" s="156"/>
      <c r="X358" s="68"/>
      <c r="Y358" s="68"/>
      <c r="Z358" s="68"/>
    </row>
    <row r="359" spans="15:26">
      <c r="O359" s="64">
        <v>42522</v>
      </c>
      <c r="P359" s="67"/>
      <c r="Q359" s="155"/>
      <c r="R359" s="155"/>
      <c r="S359" s="155"/>
      <c r="T359" s="155"/>
      <c r="U359" s="155"/>
      <c r="V359" s="156"/>
      <c r="X359" s="68"/>
      <c r="Y359" s="68"/>
      <c r="Z359" s="68"/>
    </row>
    <row r="360" spans="15:26">
      <c r="O360" s="63"/>
      <c r="P360" s="67"/>
      <c r="Q360" s="155"/>
      <c r="R360" s="155"/>
      <c r="S360" s="155"/>
      <c r="T360" s="155"/>
      <c r="U360" s="155"/>
      <c r="V360" s="156"/>
      <c r="X360" s="68"/>
      <c r="Y360" s="68"/>
      <c r="Z360" s="68"/>
    </row>
    <row r="361" spans="15:26">
      <c r="O361" s="63"/>
      <c r="P361" s="67"/>
      <c r="Q361" s="155"/>
      <c r="R361" s="155"/>
      <c r="S361" s="155"/>
      <c r="T361" s="155"/>
      <c r="U361" s="155"/>
      <c r="V361" s="156"/>
      <c r="X361" s="68"/>
      <c r="Y361" s="68"/>
      <c r="Z361" s="68"/>
    </row>
    <row r="362" spans="15:26">
      <c r="O362" s="63"/>
      <c r="P362" s="67"/>
      <c r="Q362" s="155"/>
      <c r="R362" s="155"/>
      <c r="S362" s="155"/>
      <c r="T362" s="155"/>
      <c r="U362" s="155"/>
      <c r="V362" s="156"/>
      <c r="X362" s="68"/>
      <c r="Y362" s="68"/>
      <c r="Z362" s="68"/>
    </row>
    <row r="363" spans="15:26">
      <c r="O363" s="63"/>
      <c r="P363" s="67"/>
      <c r="Q363" s="155"/>
      <c r="R363" s="155"/>
      <c r="S363" s="155"/>
      <c r="T363" s="155"/>
      <c r="U363" s="155"/>
      <c r="V363" s="156"/>
      <c r="X363" s="68"/>
      <c r="Y363" s="68"/>
      <c r="Z363" s="68"/>
    </row>
    <row r="364" spans="15:26">
      <c r="O364" s="63"/>
      <c r="P364" s="67"/>
      <c r="Q364" s="155"/>
      <c r="R364" s="155"/>
      <c r="S364" s="155"/>
      <c r="T364" s="155"/>
      <c r="U364" s="155"/>
      <c r="V364" s="156"/>
      <c r="X364" s="68"/>
      <c r="Y364" s="68"/>
      <c r="Z364" s="68"/>
    </row>
    <row r="365" spans="15:26">
      <c r="O365" s="63"/>
      <c r="P365" s="67"/>
      <c r="Q365" s="155"/>
      <c r="R365" s="155"/>
      <c r="S365" s="155"/>
      <c r="T365" s="155"/>
      <c r="U365" s="155"/>
      <c r="V365" s="156"/>
      <c r="X365" s="68"/>
      <c r="Y365" s="68"/>
      <c r="Z365" s="68"/>
    </row>
    <row r="366" spans="15:26">
      <c r="O366" s="63"/>
      <c r="P366" s="67"/>
      <c r="Q366" s="155"/>
      <c r="R366" s="155"/>
      <c r="S366" s="155"/>
      <c r="T366" s="155"/>
      <c r="U366" s="155"/>
      <c r="V366" s="156"/>
      <c r="X366" s="68"/>
      <c r="Y366" s="68"/>
      <c r="Z366" s="68"/>
    </row>
    <row r="367" spans="15:26">
      <c r="O367" s="63"/>
      <c r="P367" s="67"/>
      <c r="Q367" s="155"/>
      <c r="R367" s="155"/>
      <c r="S367" s="155"/>
      <c r="T367" s="155"/>
      <c r="U367" s="155"/>
      <c r="V367" s="156"/>
      <c r="X367" s="68"/>
      <c r="Y367" s="68"/>
      <c r="Z367" s="68"/>
    </row>
    <row r="368" spans="15:26">
      <c r="O368" s="63"/>
      <c r="P368" s="67"/>
      <c r="Q368" s="155"/>
      <c r="R368" s="155"/>
      <c r="S368" s="155"/>
      <c r="T368" s="155"/>
      <c r="U368" s="155"/>
      <c r="V368" s="156"/>
      <c r="X368" s="68"/>
      <c r="Y368" s="68"/>
      <c r="Z368" s="68"/>
    </row>
    <row r="369" spans="15:26">
      <c r="O369" s="63"/>
      <c r="P369" s="67"/>
      <c r="Q369" s="155"/>
      <c r="R369" s="155"/>
      <c r="S369" s="155"/>
      <c r="T369" s="155"/>
      <c r="U369" s="155"/>
      <c r="V369" s="156"/>
      <c r="X369" s="68"/>
      <c r="Y369" s="68"/>
      <c r="Z369" s="68"/>
    </row>
    <row r="370" spans="15:26">
      <c r="O370" s="63"/>
      <c r="P370" s="67"/>
      <c r="Q370" s="155"/>
      <c r="R370" s="155"/>
      <c r="S370" s="155"/>
      <c r="T370" s="155"/>
      <c r="U370" s="155"/>
      <c r="V370" s="156"/>
      <c r="X370" s="68"/>
      <c r="Y370" s="68"/>
      <c r="Z370" s="68"/>
    </row>
    <row r="371" spans="15:26">
      <c r="O371" s="63"/>
      <c r="P371" s="67"/>
      <c r="Q371" s="155"/>
      <c r="R371" s="155"/>
      <c r="S371" s="155"/>
      <c r="T371" s="155"/>
      <c r="U371" s="155"/>
      <c r="V371" s="156"/>
      <c r="X371" s="68"/>
      <c r="Y371" s="68"/>
      <c r="Z371" s="68"/>
    </row>
    <row r="372" spans="15:26">
      <c r="O372" s="63"/>
      <c r="P372" s="67"/>
      <c r="Q372" s="155"/>
      <c r="R372" s="155"/>
      <c r="S372" s="155"/>
      <c r="T372" s="155"/>
      <c r="U372" s="155"/>
      <c r="V372" s="156"/>
      <c r="X372" s="68"/>
      <c r="Y372" s="68"/>
      <c r="Z372" s="68"/>
    </row>
    <row r="373" spans="15:26">
      <c r="O373" s="63"/>
      <c r="P373" s="67"/>
      <c r="Q373" s="155"/>
      <c r="R373" s="155"/>
      <c r="S373" s="155"/>
      <c r="T373" s="155"/>
      <c r="U373" s="155"/>
      <c r="V373" s="156"/>
      <c r="X373" s="68"/>
      <c r="Y373" s="68"/>
      <c r="Z373" s="68"/>
    </row>
    <row r="374" spans="15:26">
      <c r="O374" s="63"/>
      <c r="P374" s="67"/>
      <c r="Q374" s="155"/>
      <c r="R374" s="155"/>
      <c r="S374" s="155"/>
      <c r="T374" s="155"/>
      <c r="U374" s="155"/>
      <c r="V374" s="156"/>
      <c r="X374" s="68"/>
      <c r="Y374" s="68"/>
      <c r="Z374" s="68"/>
    </row>
    <row r="375" spans="15:26">
      <c r="O375" s="63"/>
      <c r="P375" s="67"/>
      <c r="Q375" s="155"/>
      <c r="R375" s="155"/>
      <c r="S375" s="155"/>
      <c r="T375" s="155"/>
      <c r="U375" s="155"/>
      <c r="V375" s="156"/>
      <c r="X375" s="68"/>
      <c r="Y375" s="68"/>
      <c r="Z375" s="68"/>
    </row>
    <row r="376" spans="15:26">
      <c r="O376" s="63"/>
      <c r="P376" s="67"/>
      <c r="Q376" s="155"/>
      <c r="R376" s="155"/>
      <c r="S376" s="155"/>
      <c r="T376" s="155"/>
      <c r="U376" s="155"/>
      <c r="V376" s="156"/>
      <c r="X376" s="68"/>
      <c r="Y376" s="68"/>
      <c r="Z376" s="68"/>
    </row>
    <row r="377" spans="15:26">
      <c r="O377" s="63"/>
      <c r="P377" s="67"/>
      <c r="Q377" s="155"/>
      <c r="R377" s="155"/>
      <c r="S377" s="155"/>
      <c r="T377" s="155"/>
      <c r="U377" s="155"/>
      <c r="V377" s="156"/>
      <c r="X377" s="68"/>
      <c r="Y377" s="68"/>
      <c r="Z377" s="68"/>
    </row>
    <row r="378" spans="15:26">
      <c r="O378" s="63"/>
      <c r="P378" s="67"/>
      <c r="Q378" s="155"/>
      <c r="R378" s="155"/>
      <c r="S378" s="155"/>
      <c r="T378" s="155"/>
      <c r="U378" s="155"/>
      <c r="V378" s="156"/>
      <c r="X378" s="68"/>
      <c r="Y378" s="68"/>
      <c r="Z378" s="68"/>
    </row>
    <row r="379" spans="15:26">
      <c r="O379" s="63"/>
      <c r="P379" s="67"/>
      <c r="Q379" s="155"/>
      <c r="R379" s="155"/>
      <c r="S379" s="155"/>
      <c r="T379" s="155"/>
      <c r="U379" s="155"/>
      <c r="V379" s="156"/>
      <c r="X379" s="68"/>
      <c r="Y379" s="68"/>
      <c r="Z379" s="68"/>
    </row>
    <row r="380" spans="15:26">
      <c r="O380" s="63"/>
      <c r="P380" s="67"/>
      <c r="Q380" s="155"/>
      <c r="R380" s="155"/>
      <c r="S380" s="155"/>
      <c r="T380" s="155"/>
      <c r="U380" s="155"/>
      <c r="V380" s="156"/>
      <c r="X380" s="68"/>
      <c r="Y380" s="68"/>
      <c r="Z380" s="68"/>
    </row>
    <row r="381" spans="15:26">
      <c r="O381" s="63"/>
      <c r="P381" s="67"/>
      <c r="Q381" s="155"/>
      <c r="R381" s="155"/>
      <c r="S381" s="155"/>
      <c r="T381" s="155"/>
      <c r="U381" s="155"/>
      <c r="V381" s="156"/>
      <c r="X381" s="68"/>
      <c r="Y381" s="68"/>
      <c r="Z381" s="68"/>
    </row>
    <row r="382" spans="15:26">
      <c r="O382" s="63"/>
      <c r="P382" s="67"/>
      <c r="Q382" s="155"/>
      <c r="R382" s="155"/>
      <c r="S382" s="155"/>
      <c r="T382" s="155"/>
      <c r="U382" s="155"/>
      <c r="V382" s="156"/>
      <c r="X382" s="68"/>
      <c r="Y382" s="68"/>
      <c r="Z382" s="68"/>
    </row>
    <row r="383" spans="15:26">
      <c r="O383" s="63"/>
      <c r="P383" s="67"/>
      <c r="Q383" s="155"/>
      <c r="R383" s="155"/>
      <c r="S383" s="155"/>
      <c r="T383" s="155"/>
      <c r="U383" s="155"/>
      <c r="V383" s="156"/>
      <c r="X383" s="68"/>
      <c r="Y383" s="68"/>
      <c r="Z383" s="68"/>
    </row>
    <row r="384" spans="15:26">
      <c r="O384" s="63"/>
      <c r="P384" s="67"/>
      <c r="Q384" s="155"/>
      <c r="R384" s="155"/>
      <c r="S384" s="155"/>
      <c r="T384" s="155"/>
      <c r="U384" s="155"/>
      <c r="V384" s="156"/>
      <c r="X384" s="68"/>
      <c r="Y384" s="68"/>
      <c r="Z384" s="68"/>
    </row>
    <row r="385" spans="15:26">
      <c r="O385" s="63"/>
      <c r="P385" s="67"/>
      <c r="Q385" s="155"/>
      <c r="R385" s="155"/>
      <c r="S385" s="155"/>
      <c r="T385" s="155"/>
      <c r="U385" s="155"/>
      <c r="V385" s="156"/>
      <c r="X385" s="68"/>
      <c r="Y385" s="68"/>
      <c r="Z385" s="68"/>
    </row>
    <row r="386" spans="15:26">
      <c r="O386" s="63"/>
      <c r="P386" s="67"/>
      <c r="Q386" s="155"/>
      <c r="R386" s="155"/>
      <c r="S386" s="155"/>
      <c r="T386" s="155"/>
      <c r="U386" s="155"/>
      <c r="V386" s="156"/>
      <c r="X386" s="68"/>
      <c r="Y386" s="68"/>
      <c r="Z386" s="68"/>
    </row>
    <row r="387" spans="15:26">
      <c r="O387" s="63"/>
      <c r="P387" s="67"/>
      <c r="Q387" s="155"/>
      <c r="R387" s="155"/>
      <c r="S387" s="155"/>
      <c r="T387" s="155"/>
      <c r="U387" s="155"/>
      <c r="V387" s="156"/>
      <c r="X387" s="68"/>
      <c r="Y387" s="68"/>
      <c r="Z387" s="68"/>
    </row>
    <row r="388" spans="15:26">
      <c r="O388" s="64"/>
      <c r="P388" s="67"/>
      <c r="Q388" s="155"/>
      <c r="R388" s="155"/>
      <c r="S388" s="155"/>
      <c r="T388" s="155"/>
      <c r="U388" s="155"/>
      <c r="V388" s="156"/>
      <c r="X388" s="68"/>
      <c r="Y388" s="68"/>
      <c r="Z388" s="68"/>
    </row>
    <row r="389" spans="15:26">
      <c r="O389" s="64">
        <v>42552</v>
      </c>
      <c r="P389" s="67"/>
      <c r="Q389" s="155"/>
      <c r="R389" s="155"/>
      <c r="S389" s="155"/>
      <c r="T389" s="155"/>
      <c r="U389" s="155"/>
      <c r="V389" s="156"/>
      <c r="X389" s="68"/>
      <c r="Y389" s="68"/>
      <c r="Z389" s="68"/>
    </row>
    <row r="390" spans="15:26">
      <c r="O390" s="63"/>
      <c r="P390" s="67"/>
      <c r="Q390" s="155"/>
      <c r="R390" s="155"/>
      <c r="S390" s="155"/>
      <c r="T390" s="155"/>
      <c r="U390" s="155"/>
      <c r="V390" s="156"/>
      <c r="X390" s="68"/>
      <c r="Y390" s="68"/>
      <c r="Z390" s="68"/>
    </row>
    <row r="391" spans="15:26">
      <c r="O391" s="63"/>
      <c r="P391" s="67"/>
      <c r="Q391" s="155"/>
      <c r="R391" s="155"/>
      <c r="S391" s="155"/>
      <c r="T391" s="155"/>
      <c r="U391" s="155"/>
      <c r="V391" s="156"/>
      <c r="X391" s="68"/>
      <c r="Y391" s="68"/>
      <c r="Z391" s="68"/>
    </row>
    <row r="392" spans="15:26">
      <c r="O392" s="63"/>
      <c r="P392" s="67"/>
      <c r="Q392" s="155"/>
      <c r="R392" s="155"/>
      <c r="S392" s="155"/>
      <c r="T392" s="155"/>
      <c r="U392" s="155"/>
      <c r="V392" s="156"/>
      <c r="X392" s="68"/>
      <c r="Y392" s="68"/>
      <c r="Z392" s="68"/>
    </row>
    <row r="393" spans="15:26">
      <c r="O393" s="63"/>
      <c r="P393" s="67"/>
      <c r="Q393" s="155"/>
      <c r="R393" s="155"/>
      <c r="S393" s="155"/>
      <c r="T393" s="155"/>
      <c r="U393" s="155"/>
      <c r="V393" s="156"/>
      <c r="X393" s="68"/>
      <c r="Y393" s="68"/>
      <c r="Z393" s="68"/>
    </row>
    <row r="394" spans="15:26">
      <c r="O394" s="63"/>
      <c r="P394" s="67"/>
      <c r="Q394" s="155"/>
      <c r="R394" s="155"/>
      <c r="S394" s="155"/>
      <c r="T394" s="155"/>
      <c r="U394" s="155"/>
      <c r="V394" s="156"/>
      <c r="X394" s="68"/>
      <c r="Y394" s="68"/>
      <c r="Z394" s="68"/>
    </row>
    <row r="395" spans="15:26">
      <c r="O395" s="63"/>
      <c r="P395" s="67"/>
      <c r="Q395" s="155"/>
      <c r="R395" s="155"/>
      <c r="S395" s="155"/>
      <c r="T395" s="155"/>
      <c r="U395" s="155"/>
      <c r="V395" s="156"/>
      <c r="X395" s="68"/>
      <c r="Y395" s="68"/>
      <c r="Z395" s="68"/>
    </row>
    <row r="396" spans="15:26">
      <c r="O396" s="63"/>
      <c r="P396" s="67"/>
      <c r="Q396" s="155"/>
      <c r="R396" s="155"/>
      <c r="S396" s="155"/>
      <c r="T396" s="155"/>
      <c r="U396" s="155"/>
      <c r="V396" s="156"/>
      <c r="X396" s="68"/>
      <c r="Y396" s="68"/>
      <c r="Z396" s="68"/>
    </row>
    <row r="397" spans="15:26">
      <c r="O397" s="63"/>
      <c r="P397" s="67"/>
      <c r="Q397" s="155"/>
      <c r="R397" s="155"/>
      <c r="S397" s="155"/>
      <c r="T397" s="155"/>
      <c r="U397" s="155"/>
      <c r="V397" s="156"/>
      <c r="X397" s="68"/>
      <c r="Y397" s="68"/>
      <c r="Z397" s="68"/>
    </row>
    <row r="398" spans="15:26">
      <c r="O398" s="63"/>
      <c r="P398" s="67"/>
      <c r="Q398" s="155"/>
      <c r="R398" s="155"/>
      <c r="S398" s="155"/>
      <c r="T398" s="155"/>
      <c r="U398" s="155"/>
      <c r="V398" s="156"/>
      <c r="X398" s="68"/>
      <c r="Y398" s="68"/>
      <c r="Z398" s="68"/>
    </row>
    <row r="399" spans="15:26">
      <c r="O399" s="63"/>
      <c r="P399" s="67"/>
      <c r="Q399" s="155"/>
      <c r="R399" s="155"/>
      <c r="S399" s="155"/>
      <c r="T399" s="155"/>
      <c r="U399" s="155"/>
      <c r="V399" s="156"/>
      <c r="X399" s="68"/>
      <c r="Y399" s="68"/>
      <c r="Z399" s="68"/>
    </row>
    <row r="400" spans="15:26">
      <c r="O400" s="63"/>
      <c r="P400" s="67"/>
      <c r="Q400" s="155"/>
      <c r="R400" s="155"/>
      <c r="S400" s="155"/>
      <c r="T400" s="155"/>
      <c r="U400" s="155"/>
      <c r="V400" s="156"/>
      <c r="X400" s="68"/>
      <c r="Y400" s="68"/>
      <c r="Z400" s="68"/>
    </row>
    <row r="401" spans="15:26">
      <c r="O401" s="63"/>
      <c r="P401" s="67"/>
      <c r="Q401" s="155"/>
      <c r="R401" s="155"/>
      <c r="S401" s="155"/>
      <c r="T401" s="155"/>
      <c r="U401" s="155"/>
      <c r="V401" s="156"/>
      <c r="X401" s="68"/>
      <c r="Y401" s="68"/>
      <c r="Z401" s="68"/>
    </row>
    <row r="402" spans="15:26">
      <c r="O402" s="63"/>
      <c r="P402" s="67"/>
      <c r="Q402" s="155"/>
      <c r="R402" s="155"/>
      <c r="S402" s="155"/>
      <c r="T402" s="155"/>
      <c r="U402" s="155"/>
      <c r="V402" s="156"/>
      <c r="X402" s="68"/>
      <c r="Y402" s="68"/>
      <c r="Z402" s="68"/>
    </row>
    <row r="403" spans="15:26">
      <c r="O403" s="63"/>
      <c r="P403" s="67"/>
      <c r="Q403" s="155"/>
      <c r="R403" s="155"/>
      <c r="S403" s="155"/>
      <c r="T403" s="155"/>
      <c r="U403" s="155"/>
      <c r="V403" s="156"/>
      <c r="X403" s="68"/>
      <c r="Y403" s="68"/>
      <c r="Z403" s="68"/>
    </row>
    <row r="404" spans="15:26">
      <c r="O404" s="63"/>
      <c r="P404" s="67"/>
      <c r="Q404" s="155"/>
      <c r="R404" s="155"/>
      <c r="S404" s="155"/>
      <c r="T404" s="155"/>
      <c r="U404" s="155"/>
      <c r="V404" s="156"/>
      <c r="X404" s="68"/>
      <c r="Y404" s="68"/>
      <c r="Z404" s="68"/>
    </row>
    <row r="405" spans="15:26">
      <c r="O405" s="63"/>
      <c r="P405" s="67"/>
      <c r="Q405" s="155"/>
      <c r="R405" s="155"/>
      <c r="S405" s="155"/>
      <c r="T405" s="155"/>
      <c r="U405" s="155"/>
      <c r="V405" s="156"/>
      <c r="X405" s="68"/>
      <c r="Y405" s="68"/>
      <c r="Z405" s="68"/>
    </row>
  </sheetData>
  <pageMargins left="0.75" right="0.75" top="1" bottom="1" header="0" footer="0"/>
  <pageSetup paperSize="9" orientation="portrait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4">
    <pageSetUpPr autoPageBreaks="0"/>
  </sheetPr>
  <dimension ref="A1:R43"/>
  <sheetViews>
    <sheetView showGridLines="0" showRowColHeaders="0" showOutlineSymbols="0" zoomScaleNormal="100" workbookViewId="0">
      <selection activeCell="I40" sqref="H40:I40"/>
    </sheetView>
  </sheetViews>
  <sheetFormatPr baseColWidth="10" defaultColWidth="11.42578125" defaultRowHeight="12.75"/>
  <cols>
    <col min="1" max="1" width="0.140625" style="75" customWidth="1"/>
    <col min="2" max="2" width="2.7109375" style="75" customWidth="1"/>
    <col min="3" max="3" width="23.7109375" style="75" customWidth="1"/>
    <col min="4" max="4" width="1.28515625" style="75" customWidth="1"/>
    <col min="5" max="5" width="59.85546875" style="75" customWidth="1"/>
    <col min="6" max="6" width="11.42578125" style="89"/>
    <col min="7" max="7" width="15.85546875" style="89" customWidth="1"/>
    <col min="8" max="16384" width="11.42578125" style="89"/>
  </cols>
  <sheetData>
    <row r="1" spans="2:18" s="75" customFormat="1" ht="0.75" customHeight="1"/>
    <row r="2" spans="2:18" s="75" customFormat="1" ht="21" customHeight="1">
      <c r="E2" s="106" t="s">
        <v>1</v>
      </c>
    </row>
    <row r="3" spans="2:18" s="75" customFormat="1" ht="15" customHeight="1">
      <c r="E3" s="115" t="str">
        <f>Indice!E3</f>
        <v>Mayo 2019</v>
      </c>
    </row>
    <row r="4" spans="2:18" s="77" customFormat="1" ht="20.25" customHeight="1">
      <c r="B4" s="76"/>
      <c r="C4" s="105" t="s">
        <v>69</v>
      </c>
    </row>
    <row r="5" spans="2:18" s="77" customFormat="1" ht="12.75" customHeight="1">
      <c r="B5" s="76"/>
      <c r="C5" s="78"/>
    </row>
    <row r="6" spans="2:18" s="77" customFormat="1" ht="13.5" customHeight="1">
      <c r="B6" s="76"/>
      <c r="C6" s="79"/>
      <c r="D6" s="80"/>
      <c r="E6" s="80"/>
    </row>
    <row r="7" spans="2:18" s="77" customFormat="1" ht="12.75" customHeight="1">
      <c r="B7" s="76"/>
      <c r="C7" s="305" t="s">
        <v>79</v>
      </c>
      <c r="D7" s="80"/>
      <c r="E7" s="81"/>
      <c r="P7" s="82"/>
      <c r="Q7" s="82"/>
      <c r="R7" s="82"/>
    </row>
    <row r="8" spans="2:18" s="77" customFormat="1" ht="12.75" customHeight="1">
      <c r="B8" s="76"/>
      <c r="C8" s="305"/>
      <c r="D8" s="80"/>
      <c r="E8" s="81"/>
      <c r="P8" s="83"/>
      <c r="Q8" s="83"/>
      <c r="R8" s="83"/>
    </row>
    <row r="9" spans="2:18" s="77" customFormat="1" ht="12.75" customHeight="1">
      <c r="B9" s="76"/>
      <c r="C9" s="305"/>
      <c r="D9" s="80"/>
      <c r="E9" s="81"/>
      <c r="P9" s="84"/>
      <c r="Q9" s="84"/>
      <c r="R9" s="84"/>
    </row>
    <row r="10" spans="2:18" s="77" customFormat="1" ht="12.75" customHeight="1">
      <c r="B10" s="76"/>
      <c r="C10" s="91"/>
      <c r="D10" s="80"/>
      <c r="E10" s="81"/>
      <c r="P10" s="84"/>
      <c r="Q10" s="84"/>
      <c r="R10" s="84"/>
    </row>
    <row r="11" spans="2:18" s="77" customFormat="1" ht="12.75" customHeight="1">
      <c r="B11" s="76"/>
      <c r="C11" s="91"/>
      <c r="D11" s="80"/>
      <c r="E11" s="85"/>
      <c r="P11" s="84"/>
      <c r="Q11" s="84"/>
      <c r="R11" s="84"/>
    </row>
    <row r="12" spans="2:18" s="77" customFormat="1" ht="12.75" customHeight="1">
      <c r="B12" s="76"/>
      <c r="C12" s="91"/>
      <c r="D12" s="80"/>
      <c r="E12" s="85"/>
      <c r="P12" s="84"/>
      <c r="Q12" s="84"/>
      <c r="R12" s="84"/>
    </row>
    <row r="13" spans="2:18" s="77" customFormat="1" ht="12.75" customHeight="1">
      <c r="B13" s="76"/>
      <c r="C13" s="91"/>
      <c r="D13" s="80"/>
      <c r="E13" s="85"/>
      <c r="P13" s="84"/>
      <c r="Q13" s="84"/>
      <c r="R13" s="84"/>
    </row>
    <row r="14" spans="2:18" s="77" customFormat="1" ht="12.75" customHeight="1">
      <c r="B14" s="76"/>
      <c r="C14" s="79"/>
      <c r="D14" s="80"/>
      <c r="E14" s="85"/>
      <c r="P14" s="84"/>
      <c r="Q14" s="84"/>
      <c r="R14" s="84"/>
    </row>
    <row r="15" spans="2:18" s="77" customFormat="1" ht="12.75" customHeight="1">
      <c r="B15" s="76"/>
      <c r="C15" s="79"/>
      <c r="D15" s="80"/>
      <c r="E15" s="85"/>
      <c r="P15" s="84"/>
      <c r="Q15" s="84"/>
      <c r="R15" s="84"/>
    </row>
    <row r="16" spans="2:18" s="77" customFormat="1" ht="12.75" customHeight="1">
      <c r="B16" s="76"/>
      <c r="C16" s="79"/>
      <c r="D16" s="80"/>
      <c r="E16" s="85"/>
      <c r="P16" s="84"/>
      <c r="Q16" s="84"/>
      <c r="R16" s="84"/>
    </row>
    <row r="17" spans="2:9" s="77" customFormat="1" ht="12.75" customHeight="1">
      <c r="B17" s="76"/>
      <c r="C17" s="79"/>
      <c r="D17" s="80"/>
      <c r="E17" s="85"/>
      <c r="G17" s="87"/>
      <c r="H17" s="86"/>
      <c r="I17" s="86"/>
    </row>
    <row r="18" spans="2:9" s="77" customFormat="1" ht="12.75" customHeight="1">
      <c r="B18" s="76"/>
      <c r="C18" s="79"/>
      <c r="D18" s="80"/>
      <c r="E18" s="85"/>
      <c r="G18" s="87"/>
      <c r="H18" s="86"/>
      <c r="I18" s="86"/>
    </row>
    <row r="19" spans="2:9" s="77" customFormat="1" ht="12.75" customHeight="1">
      <c r="B19" s="76"/>
      <c r="C19" s="79"/>
      <c r="D19" s="80"/>
      <c r="E19" s="85"/>
      <c r="G19" s="87"/>
      <c r="H19" s="86"/>
      <c r="I19" s="86"/>
    </row>
    <row r="20" spans="2:9" s="77" customFormat="1" ht="12.75" customHeight="1">
      <c r="B20" s="76"/>
      <c r="C20" s="79"/>
      <c r="D20" s="80"/>
      <c r="E20" s="85"/>
      <c r="G20" s="87"/>
      <c r="H20" s="86"/>
      <c r="I20" s="86"/>
    </row>
    <row r="21" spans="2:9" s="77" customFormat="1" ht="12.75" customHeight="1">
      <c r="B21" s="76"/>
      <c r="C21" s="79"/>
      <c r="D21" s="80"/>
      <c r="E21" s="85"/>
      <c r="G21" s="87"/>
      <c r="H21" s="86"/>
      <c r="I21" s="86"/>
    </row>
    <row r="22" spans="2:9">
      <c r="E22" s="88"/>
      <c r="H22" s="86"/>
      <c r="I22" s="86"/>
    </row>
    <row r="23" spans="2:9" ht="12.75" customHeight="1">
      <c r="E23" s="88"/>
      <c r="H23" s="86"/>
    </row>
    <row r="24" spans="2:9" ht="12.75" customHeight="1">
      <c r="E24" s="88"/>
    </row>
    <row r="25" spans="2:9">
      <c r="E25" s="88"/>
    </row>
    <row r="26" spans="2:9">
      <c r="E26" s="88"/>
    </row>
    <row r="27" spans="2:9">
      <c r="E27" s="88"/>
    </row>
    <row r="28" spans="2:9">
      <c r="E28" s="301"/>
    </row>
    <row r="29" spans="2:9">
      <c r="E29" s="301"/>
    </row>
    <row r="30" spans="2:9">
      <c r="F30" s="90"/>
    </row>
    <row r="31" spans="2:9">
      <c r="F31" s="90"/>
    </row>
    <row r="32" spans="2:9">
      <c r="F32" s="90"/>
    </row>
    <row r="33" spans="6:14">
      <c r="F33" s="90"/>
    </row>
    <row r="34" spans="6:14">
      <c r="F34" s="90"/>
    </row>
    <row r="35" spans="6:14">
      <c r="F35" s="90"/>
    </row>
    <row r="40" spans="6:14">
      <c r="F40" s="75"/>
      <c r="G40" s="75"/>
      <c r="H40" s="75"/>
      <c r="I40" s="75"/>
      <c r="J40" s="75"/>
      <c r="K40" s="75"/>
      <c r="L40" s="75"/>
      <c r="N40" s="75"/>
    </row>
    <row r="41" spans="6:14">
      <c r="F41" s="75"/>
      <c r="G41" s="75"/>
      <c r="H41" s="75"/>
      <c r="I41" s="75"/>
      <c r="J41" s="75"/>
      <c r="K41" s="75"/>
      <c r="L41" s="75"/>
      <c r="N41" s="75"/>
    </row>
    <row r="42" spans="6:14">
      <c r="F42" s="75"/>
      <c r="G42" s="75"/>
      <c r="H42" s="75"/>
      <c r="I42" s="75"/>
      <c r="J42" s="75"/>
      <c r="K42" s="75"/>
      <c r="L42" s="75"/>
      <c r="N42" s="75"/>
    </row>
    <row r="43" spans="6:14">
      <c r="F43" s="75"/>
      <c r="G43" s="75"/>
      <c r="H43" s="75"/>
      <c r="I43" s="75"/>
      <c r="J43" s="75"/>
      <c r="K43" s="75"/>
      <c r="L43" s="75"/>
      <c r="N43" s="75"/>
    </row>
  </sheetData>
  <mergeCells count="2">
    <mergeCell ref="C7:C9"/>
    <mergeCell ref="E28:E29"/>
  </mergeCells>
  <printOptions horizontalCentered="1" verticalCentered="1"/>
  <pageMargins left="0.78740157480314965" right="0.78740157480314965" top="0.78740157480314965" bottom="0.98425196850393704" header="0" footer="0"/>
  <pageSetup paperSize="9" orientation="landscape" horizontalDpi="4294967292" verticalDpi="4294967292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6"/>
  <dimension ref="A1:Z251"/>
  <sheetViews>
    <sheetView zoomScale="80" zoomScaleNormal="80" workbookViewId="0">
      <selection activeCell="U173" sqref="U173"/>
    </sheetView>
  </sheetViews>
  <sheetFormatPr baseColWidth="10" defaultRowHeight="12.75"/>
  <cols>
    <col min="1" max="1" width="26" customWidth="1"/>
    <col min="2" max="7" width="14.7109375" customWidth="1"/>
    <col min="8" max="8" width="23.140625" customWidth="1"/>
    <col min="9" max="26" width="17.5703125" customWidth="1"/>
  </cols>
  <sheetData>
    <row r="1" spans="1:10">
      <c r="A1" s="195" t="s">
        <v>30</v>
      </c>
      <c r="B1" s="195" t="s">
        <v>119</v>
      </c>
    </row>
    <row r="2" spans="1:10">
      <c r="A2" s="189" t="s">
        <v>597</v>
      </c>
      <c r="B2" s="189" t="s">
        <v>598</v>
      </c>
    </row>
    <row r="4" spans="1:10">
      <c r="A4" s="186" t="s">
        <v>30</v>
      </c>
      <c r="B4" s="309" t="s">
        <v>597</v>
      </c>
      <c r="C4" s="310"/>
      <c r="D4" s="310"/>
      <c r="E4" s="310"/>
      <c r="F4" s="310"/>
      <c r="G4" s="310"/>
      <c r="I4" s="186" t="s">
        <v>30</v>
      </c>
      <c r="J4" s="291" t="s">
        <v>597</v>
      </c>
    </row>
    <row r="5" spans="1:10">
      <c r="A5" s="186" t="s">
        <v>116</v>
      </c>
      <c r="B5" s="311" t="s">
        <v>109</v>
      </c>
      <c r="C5" s="312"/>
      <c r="D5" s="312"/>
      <c r="E5" s="312"/>
      <c r="F5" s="312"/>
      <c r="G5" s="312"/>
      <c r="I5" s="195" t="s">
        <v>116</v>
      </c>
      <c r="J5" s="187" t="s">
        <v>109</v>
      </c>
    </row>
    <row r="6" spans="1:10">
      <c r="A6" s="186" t="s">
        <v>117</v>
      </c>
      <c r="B6" s="187" t="s">
        <v>110</v>
      </c>
      <c r="C6" s="187" t="s">
        <v>111</v>
      </c>
      <c r="D6" s="187" t="s">
        <v>112</v>
      </c>
      <c r="E6" s="187" t="s">
        <v>113</v>
      </c>
      <c r="F6" s="187" t="s">
        <v>114</v>
      </c>
      <c r="G6" s="187" t="s">
        <v>115</v>
      </c>
      <c r="I6" s="186" t="s">
        <v>117</v>
      </c>
      <c r="J6" s="187" t="s">
        <v>120</v>
      </c>
    </row>
    <row r="7" spans="1:10">
      <c r="A7" s="186" t="s">
        <v>118</v>
      </c>
      <c r="B7" s="188"/>
      <c r="C7" s="188"/>
      <c r="D7" s="188"/>
      <c r="E7" s="188"/>
      <c r="F7" s="188"/>
      <c r="G7" s="188"/>
      <c r="I7" s="186" t="s">
        <v>118</v>
      </c>
      <c r="J7" s="188"/>
    </row>
    <row r="8" spans="1:10">
      <c r="A8" s="189" t="s">
        <v>2</v>
      </c>
      <c r="B8" s="221">
        <v>1933027.306776</v>
      </c>
      <c r="C8" s="191">
        <v>-0.45129036</v>
      </c>
      <c r="D8" s="221">
        <v>10596746.506743999</v>
      </c>
      <c r="E8" s="191">
        <v>-0.38486215400000001</v>
      </c>
      <c r="F8" s="221">
        <v>27473209.381354</v>
      </c>
      <c r="G8" s="191">
        <v>9.2661317699999995E-2</v>
      </c>
      <c r="I8" s="189" t="s">
        <v>2</v>
      </c>
      <c r="J8" s="190">
        <v>17046.821230000001</v>
      </c>
    </row>
    <row r="9" spans="1:10">
      <c r="A9" s="189" t="s">
        <v>83</v>
      </c>
      <c r="B9" s="221">
        <v>127534.05822399999</v>
      </c>
      <c r="C9" s="191">
        <v>-0.16793612669999999</v>
      </c>
      <c r="D9" s="221">
        <v>801974.40825600002</v>
      </c>
      <c r="E9" s="191">
        <v>-0.39370624589999997</v>
      </c>
      <c r="F9" s="221">
        <v>1488602.676646</v>
      </c>
      <c r="G9" s="191">
        <v>-0.3822324989</v>
      </c>
      <c r="I9" s="189" t="s">
        <v>83</v>
      </c>
      <c r="J9" s="190">
        <v>3328.8900000000003</v>
      </c>
    </row>
    <row r="10" spans="1:10">
      <c r="A10" s="189" t="s">
        <v>3</v>
      </c>
      <c r="B10" s="221">
        <v>3976917.4649999999</v>
      </c>
      <c r="C10" s="191">
        <v>6.6576589300000003E-2</v>
      </c>
      <c r="D10" s="221">
        <v>23681480.309</v>
      </c>
      <c r="E10" s="191">
        <v>9.03664681E-2</v>
      </c>
      <c r="F10" s="221">
        <v>55160271.086000003</v>
      </c>
      <c r="G10" s="191">
        <v>4.3084290999999997E-2</v>
      </c>
      <c r="I10" s="189" t="s">
        <v>3</v>
      </c>
      <c r="J10" s="190">
        <v>7117.29</v>
      </c>
    </row>
    <row r="11" spans="1:10">
      <c r="A11" s="189" t="s">
        <v>4</v>
      </c>
      <c r="B11" s="221">
        <v>343037.18</v>
      </c>
      <c r="C11" s="191">
        <v>-0.84783113259999998</v>
      </c>
      <c r="D11" s="221">
        <v>7212518.7819999997</v>
      </c>
      <c r="E11" s="191">
        <v>-0.36922338469999999</v>
      </c>
      <c r="F11" s="221">
        <v>30659811.866</v>
      </c>
      <c r="G11" s="191">
        <v>-0.19778532109999999</v>
      </c>
      <c r="I11" s="189" t="s">
        <v>4</v>
      </c>
      <c r="J11" s="190">
        <v>9215.0449999999983</v>
      </c>
    </row>
    <row r="12" spans="1:10">
      <c r="A12" s="189" t="s">
        <v>106</v>
      </c>
      <c r="B12" s="221">
        <v>-1E-3</v>
      </c>
      <c r="C12" s="191">
        <v>0</v>
      </c>
      <c r="D12" s="221">
        <v>0</v>
      </c>
      <c r="E12" s="191">
        <v>-1</v>
      </c>
      <c r="F12" s="221">
        <v>0</v>
      </c>
      <c r="G12" s="191">
        <v>-1</v>
      </c>
      <c r="I12" s="189" t="s">
        <v>106</v>
      </c>
      <c r="J12" s="190"/>
    </row>
    <row r="13" spans="1:10">
      <c r="A13" s="189" t="s">
        <v>11</v>
      </c>
      <c r="B13" s="221">
        <v>3896510.7450000001</v>
      </c>
      <c r="C13" s="191">
        <v>0.97950650279999996</v>
      </c>
      <c r="D13" s="221">
        <v>14392024.209000001</v>
      </c>
      <c r="E13" s="191">
        <v>0.66912744710000005</v>
      </c>
      <c r="F13" s="221">
        <v>32172463.852000002</v>
      </c>
      <c r="G13" s="191">
        <v>-4.2570741299999999E-2</v>
      </c>
      <c r="I13" s="189" t="s">
        <v>11</v>
      </c>
      <c r="J13" s="190">
        <v>24561.86</v>
      </c>
    </row>
    <row r="14" spans="1:10">
      <c r="A14" s="189" t="s">
        <v>5</v>
      </c>
      <c r="B14" s="221">
        <v>4580596.8779999996</v>
      </c>
      <c r="C14" s="191">
        <v>0.40330401129999999</v>
      </c>
      <c r="D14" s="221">
        <v>23616102.171</v>
      </c>
      <c r="E14" s="191">
        <v>-6.5842311900000006E-2</v>
      </c>
      <c r="F14" s="221">
        <v>47281113.333999999</v>
      </c>
      <c r="G14" s="191">
        <v>-6.8915946500000005E-2</v>
      </c>
      <c r="I14" s="189" t="s">
        <v>5</v>
      </c>
      <c r="J14" s="190">
        <v>23180.126</v>
      </c>
    </row>
    <row r="15" spans="1:10">
      <c r="A15" s="189" t="s">
        <v>6</v>
      </c>
      <c r="B15" s="221">
        <v>889528.772</v>
      </c>
      <c r="C15" s="191">
        <v>0.14241701949999999</v>
      </c>
      <c r="D15" s="221">
        <v>3402622.2220000001</v>
      </c>
      <c r="E15" s="191">
        <v>0.17074412380000001</v>
      </c>
      <c r="F15" s="221">
        <v>7870232.6710000001</v>
      </c>
      <c r="G15" s="191">
        <v>1.9022760400000002E-2</v>
      </c>
      <c r="I15" s="189" t="s">
        <v>6</v>
      </c>
      <c r="J15" s="190">
        <v>4620.3505250001272</v>
      </c>
    </row>
    <row r="16" spans="1:10">
      <c r="A16" s="189" t="s">
        <v>7</v>
      </c>
      <c r="B16" s="221">
        <v>740997.72699999996</v>
      </c>
      <c r="C16" s="191">
        <v>0.55277193540000003</v>
      </c>
      <c r="D16" s="221">
        <v>2026318.504</v>
      </c>
      <c r="E16" s="191">
        <v>0.46909583510000002</v>
      </c>
      <c r="F16" s="221">
        <v>5071348.841</v>
      </c>
      <c r="G16" s="191">
        <v>1.3196291000000001E-2</v>
      </c>
      <c r="I16" s="189" t="s">
        <v>7</v>
      </c>
      <c r="J16" s="190">
        <v>2304.1129999999998</v>
      </c>
    </row>
    <row r="17" spans="1:10">
      <c r="A17" s="189" t="s">
        <v>8</v>
      </c>
      <c r="B17" s="221">
        <v>282060.07699999999</v>
      </c>
      <c r="C17" s="191">
        <v>-3.0279418900000001E-2</v>
      </c>
      <c r="D17" s="221">
        <v>1453436.3089999999</v>
      </c>
      <c r="E17" s="191">
        <v>4.2072620200000001E-2</v>
      </c>
      <c r="F17" s="221">
        <v>3605204.3829999999</v>
      </c>
      <c r="G17" s="191">
        <v>6.9127542999999998E-3</v>
      </c>
      <c r="I17" s="189" t="s">
        <v>8</v>
      </c>
      <c r="J17" s="190">
        <v>869.90099999999995</v>
      </c>
    </row>
    <row r="18" spans="1:10">
      <c r="A18" s="189" t="s">
        <v>9</v>
      </c>
      <c r="B18" s="221">
        <v>2544197.1940000001</v>
      </c>
      <c r="C18" s="191">
        <v>5.2057715800000001E-2</v>
      </c>
      <c r="D18" s="221">
        <v>12669093.049000001</v>
      </c>
      <c r="E18" s="191">
        <v>7.0052852200000001E-2</v>
      </c>
      <c r="F18" s="221">
        <v>29810174.484999999</v>
      </c>
      <c r="G18" s="191">
        <v>4.9376291000000003E-2</v>
      </c>
      <c r="I18" s="189" t="s">
        <v>9</v>
      </c>
      <c r="J18" s="190">
        <v>5694.7679000000007</v>
      </c>
    </row>
    <row r="19" spans="1:10">
      <c r="A19" s="189" t="s">
        <v>71</v>
      </c>
      <c r="B19" s="221">
        <v>36450.610999999997</v>
      </c>
      <c r="C19" s="191">
        <v>0.49726118759999999</v>
      </c>
      <c r="D19" s="221">
        <v>293385.02850000001</v>
      </c>
      <c r="E19" s="191">
        <v>1.6430588400000001E-2</v>
      </c>
      <c r="F19" s="221">
        <v>737713.22699999996</v>
      </c>
      <c r="G19" s="191">
        <v>-2.32944616E-2</v>
      </c>
      <c r="I19" s="189" t="s">
        <v>71</v>
      </c>
      <c r="J19" s="190">
        <v>123.0415</v>
      </c>
    </row>
    <row r="20" spans="1:10">
      <c r="A20" s="189" t="s">
        <v>72</v>
      </c>
      <c r="B20" s="221">
        <v>154682.19</v>
      </c>
      <c r="C20" s="191">
        <v>0.12884188050000001</v>
      </c>
      <c r="D20" s="221">
        <v>908147.96950000001</v>
      </c>
      <c r="E20" s="191">
        <v>-4.4894894499999997E-2</v>
      </c>
      <c r="F20" s="221">
        <v>2251163.6060000001</v>
      </c>
      <c r="G20" s="191">
        <v>-7.9218417499999999E-2</v>
      </c>
      <c r="I20" s="189" t="s">
        <v>72</v>
      </c>
      <c r="J20" s="190">
        <v>452.3775</v>
      </c>
    </row>
    <row r="21" spans="1:10">
      <c r="A21" s="192" t="s">
        <v>10</v>
      </c>
      <c r="B21" s="222">
        <v>19505540.203000002</v>
      </c>
      <c r="C21" s="194">
        <v>2.5630448600000001E-2</v>
      </c>
      <c r="D21" s="222">
        <v>101053849.46799999</v>
      </c>
      <c r="E21" s="194">
        <v>-3.1729046300000001E-2</v>
      </c>
      <c r="F21" s="222">
        <v>243581309.40900001</v>
      </c>
      <c r="G21" s="194">
        <v>-2.93798249E-2</v>
      </c>
      <c r="I21" s="192" t="s">
        <v>10</v>
      </c>
      <c r="J21" s="193">
        <f>SUM(J8:J20)</f>
        <v>98514.58365500014</v>
      </c>
    </row>
    <row r="22" spans="1:10">
      <c r="A22" s="189" t="s">
        <v>146</v>
      </c>
      <c r="B22" s="221">
        <v>-244462.66399999999</v>
      </c>
      <c r="C22" s="191">
        <v>0.1464012401</v>
      </c>
      <c r="D22" s="221">
        <v>-1432258.695576</v>
      </c>
      <c r="E22" s="191">
        <v>-0.33449169210000002</v>
      </c>
      <c r="F22" s="221">
        <v>-2478602.2927359999</v>
      </c>
      <c r="G22" s="191">
        <v>-0.3702541278</v>
      </c>
    </row>
    <row r="23" spans="1:10">
      <c r="A23" s="189" t="s">
        <v>108</v>
      </c>
      <c r="B23" s="221">
        <v>-143161.29999999999</v>
      </c>
      <c r="C23" s="191">
        <v>0.59840511969999999</v>
      </c>
      <c r="D23" s="221">
        <v>-646396.027</v>
      </c>
      <c r="E23" s="191">
        <v>0.49550225860000002</v>
      </c>
      <c r="F23" s="221">
        <v>-1447527.4550000001</v>
      </c>
      <c r="G23" s="191">
        <v>0.16748554960000001</v>
      </c>
    </row>
    <row r="24" spans="1:10">
      <c r="A24" s="189" t="s">
        <v>147</v>
      </c>
      <c r="B24" s="221">
        <v>747800.53700000001</v>
      </c>
      <c r="C24" s="191">
        <v>-0.45350636900000002</v>
      </c>
      <c r="D24" s="221">
        <v>4489227.4979999997</v>
      </c>
      <c r="E24" s="191">
        <v>7.5331376300000003E-2</v>
      </c>
      <c r="F24" s="221">
        <v>11416799.957</v>
      </c>
      <c r="G24" s="191">
        <v>0.21570157570000001</v>
      </c>
    </row>
    <row r="25" spans="1:10">
      <c r="A25" s="192" t="s">
        <v>148</v>
      </c>
      <c r="B25" s="222">
        <v>19865716.776000001</v>
      </c>
      <c r="C25" s="194">
        <v>-1.0851281900000001E-2</v>
      </c>
      <c r="D25" s="222">
        <v>103464422.243424</v>
      </c>
      <c r="E25" s="194">
        <v>-2.3511931999999999E-2</v>
      </c>
      <c r="F25" s="222">
        <v>251071979.61826399</v>
      </c>
      <c r="G25" s="194">
        <v>-1.6058723E-2</v>
      </c>
    </row>
    <row r="31" spans="1:10">
      <c r="A31" s="108" t="s">
        <v>56</v>
      </c>
      <c r="B31" s="176"/>
      <c r="C31" s="176"/>
      <c r="D31" s="176"/>
      <c r="E31" s="177"/>
      <c r="F31" s="177"/>
    </row>
    <row r="32" spans="1:10">
      <c r="A32" s="109"/>
      <c r="B32" s="92" t="s">
        <v>57</v>
      </c>
      <c r="C32" s="92" t="s">
        <v>14</v>
      </c>
      <c r="D32" s="110"/>
      <c r="E32" s="181"/>
      <c r="F32" s="182" t="s">
        <v>14</v>
      </c>
    </row>
    <row r="33" spans="1:6">
      <c r="A33" s="137" t="s">
        <v>83</v>
      </c>
      <c r="B33" s="133">
        <f>VLOOKUP(A33,I$8:J$22,2,FALSE)</f>
        <v>3328.8900000000003</v>
      </c>
      <c r="C33" s="112">
        <f>ROUND(B33/$B$45*100,1)</f>
        <v>3.4</v>
      </c>
      <c r="D33" s="110"/>
      <c r="E33" s="179" t="s">
        <v>16</v>
      </c>
      <c r="F33" s="180">
        <f>SUM(C33:C38)</f>
        <v>51.199999999999996</v>
      </c>
    </row>
    <row r="34" spans="1:6">
      <c r="A34" s="111" t="s">
        <v>3</v>
      </c>
      <c r="B34" s="133">
        <f>VLOOKUP(A34,I$8:J$22,2,FALSE)</f>
        <v>7117.29</v>
      </c>
      <c r="C34" s="112">
        <f>ROUND(B34/$B$45*100,1)</f>
        <v>7.2</v>
      </c>
      <c r="D34" s="110"/>
      <c r="E34" s="183" t="s">
        <v>17</v>
      </c>
      <c r="F34" s="184">
        <f>SUM(C39:C44)</f>
        <v>48.800000000000004</v>
      </c>
    </row>
    <row r="35" spans="1:6">
      <c r="A35" s="111" t="s">
        <v>4</v>
      </c>
      <c r="B35" s="133">
        <f t="shared" ref="B35:B44" si="0">VLOOKUP(A35,I$8:J$22,2,FALSE)</f>
        <v>9215.0449999999983</v>
      </c>
      <c r="C35" s="112">
        <f>ROUND(B35/$B$45*100,1)</f>
        <v>9.4</v>
      </c>
      <c r="D35" s="110"/>
      <c r="E35" s="177"/>
      <c r="F35" s="177"/>
    </row>
    <row r="36" spans="1:6">
      <c r="A36" s="111" t="s">
        <v>11</v>
      </c>
      <c r="B36" s="133">
        <f t="shared" si="0"/>
        <v>24561.86</v>
      </c>
      <c r="C36" s="112">
        <f>ROUND(B36/$B$45*100,1)</f>
        <v>24.9</v>
      </c>
      <c r="D36" s="110"/>
      <c r="E36" s="177"/>
      <c r="F36" s="177"/>
    </row>
    <row r="37" spans="1:6">
      <c r="A37" s="111" t="s">
        <v>9</v>
      </c>
      <c r="B37" s="133">
        <f t="shared" si="0"/>
        <v>5694.7679000000007</v>
      </c>
      <c r="C37" s="112">
        <f>100-SUM(C33:C36,C38:C44)</f>
        <v>5.7999999999999972</v>
      </c>
      <c r="D37" s="110"/>
      <c r="E37" s="177"/>
      <c r="F37" s="177"/>
    </row>
    <row r="38" spans="1:6">
      <c r="A38" s="111" t="s">
        <v>72</v>
      </c>
      <c r="B38" s="133">
        <f t="shared" si="0"/>
        <v>452.3775</v>
      </c>
      <c r="C38" s="112">
        <f t="shared" ref="C38:C44" si="1">ROUND(B38/$B$45*100,1)</f>
        <v>0.5</v>
      </c>
      <c r="D38" s="110"/>
      <c r="E38" s="177"/>
      <c r="F38" s="177"/>
    </row>
    <row r="39" spans="1:6">
      <c r="A39" s="111" t="s">
        <v>71</v>
      </c>
      <c r="B39" s="133">
        <f t="shared" si="0"/>
        <v>123.0415</v>
      </c>
      <c r="C39" s="112">
        <f t="shared" si="1"/>
        <v>0.1</v>
      </c>
      <c r="D39" s="110"/>
      <c r="E39" s="177"/>
      <c r="F39" s="177"/>
    </row>
    <row r="40" spans="1:6">
      <c r="A40" s="111" t="s">
        <v>5</v>
      </c>
      <c r="B40" s="133">
        <f t="shared" si="0"/>
        <v>23180.126</v>
      </c>
      <c r="C40" s="112">
        <f t="shared" si="1"/>
        <v>23.5</v>
      </c>
      <c r="D40" s="110"/>
      <c r="E40" s="177"/>
      <c r="F40" s="177"/>
    </row>
    <row r="41" spans="1:6">
      <c r="A41" s="111" t="s">
        <v>2</v>
      </c>
      <c r="B41" s="133">
        <f t="shared" si="0"/>
        <v>17046.821230000001</v>
      </c>
      <c r="C41" s="112">
        <f t="shared" si="1"/>
        <v>17.3</v>
      </c>
      <c r="D41" s="110"/>
      <c r="E41" s="177"/>
      <c r="F41" s="177"/>
    </row>
    <row r="42" spans="1:6">
      <c r="A42" s="111" t="s">
        <v>6</v>
      </c>
      <c r="B42" s="133">
        <f t="shared" si="0"/>
        <v>4620.3505250001272</v>
      </c>
      <c r="C42" s="112">
        <f t="shared" si="1"/>
        <v>4.7</v>
      </c>
      <c r="D42" s="110"/>
      <c r="E42" s="177"/>
      <c r="F42" s="177"/>
    </row>
    <row r="43" spans="1:6">
      <c r="A43" s="111" t="s">
        <v>7</v>
      </c>
      <c r="B43" s="133">
        <f t="shared" si="0"/>
        <v>2304.1129999999998</v>
      </c>
      <c r="C43" s="112">
        <f t="shared" si="1"/>
        <v>2.2999999999999998</v>
      </c>
      <c r="D43" s="110"/>
      <c r="E43" s="177"/>
      <c r="F43" s="177"/>
    </row>
    <row r="44" spans="1:6">
      <c r="A44" s="111" t="s">
        <v>8</v>
      </c>
      <c r="B44" s="133">
        <f t="shared" si="0"/>
        <v>869.90099999999995</v>
      </c>
      <c r="C44" s="112">
        <f t="shared" si="1"/>
        <v>0.9</v>
      </c>
      <c r="D44" s="110"/>
      <c r="E44" s="177"/>
      <c r="F44" s="177"/>
    </row>
    <row r="45" spans="1:6">
      <c r="A45" s="113" t="s">
        <v>15</v>
      </c>
      <c r="B45" s="134">
        <f>SUM(B33:B44)</f>
        <v>98514.583655000126</v>
      </c>
      <c r="C45" s="114">
        <f>SUM(C33:C44)</f>
        <v>100</v>
      </c>
      <c r="D45" s="110"/>
      <c r="E45" s="177"/>
      <c r="F45" s="177"/>
    </row>
    <row r="48" spans="1:6">
      <c r="A48" s="108" t="s">
        <v>59</v>
      </c>
      <c r="B48" s="176"/>
      <c r="C48" s="176"/>
      <c r="D48" s="176"/>
      <c r="E48" s="177"/>
      <c r="F48" s="177"/>
    </row>
    <row r="49" spans="1:6">
      <c r="A49" s="109"/>
      <c r="B49" s="92" t="s">
        <v>0</v>
      </c>
      <c r="C49" s="92" t="s">
        <v>14</v>
      </c>
      <c r="D49" s="110"/>
      <c r="E49" s="181"/>
      <c r="F49" s="182" t="s">
        <v>14</v>
      </c>
    </row>
    <row r="50" spans="1:6">
      <c r="A50" s="137" t="s">
        <v>83</v>
      </c>
      <c r="B50" s="185">
        <f>VLOOKUP(A33,A$8:B$22,2,FALSE)/1000</f>
        <v>127.53405822399999</v>
      </c>
      <c r="C50" s="112">
        <f>ROUND(B50/$B$62*100,1)</f>
        <v>0.7</v>
      </c>
      <c r="D50" s="110"/>
      <c r="E50" s="179" t="s">
        <v>16</v>
      </c>
      <c r="F50" s="180">
        <f>SUM(C50:C55)</f>
        <v>56.553948908617464</v>
      </c>
    </row>
    <row r="51" spans="1:6">
      <c r="A51" s="111" t="s">
        <v>3</v>
      </c>
      <c r="B51" s="185">
        <f t="shared" ref="B51:B61" si="2">VLOOKUP(A34,A$8:B$22,2,FALSE)/1000</f>
        <v>3976.917465</v>
      </c>
      <c r="C51" s="112">
        <f t="shared" ref="C51:C60" si="3">ROUND(B51/$B$62*100,1)</f>
        <v>20.399999999999999</v>
      </c>
      <c r="D51" s="135"/>
      <c r="E51" s="183" t="s">
        <v>17</v>
      </c>
      <c r="F51" s="184">
        <f>SUM(C56:C61)</f>
        <v>43.446051091382529</v>
      </c>
    </row>
    <row r="52" spans="1:6">
      <c r="A52" s="111" t="s">
        <v>4</v>
      </c>
      <c r="B52" s="185">
        <f t="shared" si="2"/>
        <v>343.03717999999998</v>
      </c>
      <c r="C52" s="112">
        <f t="shared" si="3"/>
        <v>1.8</v>
      </c>
      <c r="D52" s="135"/>
      <c r="E52" s="177"/>
      <c r="F52" s="177"/>
    </row>
    <row r="53" spans="1:6">
      <c r="A53" s="111" t="s">
        <v>11</v>
      </c>
      <c r="B53" s="185">
        <f t="shared" si="2"/>
        <v>3896.510745</v>
      </c>
      <c r="C53" s="112">
        <f t="shared" si="3"/>
        <v>20</v>
      </c>
      <c r="D53" s="135"/>
      <c r="E53" s="177"/>
      <c r="F53" s="177"/>
    </row>
    <row r="54" spans="1:6">
      <c r="A54" s="111" t="s">
        <v>9</v>
      </c>
      <c r="B54" s="185">
        <f t="shared" si="2"/>
        <v>2544.1971940000003</v>
      </c>
      <c r="C54" s="112">
        <f>100-SUM(C50:C53,C55:C61)</f>
        <v>12.853948908617468</v>
      </c>
      <c r="D54" s="135"/>
      <c r="E54" s="177"/>
      <c r="F54" s="178"/>
    </row>
    <row r="55" spans="1:6">
      <c r="A55" s="111" t="s">
        <v>72</v>
      </c>
      <c r="B55" s="185">
        <f t="shared" si="2"/>
        <v>154.68218999999999</v>
      </c>
      <c r="C55" s="112">
        <f t="shared" si="3"/>
        <v>0.8</v>
      </c>
      <c r="D55" s="135"/>
      <c r="E55" s="177"/>
      <c r="F55" s="177"/>
    </row>
    <row r="56" spans="1:6">
      <c r="A56" s="111" t="s">
        <v>71</v>
      </c>
      <c r="B56" s="185">
        <f t="shared" si="2"/>
        <v>36.450610999999995</v>
      </c>
      <c r="C56" s="112">
        <f t="shared" si="3"/>
        <v>0.2</v>
      </c>
      <c r="D56" s="135"/>
      <c r="E56" s="177"/>
      <c r="F56" s="177"/>
    </row>
    <row r="57" spans="1:6">
      <c r="A57" s="111" t="s">
        <v>5</v>
      </c>
      <c r="B57" s="185">
        <f t="shared" si="2"/>
        <v>4580.5968779999994</v>
      </c>
      <c r="C57" s="112">
        <f t="shared" si="3"/>
        <v>23.5</v>
      </c>
      <c r="D57" s="135"/>
      <c r="E57" s="177"/>
      <c r="F57" s="177"/>
    </row>
    <row r="58" spans="1:6">
      <c r="A58" s="111" t="s">
        <v>2</v>
      </c>
      <c r="B58" s="185">
        <f t="shared" si="2"/>
        <v>1933.0273067759999</v>
      </c>
      <c r="C58" s="112">
        <f t="shared" si="3"/>
        <v>9.9</v>
      </c>
      <c r="D58" s="135"/>
      <c r="E58" s="177"/>
      <c r="F58" s="177"/>
    </row>
    <row r="59" spans="1:6">
      <c r="A59" s="111" t="s">
        <v>6</v>
      </c>
      <c r="B59" s="185">
        <f t="shared" si="2"/>
        <v>889.528772</v>
      </c>
      <c r="C59" s="112">
        <f t="shared" si="3"/>
        <v>4.5999999999999996</v>
      </c>
      <c r="D59" s="135"/>
      <c r="E59" s="177"/>
      <c r="F59" s="177"/>
    </row>
    <row r="60" spans="1:6">
      <c r="A60" s="111" t="s">
        <v>7</v>
      </c>
      <c r="B60" s="185">
        <f t="shared" si="2"/>
        <v>740.99772699999994</v>
      </c>
      <c r="C60" s="112">
        <f t="shared" si="3"/>
        <v>3.8</v>
      </c>
      <c r="D60" s="135"/>
      <c r="E60" s="177"/>
      <c r="F60" s="177"/>
    </row>
    <row r="61" spans="1:6">
      <c r="A61" s="111" t="s">
        <v>8</v>
      </c>
      <c r="B61" s="185">
        <f t="shared" si="2"/>
        <v>282.06007699999998</v>
      </c>
      <c r="C61" s="112">
        <f>B61/$B$62*100</f>
        <v>1.4460510913825289</v>
      </c>
      <c r="D61" s="135"/>
      <c r="E61" s="177"/>
      <c r="F61" s="177"/>
    </row>
    <row r="62" spans="1:6">
      <c r="A62" s="113" t="s">
        <v>15</v>
      </c>
      <c r="B62" s="134">
        <f>SUM(B50:B61)</f>
        <v>19505.540204000001</v>
      </c>
      <c r="C62" s="114">
        <f>SUM(C50:C61)</f>
        <v>100</v>
      </c>
      <c r="D62" s="177"/>
      <c r="E62" s="177"/>
      <c r="F62" s="177"/>
    </row>
    <row r="66" spans="1:8">
      <c r="A66" s="186" t="s">
        <v>31</v>
      </c>
      <c r="B66" s="292" t="s">
        <v>599</v>
      </c>
      <c r="G66" s="186" t="s">
        <v>31</v>
      </c>
      <c r="H66" s="292" t="s">
        <v>145</v>
      </c>
    </row>
    <row r="67" spans="1:8">
      <c r="A67" s="186" t="s">
        <v>117</v>
      </c>
      <c r="B67" s="187" t="s">
        <v>121</v>
      </c>
      <c r="G67" s="186" t="s">
        <v>117</v>
      </c>
      <c r="H67" s="187" t="s">
        <v>121</v>
      </c>
    </row>
    <row r="68" spans="1:8">
      <c r="A68" s="186" t="s">
        <v>122</v>
      </c>
      <c r="B68" s="188"/>
      <c r="G68" s="186" t="s">
        <v>123</v>
      </c>
      <c r="H68" s="188"/>
    </row>
    <row r="69" spans="1:8">
      <c r="A69" s="189" t="s">
        <v>2</v>
      </c>
      <c r="B69" s="190">
        <v>54.902750023999999</v>
      </c>
      <c r="G69" s="189" t="s">
        <v>2</v>
      </c>
      <c r="H69" s="190">
        <v>171.761425718</v>
      </c>
    </row>
    <row r="70" spans="1:8">
      <c r="A70" s="189" t="s">
        <v>83</v>
      </c>
      <c r="B70" s="190">
        <v>3.1260199759999998</v>
      </c>
      <c r="G70" s="189" t="s">
        <v>83</v>
      </c>
      <c r="H70" s="190">
        <v>11.144527282</v>
      </c>
    </row>
    <row r="71" spans="1:8">
      <c r="A71" s="189" t="s">
        <v>3</v>
      </c>
      <c r="B71" s="190">
        <v>144.69963799999999</v>
      </c>
      <c r="G71" s="189" t="s">
        <v>3</v>
      </c>
      <c r="H71" s="190">
        <v>145.826773</v>
      </c>
    </row>
    <row r="72" spans="1:8">
      <c r="A72" s="189" t="s">
        <v>4</v>
      </c>
      <c r="B72" s="190">
        <v>7.0357050000000001</v>
      </c>
      <c r="G72" s="189" t="s">
        <v>4</v>
      </c>
      <c r="H72" s="190">
        <v>36.112304999999999</v>
      </c>
    </row>
    <row r="73" spans="1:8">
      <c r="A73" s="189" t="s">
        <v>106</v>
      </c>
      <c r="B73" s="190">
        <v>0</v>
      </c>
      <c r="G73" s="189" t="s">
        <v>106</v>
      </c>
      <c r="H73" s="190">
        <v>0</v>
      </c>
    </row>
    <row r="74" spans="1:8">
      <c r="A74" s="189" t="s">
        <v>11</v>
      </c>
      <c r="B74" s="190">
        <v>57.004049999999999</v>
      </c>
      <c r="G74" s="189" t="s">
        <v>11</v>
      </c>
      <c r="H74" s="190">
        <v>35.756722000000003</v>
      </c>
    </row>
    <row r="75" spans="1:8">
      <c r="A75" s="189" t="s">
        <v>5</v>
      </c>
      <c r="B75" s="190">
        <v>314.32241699999997</v>
      </c>
      <c r="G75" s="189" t="s">
        <v>5</v>
      </c>
      <c r="H75" s="190">
        <v>326.92698000000001</v>
      </c>
    </row>
    <row r="76" spans="1:8">
      <c r="A76" s="189" t="s">
        <v>6</v>
      </c>
      <c r="B76" s="190">
        <v>18.764225</v>
      </c>
      <c r="G76" s="189" t="s">
        <v>6</v>
      </c>
      <c r="H76" s="190">
        <v>19.805879000000001</v>
      </c>
    </row>
    <row r="77" spans="1:8">
      <c r="A77" s="189" t="s">
        <v>7</v>
      </c>
      <c r="B77" s="190">
        <v>5.4936340000000001</v>
      </c>
      <c r="G77" s="189" t="s">
        <v>7</v>
      </c>
      <c r="H77" s="190">
        <v>11.256307</v>
      </c>
    </row>
    <row r="78" spans="1:8">
      <c r="A78" s="189" t="s">
        <v>8</v>
      </c>
      <c r="B78" s="190">
        <v>8.1856240000000007</v>
      </c>
      <c r="G78" s="189" t="s">
        <v>8</v>
      </c>
      <c r="H78" s="190">
        <v>8.0477620000000005</v>
      </c>
    </row>
    <row r="79" spans="1:8">
      <c r="A79" s="189" t="s">
        <v>9</v>
      </c>
      <c r="B79" s="190">
        <v>78.926751999999993</v>
      </c>
      <c r="G79" s="189" t="s">
        <v>9</v>
      </c>
      <c r="H79" s="190">
        <v>79.388705999999999</v>
      </c>
    </row>
    <row r="80" spans="1:8">
      <c r="A80" s="189" t="s">
        <v>71</v>
      </c>
      <c r="B80" s="190">
        <v>1.2779185</v>
      </c>
      <c r="G80" s="189" t="s">
        <v>71</v>
      </c>
      <c r="H80" s="190">
        <v>2.128638</v>
      </c>
    </row>
    <row r="81" spans="1:11">
      <c r="A81" s="189" t="s">
        <v>72</v>
      </c>
      <c r="B81" s="190">
        <v>4.5459414999999996</v>
      </c>
      <c r="G81" s="189" t="s">
        <v>72</v>
      </c>
      <c r="H81" s="190">
        <v>7.1086039999999997</v>
      </c>
    </row>
    <row r="82" spans="1:11">
      <c r="A82" s="192" t="s">
        <v>10</v>
      </c>
      <c r="B82" s="193">
        <v>698.28467499999999</v>
      </c>
      <c r="G82" s="192" t="s">
        <v>10</v>
      </c>
      <c r="H82" s="193">
        <v>855.26462900000001</v>
      </c>
    </row>
    <row r="83" spans="1:11">
      <c r="A83" s="189" t="s">
        <v>146</v>
      </c>
      <c r="B83" s="190">
        <v>-4.4280720000000002</v>
      </c>
      <c r="G83" s="189" t="s">
        <v>146</v>
      </c>
      <c r="H83" s="190">
        <v>-16.683171999999999</v>
      </c>
    </row>
    <row r="84" spans="1:11">
      <c r="A84" s="189" t="s">
        <v>108</v>
      </c>
      <c r="B84" s="190">
        <v>-4.7226229999999996</v>
      </c>
      <c r="G84" s="189" t="s">
        <v>108</v>
      </c>
      <c r="H84" s="190">
        <v>-2.1485099999999999</v>
      </c>
    </row>
    <row r="85" spans="1:11">
      <c r="A85" s="189" t="s">
        <v>147</v>
      </c>
      <c r="B85" s="190">
        <v>-9.5825040000000001</v>
      </c>
      <c r="G85" s="189" t="s">
        <v>147</v>
      </c>
      <c r="H85" s="190">
        <v>-47.434305999999999</v>
      </c>
    </row>
    <row r="86" spans="1:11">
      <c r="A86" s="192" t="s">
        <v>148</v>
      </c>
      <c r="B86" s="193">
        <v>679.55147599999998</v>
      </c>
      <c r="G86" s="192" t="s">
        <v>148</v>
      </c>
      <c r="H86" s="193">
        <v>788.99864100000002</v>
      </c>
    </row>
    <row r="91" spans="1:11">
      <c r="B91" s="200" t="str">
        <f>"Mes " &amp;B66</f>
        <v>Mes 08/05/2019</v>
      </c>
      <c r="H91" s="200" t="str">
        <f>"Histórico " &amp;H66</f>
        <v>Histórico 20/03/2018</v>
      </c>
    </row>
    <row r="92" spans="1:11">
      <c r="A92" s="157" t="str">
        <f>"Estructura de generacion mensual de energía eléctrica peninsular " &amp; B66</f>
        <v>Estructura de generacion mensual de energía eléctrica peninsular 08/05/2019</v>
      </c>
      <c r="B92" s="176"/>
      <c r="C92" s="176"/>
      <c r="D92" s="176"/>
      <c r="E92" s="199" t="str">
        <f>CONCATENATE("Mes",CHAR(13),MID(A92,66,10))</f>
        <v>Mes_x000D_08/05/2019</v>
      </c>
      <c r="G92" s="157" t="str">
        <f>"Estructura de generacion mensual de energía eléctrica peninsular " &amp; H66</f>
        <v>Estructura de generacion mensual de energía eléctrica peninsular 20/03/2018</v>
      </c>
      <c r="H92" s="176"/>
      <c r="I92" s="176"/>
      <c r="J92" s="176"/>
      <c r="K92" s="176"/>
    </row>
    <row r="93" spans="1:11">
      <c r="A93" s="109"/>
      <c r="B93" s="92" t="s">
        <v>14</v>
      </c>
      <c r="C93" s="110"/>
      <c r="G93" s="109"/>
      <c r="H93" s="92" t="s">
        <v>14</v>
      </c>
      <c r="I93" s="110"/>
    </row>
    <row r="94" spans="1:11">
      <c r="A94" s="111" t="s">
        <v>83</v>
      </c>
      <c r="B94" s="198">
        <f>ROUND(VLOOKUP(A94,A$69:B$84,2,FALSE)/VLOOKUP("Generación",A$69:B$84,2,FALSE)*100,1)</f>
        <v>0.4</v>
      </c>
      <c r="C94" s="110"/>
      <c r="G94" s="111" t="s">
        <v>83</v>
      </c>
      <c r="H94" s="198">
        <f>ROUND(VLOOKUP(G94,G$69:H$84,2,FALSE)/VLOOKUP("Generación",G$69:H$84,2,FALSE)*100,1)</f>
        <v>1.3</v>
      </c>
      <c r="I94" s="110"/>
    </row>
    <row r="95" spans="1:11">
      <c r="A95" s="111" t="s">
        <v>3</v>
      </c>
      <c r="B95" s="198">
        <f>ROUND(VLOOKUP(A95,A$69:B$84,2,FALSE)/VLOOKUP("Generación",A$69:B$84,2,FALSE)*100,1)</f>
        <v>20.7</v>
      </c>
      <c r="C95" s="110"/>
      <c r="G95" s="111" t="s">
        <v>3</v>
      </c>
      <c r="H95" s="198">
        <f>ROUND(VLOOKUP(G95,G$69:H$84,2,FALSE)/VLOOKUP("Generación",G$69:H$84,2,FALSE)*100,1)</f>
        <v>17.100000000000001</v>
      </c>
      <c r="I95" s="110"/>
    </row>
    <row r="96" spans="1:11">
      <c r="A96" s="111" t="s">
        <v>4</v>
      </c>
      <c r="B96" s="198">
        <f>ROUND(VLOOKUP(A96,A$69:B$84,2,FALSE)/VLOOKUP("Generación",A$69:B$84,2,FALSE)*100,1)</f>
        <v>1</v>
      </c>
      <c r="C96" s="110"/>
      <c r="D96" s="177"/>
      <c r="E96" s="177"/>
      <c r="G96" s="111" t="s">
        <v>4</v>
      </c>
      <c r="H96" s="198">
        <f>ROUND(VLOOKUP(G96,G$69:H$84,2,FALSE)/VLOOKUP("Generación",G$69:H$84,2,FALSE)*100,1)</f>
        <v>4.2</v>
      </c>
      <c r="I96" s="110"/>
      <c r="J96" s="177"/>
      <c r="K96" s="177"/>
    </row>
    <row r="97" spans="1:11">
      <c r="A97" s="111" t="s">
        <v>11</v>
      </c>
      <c r="B97" s="198">
        <f>ROUND(VLOOKUP(A97,A$69:B$84,2,FALSE)/VLOOKUP("Generación",A$69:B$84,2,FALSE)*100,1)</f>
        <v>8.1999999999999993</v>
      </c>
      <c r="C97" s="110"/>
      <c r="D97" s="177"/>
      <c r="E97" s="177"/>
      <c r="G97" s="111" t="s">
        <v>11</v>
      </c>
      <c r="H97" s="198">
        <f>ROUND(VLOOKUP(G97,G$69:H$84,2,FALSE)/VLOOKUP("Generación",G$69:H$84,2,FALSE)*100,1)</f>
        <v>4.2</v>
      </c>
      <c r="I97" s="110"/>
      <c r="J97" s="177"/>
      <c r="K97" s="177"/>
    </row>
    <row r="98" spans="1:11">
      <c r="A98" s="111" t="s">
        <v>9</v>
      </c>
      <c r="B98" s="198">
        <f>100-SUM(B94:B97,B99:B105)</f>
        <v>11.200000000000003</v>
      </c>
      <c r="C98" s="110"/>
      <c r="D98" s="110"/>
      <c r="E98" s="110"/>
      <c r="G98" s="111" t="s">
        <v>9</v>
      </c>
      <c r="H98" s="198">
        <f>100-SUM(H94:H97,H99:H105)</f>
        <v>9.4000000000000057</v>
      </c>
      <c r="I98" s="110"/>
      <c r="J98" s="110"/>
      <c r="K98" s="110"/>
    </row>
    <row r="99" spans="1:11">
      <c r="A99" s="111" t="s">
        <v>72</v>
      </c>
      <c r="B99" s="198">
        <f t="shared" ref="B99:B105" si="4">ROUND(VLOOKUP(A99,A$69:B$84,2,FALSE)/VLOOKUP("Generación",A$69:B$84,2,FALSE)*100,1)</f>
        <v>0.7</v>
      </c>
      <c r="C99" s="110"/>
      <c r="D99" s="110"/>
      <c r="E99" s="110"/>
      <c r="G99" s="111" t="s">
        <v>72</v>
      </c>
      <c r="H99" s="198">
        <f t="shared" ref="H99:H105" si="5">ROUND(VLOOKUP(G99,G$69:H$84,2,FALSE)/VLOOKUP("Generación",G$69:H$84,2,FALSE)*100,1)</f>
        <v>0.8</v>
      </c>
      <c r="I99" s="110"/>
      <c r="J99" s="110"/>
      <c r="K99" s="110"/>
    </row>
    <row r="100" spans="1:11">
      <c r="A100" s="111" t="s">
        <v>71</v>
      </c>
      <c r="B100" s="198">
        <f>ROUND(VLOOKUP(A100,A$69:B$84,2,FALSE)/VLOOKUP("Generación",A$69:B$84,2,FALSE)*100,1)</f>
        <v>0.2</v>
      </c>
      <c r="C100" s="110"/>
      <c r="D100" s="110"/>
      <c r="E100" s="110"/>
      <c r="G100" s="111" t="s">
        <v>71</v>
      </c>
      <c r="H100" s="198">
        <f t="shared" si="5"/>
        <v>0.2</v>
      </c>
      <c r="I100" s="110"/>
      <c r="J100" s="110"/>
      <c r="K100" s="110"/>
    </row>
    <row r="101" spans="1:11">
      <c r="A101" s="111" t="s">
        <v>5</v>
      </c>
      <c r="B101" s="198">
        <f t="shared" si="4"/>
        <v>45</v>
      </c>
      <c r="C101" s="110"/>
      <c r="D101" s="110"/>
      <c r="E101" s="110"/>
      <c r="G101" s="111" t="s">
        <v>5</v>
      </c>
      <c r="H101" s="198">
        <f t="shared" si="5"/>
        <v>38.200000000000003</v>
      </c>
      <c r="I101" s="110"/>
      <c r="J101" s="110"/>
      <c r="K101" s="110"/>
    </row>
    <row r="102" spans="1:11">
      <c r="A102" s="111" t="s">
        <v>2</v>
      </c>
      <c r="B102" s="198">
        <f t="shared" si="4"/>
        <v>7.9</v>
      </c>
      <c r="C102" s="110"/>
      <c r="D102" s="110"/>
      <c r="E102" s="110"/>
      <c r="G102" s="111" t="s">
        <v>2</v>
      </c>
      <c r="H102" s="198">
        <f t="shared" si="5"/>
        <v>20.100000000000001</v>
      </c>
      <c r="I102" s="110"/>
      <c r="J102" s="110"/>
      <c r="K102" s="110"/>
    </row>
    <row r="103" spans="1:11">
      <c r="A103" s="111" t="s">
        <v>6</v>
      </c>
      <c r="B103" s="198">
        <f t="shared" si="4"/>
        <v>2.7</v>
      </c>
      <c r="C103" s="110"/>
      <c r="D103" s="110"/>
      <c r="E103" s="110"/>
      <c r="G103" s="111" t="s">
        <v>6</v>
      </c>
      <c r="H103" s="198">
        <f t="shared" si="5"/>
        <v>2.2999999999999998</v>
      </c>
      <c r="I103" s="110"/>
      <c r="J103" s="110"/>
      <c r="K103" s="110"/>
    </row>
    <row r="104" spans="1:11">
      <c r="A104" s="111" t="s">
        <v>7</v>
      </c>
      <c r="B104" s="198">
        <f t="shared" si="4"/>
        <v>0.8</v>
      </c>
      <c r="C104" s="110"/>
      <c r="D104" s="110"/>
      <c r="E104" s="110"/>
      <c r="G104" s="111" t="s">
        <v>7</v>
      </c>
      <c r="H104" s="198">
        <f t="shared" si="5"/>
        <v>1.3</v>
      </c>
      <c r="I104" s="110"/>
      <c r="J104" s="110"/>
      <c r="K104" s="110"/>
    </row>
    <row r="105" spans="1:11">
      <c r="A105" s="111" t="s">
        <v>8</v>
      </c>
      <c r="B105" s="198">
        <f t="shared" si="4"/>
        <v>1.2</v>
      </c>
      <c r="C105" s="176"/>
      <c r="D105" s="176"/>
      <c r="E105" s="176"/>
      <c r="G105" s="111" t="s">
        <v>8</v>
      </c>
      <c r="H105" s="198">
        <f t="shared" si="5"/>
        <v>0.9</v>
      </c>
      <c r="I105" s="177"/>
      <c r="J105" s="177"/>
      <c r="K105" s="177"/>
    </row>
    <row r="106" spans="1:11">
      <c r="A106" s="113" t="s">
        <v>15</v>
      </c>
      <c r="B106" s="114">
        <f>SUM(B94:B105)</f>
        <v>100.00000000000001</v>
      </c>
      <c r="C106" s="176"/>
      <c r="D106" s="176"/>
      <c r="E106" s="176"/>
      <c r="G106" s="113" t="s">
        <v>15</v>
      </c>
      <c r="H106" s="114">
        <f>SUM(H94:H105)</f>
        <v>100</v>
      </c>
      <c r="I106" s="177"/>
      <c r="J106" s="177"/>
      <c r="K106" s="177"/>
    </row>
    <row r="108" spans="1:11">
      <c r="A108" s="181"/>
      <c r="B108" s="182" t="s">
        <v>14</v>
      </c>
      <c r="G108" s="181"/>
      <c r="H108" s="182" t="s">
        <v>14</v>
      </c>
    </row>
    <row r="109" spans="1:11">
      <c r="A109" s="179" t="s">
        <v>16</v>
      </c>
      <c r="B109" s="180">
        <f>SUM(B94:B99)</f>
        <v>42.2</v>
      </c>
      <c r="G109" s="179" t="s">
        <v>16</v>
      </c>
      <c r="H109" s="180">
        <f>SUM(H94:H99)</f>
        <v>37</v>
      </c>
    </row>
    <row r="110" spans="1:11">
      <c r="A110" s="183" t="s">
        <v>17</v>
      </c>
      <c r="B110" s="184">
        <f>SUM(B100:B105)</f>
        <v>57.800000000000004</v>
      </c>
      <c r="G110" s="183" t="s">
        <v>17</v>
      </c>
      <c r="H110" s="184">
        <f>SUM(H100:H105)</f>
        <v>63</v>
      </c>
    </row>
    <row r="115" spans="1:26">
      <c r="A115" s="186" t="s">
        <v>116</v>
      </c>
      <c r="B115" s="309" t="s">
        <v>109</v>
      </c>
      <c r="C115" s="310"/>
      <c r="D115" s="310"/>
      <c r="E115" s="310"/>
      <c r="F115" s="310"/>
      <c r="G115" s="310"/>
      <c r="H115" s="310"/>
      <c r="I115" s="310"/>
      <c r="J115" s="310"/>
      <c r="K115" s="310"/>
      <c r="L115" s="310"/>
      <c r="M115" s="310"/>
      <c r="N115" s="310"/>
      <c r="O115" s="310"/>
      <c r="P115" s="310"/>
      <c r="Q115" s="310"/>
      <c r="R115" s="310"/>
      <c r="S115" s="310"/>
      <c r="T115" s="310"/>
      <c r="U115" s="310"/>
      <c r="V115" s="310"/>
      <c r="W115" s="310"/>
      <c r="X115" s="310"/>
      <c r="Y115" s="310"/>
      <c r="Z115" s="310"/>
    </row>
    <row r="116" spans="1:26">
      <c r="A116" s="186" t="s">
        <v>117</v>
      </c>
      <c r="B116" s="313" t="s">
        <v>121</v>
      </c>
      <c r="C116" s="314"/>
      <c r="D116" s="314"/>
      <c r="E116" s="314"/>
      <c r="F116" s="314"/>
      <c r="G116" s="314"/>
      <c r="H116" s="314"/>
      <c r="I116" s="314"/>
      <c r="J116" s="314"/>
      <c r="K116" s="314"/>
      <c r="L116" s="314"/>
      <c r="M116" s="314"/>
      <c r="N116" s="314"/>
      <c r="O116" s="314"/>
      <c r="P116" s="314"/>
      <c r="Q116" s="314"/>
      <c r="R116" s="314"/>
      <c r="S116" s="314"/>
      <c r="T116" s="314"/>
      <c r="U116" s="314"/>
      <c r="V116" s="314"/>
      <c r="W116" s="314"/>
      <c r="X116" s="314"/>
      <c r="Y116" s="314"/>
      <c r="Z116" s="314"/>
    </row>
    <row r="117" spans="1:26">
      <c r="A117" s="195" t="s">
        <v>30</v>
      </c>
      <c r="B117" s="292" t="s">
        <v>124</v>
      </c>
      <c r="C117" s="292" t="s">
        <v>125</v>
      </c>
      <c r="D117" s="292" t="s">
        <v>126</v>
      </c>
      <c r="E117" s="292" t="s">
        <v>127</v>
      </c>
      <c r="F117" s="292" t="s">
        <v>128</v>
      </c>
      <c r="G117" s="292" t="s">
        <v>129</v>
      </c>
      <c r="H117" s="292" t="s">
        <v>130</v>
      </c>
      <c r="I117" s="292" t="s">
        <v>131</v>
      </c>
      <c r="J117" s="292" t="s">
        <v>132</v>
      </c>
      <c r="K117" s="292" t="s">
        <v>96</v>
      </c>
      <c r="L117" s="292" t="s">
        <v>144</v>
      </c>
      <c r="M117" s="292" t="s">
        <v>143</v>
      </c>
      <c r="N117" s="292" t="s">
        <v>149</v>
      </c>
      <c r="O117" s="292" t="s">
        <v>150</v>
      </c>
      <c r="P117" s="292" t="s">
        <v>151</v>
      </c>
      <c r="Q117" s="292" t="s">
        <v>152</v>
      </c>
      <c r="R117" s="292" t="s">
        <v>588</v>
      </c>
      <c r="S117" s="292" t="s">
        <v>589</v>
      </c>
      <c r="T117" s="292" t="s">
        <v>590</v>
      </c>
      <c r="U117" s="292" t="s">
        <v>591</v>
      </c>
      <c r="V117" s="292" t="s">
        <v>592</v>
      </c>
      <c r="W117" s="292" t="s">
        <v>593</v>
      </c>
      <c r="X117" s="292" t="s">
        <v>594</v>
      </c>
      <c r="Y117" s="292" t="s">
        <v>596</v>
      </c>
      <c r="Z117" s="292" t="s">
        <v>597</v>
      </c>
    </row>
    <row r="118" spans="1:26">
      <c r="A118" s="186" t="s">
        <v>118</v>
      </c>
      <c r="B118" s="201"/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</row>
    <row r="119" spans="1:26">
      <c r="A119" s="189" t="s">
        <v>2</v>
      </c>
      <c r="B119" s="190">
        <v>1935.158531156</v>
      </c>
      <c r="C119" s="190">
        <v>1637.6011437760001</v>
      </c>
      <c r="D119" s="190">
        <v>1192.784178952</v>
      </c>
      <c r="E119" s="190">
        <v>1082.4397687339999</v>
      </c>
      <c r="F119" s="190">
        <v>1147.5808360619999</v>
      </c>
      <c r="G119" s="190">
        <v>773.35631237799998</v>
      </c>
      <c r="H119" s="190">
        <v>832.42263153199997</v>
      </c>
      <c r="I119" s="190">
        <v>1250.58393067</v>
      </c>
      <c r="J119" s="190">
        <v>2194.602565786</v>
      </c>
      <c r="K119" s="190">
        <v>2388.8610043499998</v>
      </c>
      <c r="L119" s="190">
        <v>4402.1243845560002</v>
      </c>
      <c r="M119" s="190">
        <v>4718.1728802460002</v>
      </c>
      <c r="N119" s="190">
        <v>3522.8601173239999</v>
      </c>
      <c r="O119" s="190">
        <v>3711.3022205840002</v>
      </c>
      <c r="P119" s="190">
        <v>3025.6357145860002</v>
      </c>
      <c r="Q119" s="190">
        <v>2104.3621898920001</v>
      </c>
      <c r="R119" s="190">
        <v>1926.4552017619999</v>
      </c>
      <c r="S119" s="190">
        <v>1461.8891523279999</v>
      </c>
      <c r="T119" s="190">
        <v>2160.9439448140001</v>
      </c>
      <c r="U119" s="190">
        <v>2485.8744506439998</v>
      </c>
      <c r="V119" s="190">
        <v>2126.6339542559999</v>
      </c>
      <c r="W119" s="190">
        <v>2482.7010685720002</v>
      </c>
      <c r="X119" s="190">
        <v>2131.4241339519999</v>
      </c>
      <c r="Y119" s="190">
        <v>1922.9600431880001</v>
      </c>
      <c r="Z119" s="190">
        <v>1933.0273067759999</v>
      </c>
    </row>
    <row r="120" spans="1:26">
      <c r="A120" s="189" t="s">
        <v>83</v>
      </c>
      <c r="B120" s="190">
        <v>162.454982844</v>
      </c>
      <c r="C120" s="190">
        <v>91.897749223999995</v>
      </c>
      <c r="D120" s="190">
        <v>98.826694047999993</v>
      </c>
      <c r="E120" s="190">
        <v>112.205176266</v>
      </c>
      <c r="F120" s="190">
        <v>118.471554938</v>
      </c>
      <c r="G120" s="190">
        <v>133.820917622</v>
      </c>
      <c r="H120" s="190">
        <v>222.09125546800001</v>
      </c>
      <c r="I120" s="190">
        <v>309.58646633000001</v>
      </c>
      <c r="J120" s="190">
        <v>273.43649621399999</v>
      </c>
      <c r="K120" s="190">
        <v>180.62302364999999</v>
      </c>
      <c r="L120" s="190">
        <v>369.77771444400003</v>
      </c>
      <c r="M120" s="190">
        <v>345.63732475400002</v>
      </c>
      <c r="N120" s="190">
        <v>153.27436067599999</v>
      </c>
      <c r="O120" s="190">
        <v>58.722846416000003</v>
      </c>
      <c r="P120" s="190">
        <v>35.301049413999998</v>
      </c>
      <c r="Q120" s="190">
        <v>60.003361108</v>
      </c>
      <c r="R120" s="190">
        <v>40.026753237999998</v>
      </c>
      <c r="S120" s="190">
        <v>215.001508672</v>
      </c>
      <c r="T120" s="190">
        <v>142.90349618600001</v>
      </c>
      <c r="U120" s="190">
        <v>134.66925335600001</v>
      </c>
      <c r="V120" s="190">
        <v>166.107001744</v>
      </c>
      <c r="W120" s="190">
        <v>188.79902042800001</v>
      </c>
      <c r="X120" s="190">
        <v>189.243035048</v>
      </c>
      <c r="Y120" s="190">
        <v>130.29129281199999</v>
      </c>
      <c r="Z120" s="190">
        <v>127.53405822400001</v>
      </c>
    </row>
    <row r="121" spans="1:26">
      <c r="A121" s="189" t="s">
        <v>3</v>
      </c>
      <c r="B121" s="190">
        <v>4130.8703100000002</v>
      </c>
      <c r="C121" s="190">
        <v>4034.3327380000001</v>
      </c>
      <c r="D121" s="190">
        <v>4385.200742</v>
      </c>
      <c r="E121" s="190">
        <v>5078.9521169999998</v>
      </c>
      <c r="F121" s="190">
        <v>4722.5735260000001</v>
      </c>
      <c r="G121" s="190">
        <v>4301.3254559999996</v>
      </c>
      <c r="H121" s="190">
        <v>3601.5724140000002</v>
      </c>
      <c r="I121" s="190">
        <v>5039.108604</v>
      </c>
      <c r="J121" s="190">
        <v>5096.3252270000003</v>
      </c>
      <c r="K121" s="190">
        <v>4592.3205680000001</v>
      </c>
      <c r="L121" s="190">
        <v>4488.9170219999996</v>
      </c>
      <c r="M121" s="190">
        <v>3812.588835</v>
      </c>
      <c r="N121" s="190">
        <v>3728.6750010000001</v>
      </c>
      <c r="O121" s="190">
        <v>3591.591351</v>
      </c>
      <c r="P121" s="190">
        <v>4471.0236880000002</v>
      </c>
      <c r="Q121" s="190">
        <v>5135.7248909999998</v>
      </c>
      <c r="R121" s="190">
        <v>5013.0349210000004</v>
      </c>
      <c r="S121" s="190">
        <v>5150.6718030000002</v>
      </c>
      <c r="T121" s="190">
        <v>3829.983448</v>
      </c>
      <c r="U121" s="190">
        <v>4286.7606750000004</v>
      </c>
      <c r="V121" s="190">
        <v>5041.3669819999996</v>
      </c>
      <c r="W121" s="190">
        <v>4766.7856579999998</v>
      </c>
      <c r="X121" s="190">
        <v>5274.7472820000003</v>
      </c>
      <c r="Y121" s="190">
        <v>4621.6629220000004</v>
      </c>
      <c r="Z121" s="190">
        <v>3976.917465</v>
      </c>
    </row>
    <row r="122" spans="1:26">
      <c r="A122" s="189" t="s">
        <v>4</v>
      </c>
      <c r="B122" s="190">
        <v>3525.0074169999998</v>
      </c>
      <c r="C122" s="190">
        <v>4275.5782120000003</v>
      </c>
      <c r="D122" s="190">
        <v>4031.3058569999998</v>
      </c>
      <c r="E122" s="190">
        <v>2962.4341599999998</v>
      </c>
      <c r="F122" s="190">
        <v>2821.1507489999999</v>
      </c>
      <c r="G122" s="190">
        <v>3901.3327119999999</v>
      </c>
      <c r="H122" s="190">
        <v>4664.8877439999997</v>
      </c>
      <c r="I122" s="190">
        <v>4127.9248550000002</v>
      </c>
      <c r="J122" s="190">
        <v>3020.0708690000001</v>
      </c>
      <c r="K122" s="190">
        <v>3488.6858969999998</v>
      </c>
      <c r="L122" s="190">
        <v>1310.6821359999999</v>
      </c>
      <c r="M122" s="190">
        <v>1360.5891569999999</v>
      </c>
      <c r="N122" s="190">
        <v>2254.3190730000001</v>
      </c>
      <c r="O122" s="190">
        <v>2273.6508990000002</v>
      </c>
      <c r="P122" s="190">
        <v>3487.5949369999998</v>
      </c>
      <c r="Q122" s="190">
        <v>3495.8909399999998</v>
      </c>
      <c r="R122" s="190">
        <v>4104.8410020000001</v>
      </c>
      <c r="S122" s="190">
        <v>3364.8328780000002</v>
      </c>
      <c r="T122" s="190">
        <v>3875.2184769999999</v>
      </c>
      <c r="U122" s="190">
        <v>2845.2639509999999</v>
      </c>
      <c r="V122" s="190">
        <v>3075.0438380000001</v>
      </c>
      <c r="W122" s="190">
        <v>2246.8140950000002</v>
      </c>
      <c r="X122" s="190">
        <v>824.670028</v>
      </c>
      <c r="Y122" s="190">
        <v>722.95364099999995</v>
      </c>
      <c r="Z122" s="190">
        <v>343.03717999999998</v>
      </c>
    </row>
    <row r="123" spans="1:26">
      <c r="A123" s="189" t="s">
        <v>106</v>
      </c>
      <c r="B123" s="190">
        <v>0</v>
      </c>
      <c r="C123" s="190">
        <v>0</v>
      </c>
      <c r="D123" s="190">
        <v>0</v>
      </c>
      <c r="E123" s="190">
        <v>-9.9999999999999995E-7</v>
      </c>
      <c r="F123" s="190">
        <v>0</v>
      </c>
      <c r="G123" s="190">
        <v>0</v>
      </c>
      <c r="H123" s="190">
        <v>0</v>
      </c>
      <c r="I123" s="190">
        <v>0</v>
      </c>
      <c r="J123" s="190">
        <v>0</v>
      </c>
      <c r="K123" s="190">
        <v>0</v>
      </c>
      <c r="L123" s="190">
        <v>0</v>
      </c>
      <c r="M123" s="190">
        <v>0</v>
      </c>
      <c r="N123" s="190">
        <v>-9.9999999999999995E-7</v>
      </c>
      <c r="O123" s="190">
        <v>0</v>
      </c>
      <c r="P123" s="190">
        <v>9.9999999999999995E-7</v>
      </c>
      <c r="Q123" s="190">
        <v>-9.9999999999999995E-7</v>
      </c>
      <c r="R123" s="190">
        <v>0</v>
      </c>
      <c r="S123" s="190">
        <v>0</v>
      </c>
      <c r="T123" s="190">
        <v>0</v>
      </c>
      <c r="U123" s="190">
        <v>0</v>
      </c>
      <c r="V123" s="190">
        <v>0</v>
      </c>
      <c r="W123" s="190">
        <v>0</v>
      </c>
      <c r="X123" s="190">
        <v>0</v>
      </c>
      <c r="Y123" s="190">
        <v>9.9999999999999995E-7</v>
      </c>
      <c r="Z123" s="190">
        <v>-9.9999999999999995E-7</v>
      </c>
    </row>
    <row r="124" spans="1:26">
      <c r="A124" s="189" t="s">
        <v>11</v>
      </c>
      <c r="B124" s="190">
        <v>1593.5105450000001</v>
      </c>
      <c r="C124" s="190">
        <v>3169.0061089999999</v>
      </c>
      <c r="D124" s="190">
        <v>3735.905906</v>
      </c>
      <c r="E124" s="190">
        <v>3454.4160280000001</v>
      </c>
      <c r="F124" s="190">
        <v>3197.9247850000002</v>
      </c>
      <c r="G124" s="190">
        <v>3848.6854699999999</v>
      </c>
      <c r="H124" s="190">
        <v>4546.43264</v>
      </c>
      <c r="I124" s="190">
        <v>3028.112431</v>
      </c>
      <c r="J124" s="190">
        <v>2254.6323689999999</v>
      </c>
      <c r="K124" s="190">
        <v>1950.724201</v>
      </c>
      <c r="L124" s="190">
        <v>1248.0405949999999</v>
      </c>
      <c r="M124" s="190">
        <v>1200.6612050000001</v>
      </c>
      <c r="N124" s="190">
        <v>1968.425332</v>
      </c>
      <c r="O124" s="190">
        <v>2180.126706</v>
      </c>
      <c r="P124" s="190">
        <v>2229.279387</v>
      </c>
      <c r="Q124" s="190">
        <v>2663.0061409999998</v>
      </c>
      <c r="R124" s="190">
        <v>2148.659568</v>
      </c>
      <c r="S124" s="190">
        <v>2501.819391</v>
      </c>
      <c r="T124" s="190">
        <v>3160.857532</v>
      </c>
      <c r="U124" s="190">
        <v>2896.6909179999998</v>
      </c>
      <c r="V124" s="190">
        <v>3198.741031</v>
      </c>
      <c r="W124" s="190">
        <v>2453.2148360000001</v>
      </c>
      <c r="X124" s="190">
        <v>2129.3124120000002</v>
      </c>
      <c r="Y124" s="190">
        <v>2714.2451850000002</v>
      </c>
      <c r="Z124" s="190">
        <v>3896.510745</v>
      </c>
    </row>
    <row r="125" spans="1:26">
      <c r="A125" s="189" t="s">
        <v>5</v>
      </c>
      <c r="B125" s="190">
        <v>3440.3491309999999</v>
      </c>
      <c r="C125" s="190">
        <v>3152.0795880000001</v>
      </c>
      <c r="D125" s="190">
        <v>3336.7890189999998</v>
      </c>
      <c r="E125" s="190">
        <v>3296.3615829999999</v>
      </c>
      <c r="F125" s="190">
        <v>2817.340224</v>
      </c>
      <c r="G125" s="190">
        <v>3186.7215689999998</v>
      </c>
      <c r="H125" s="190">
        <v>3957.5312260000001</v>
      </c>
      <c r="I125" s="190">
        <v>5753.2533069999999</v>
      </c>
      <c r="J125" s="190">
        <v>5291.4194159999997</v>
      </c>
      <c r="K125" s="190">
        <v>4633.9354240000002</v>
      </c>
      <c r="L125" s="190">
        <v>7675.5061070000002</v>
      </c>
      <c r="M125" s="190">
        <v>4415.6253749999996</v>
      </c>
      <c r="N125" s="190">
        <v>3264.1514889999999</v>
      </c>
      <c r="O125" s="190">
        <v>2574.1710560000001</v>
      </c>
      <c r="P125" s="190">
        <v>2478.6215710000001</v>
      </c>
      <c r="Q125" s="190">
        <v>3066.01685</v>
      </c>
      <c r="R125" s="190">
        <v>2404.0393210000002</v>
      </c>
      <c r="S125" s="190">
        <v>4297.171472</v>
      </c>
      <c r="T125" s="190">
        <v>4525.9497069999998</v>
      </c>
      <c r="U125" s="190">
        <v>4319.0411860000004</v>
      </c>
      <c r="V125" s="190">
        <v>5970.6598999999997</v>
      </c>
      <c r="W125" s="190">
        <v>3646.4345840000001</v>
      </c>
      <c r="X125" s="190">
        <v>4823.4316840000001</v>
      </c>
      <c r="Y125" s="190">
        <v>4594.9791249999998</v>
      </c>
      <c r="Z125" s="190">
        <v>4580.5968780000003</v>
      </c>
    </row>
    <row r="126" spans="1:26">
      <c r="A126" s="189" t="s">
        <v>6</v>
      </c>
      <c r="B126" s="190">
        <v>834.11876600000005</v>
      </c>
      <c r="C126" s="190">
        <v>840.61535100000003</v>
      </c>
      <c r="D126" s="190">
        <v>875.22784799999999</v>
      </c>
      <c r="E126" s="190">
        <v>779.85283000000004</v>
      </c>
      <c r="F126" s="190">
        <v>742.38754800000004</v>
      </c>
      <c r="G126" s="190">
        <v>652.66983100000004</v>
      </c>
      <c r="H126" s="190">
        <v>516.98067500000002</v>
      </c>
      <c r="I126" s="190">
        <v>409.20418100000001</v>
      </c>
      <c r="J126" s="190">
        <v>418.42106100000001</v>
      </c>
      <c r="K126" s="190">
        <v>487.84570400000001</v>
      </c>
      <c r="L126" s="190">
        <v>556.16750500000001</v>
      </c>
      <c r="M126" s="190">
        <v>665.30385200000001</v>
      </c>
      <c r="N126" s="190">
        <v>778.63753499999996</v>
      </c>
      <c r="O126" s="190">
        <v>780.73612100000003</v>
      </c>
      <c r="P126" s="190">
        <v>892.04790600000001</v>
      </c>
      <c r="Q126" s="190">
        <v>807.36622299999999</v>
      </c>
      <c r="R126" s="190">
        <v>686.52648799999997</v>
      </c>
      <c r="S126" s="190">
        <v>543.23595699999998</v>
      </c>
      <c r="T126" s="190">
        <v>353.619077</v>
      </c>
      <c r="U126" s="190">
        <v>404.07867700000003</v>
      </c>
      <c r="V126" s="190">
        <v>480.728812</v>
      </c>
      <c r="W126" s="190">
        <v>601.892966</v>
      </c>
      <c r="X126" s="190">
        <v>768.80490399999996</v>
      </c>
      <c r="Y126" s="190">
        <v>661.66676800000005</v>
      </c>
      <c r="Z126" s="190">
        <v>889.528772</v>
      </c>
    </row>
    <row r="127" spans="1:26">
      <c r="A127" s="189" t="s">
        <v>7</v>
      </c>
      <c r="B127" s="190">
        <v>607.89817700000003</v>
      </c>
      <c r="C127" s="190">
        <v>761.902153</v>
      </c>
      <c r="D127" s="190">
        <v>812.88028599999996</v>
      </c>
      <c r="E127" s="190">
        <v>692.43517499999996</v>
      </c>
      <c r="F127" s="190">
        <v>608.14265499999999</v>
      </c>
      <c r="G127" s="190">
        <v>398.79322200000001</v>
      </c>
      <c r="H127" s="190">
        <v>220.652322</v>
      </c>
      <c r="I127" s="190">
        <v>131.19532899999999</v>
      </c>
      <c r="J127" s="190">
        <v>112.387517</v>
      </c>
      <c r="K127" s="190">
        <v>229.80815100000001</v>
      </c>
      <c r="L127" s="190">
        <v>233.95594299999999</v>
      </c>
      <c r="M127" s="190">
        <v>325.935092</v>
      </c>
      <c r="N127" s="190">
        <v>477.20963399999999</v>
      </c>
      <c r="O127" s="190">
        <v>551.29260299999999</v>
      </c>
      <c r="P127" s="190">
        <v>858.89832999999999</v>
      </c>
      <c r="Q127" s="190">
        <v>688.557997</v>
      </c>
      <c r="R127" s="190">
        <v>465.63698499999998</v>
      </c>
      <c r="S127" s="190">
        <v>292.49343099999999</v>
      </c>
      <c r="T127" s="190">
        <v>78.576116999999996</v>
      </c>
      <c r="U127" s="190">
        <v>109.57487399999999</v>
      </c>
      <c r="V127" s="190">
        <v>166.15012899999999</v>
      </c>
      <c r="W127" s="190">
        <v>261.97860300000002</v>
      </c>
      <c r="X127" s="190">
        <v>477.92322799999999</v>
      </c>
      <c r="Y127" s="190">
        <v>379.26881700000001</v>
      </c>
      <c r="Z127" s="190">
        <v>740.99772700000005</v>
      </c>
    </row>
    <row r="128" spans="1:26">
      <c r="A128" s="189" t="s">
        <v>8</v>
      </c>
      <c r="B128" s="190">
        <v>297.73007899999999</v>
      </c>
      <c r="C128" s="190">
        <v>301.62935900000002</v>
      </c>
      <c r="D128" s="190">
        <v>332.48288700000001</v>
      </c>
      <c r="E128" s="190">
        <v>315.27266900000001</v>
      </c>
      <c r="F128" s="190">
        <v>308.60664700000001</v>
      </c>
      <c r="G128" s="190">
        <v>308.82652000000002</v>
      </c>
      <c r="H128" s="190">
        <v>306.82307200000002</v>
      </c>
      <c r="I128" s="190">
        <v>312.05713400000002</v>
      </c>
      <c r="J128" s="190">
        <v>295.34999699999997</v>
      </c>
      <c r="K128" s="190">
        <v>300.78865500000001</v>
      </c>
      <c r="L128" s="190">
        <v>270.61248599999999</v>
      </c>
      <c r="M128" s="190">
        <v>237.13678899999999</v>
      </c>
      <c r="N128" s="190">
        <v>290.86737199999999</v>
      </c>
      <c r="O128" s="190">
        <v>304.03843599999999</v>
      </c>
      <c r="P128" s="190">
        <v>323.38476400000002</v>
      </c>
      <c r="Q128" s="190">
        <v>316.43947400000002</v>
      </c>
      <c r="R128" s="190">
        <v>319.40942899999999</v>
      </c>
      <c r="S128" s="190">
        <v>296.78028399999999</v>
      </c>
      <c r="T128" s="190">
        <v>292.56805100000003</v>
      </c>
      <c r="U128" s="190">
        <v>299.14763599999998</v>
      </c>
      <c r="V128" s="190">
        <v>303.393978</v>
      </c>
      <c r="W128" s="190">
        <v>284.70844699999998</v>
      </c>
      <c r="X128" s="190">
        <v>309.30230799999998</v>
      </c>
      <c r="Y128" s="190">
        <v>273.97149899999999</v>
      </c>
      <c r="Z128" s="190">
        <v>282.06007699999998</v>
      </c>
    </row>
    <row r="129" spans="1:26">
      <c r="A129" s="189" t="s">
        <v>9</v>
      </c>
      <c r="B129" s="190">
        <v>2327.2263800000001</v>
      </c>
      <c r="C129" s="190">
        <v>2315.3605090000001</v>
      </c>
      <c r="D129" s="190">
        <v>2398.0747679999999</v>
      </c>
      <c r="E129" s="190">
        <v>2257.6581030000002</v>
      </c>
      <c r="F129" s="190">
        <v>2272.5539779999999</v>
      </c>
      <c r="G129" s="190">
        <v>2392.9653020000001</v>
      </c>
      <c r="H129" s="190">
        <v>2441.5734280000001</v>
      </c>
      <c r="I129" s="190">
        <v>2489.6415259999999</v>
      </c>
      <c r="J129" s="190">
        <v>2480.6091289999999</v>
      </c>
      <c r="K129" s="190">
        <v>2251.5292599999998</v>
      </c>
      <c r="L129" s="190">
        <v>2335.6511700000001</v>
      </c>
      <c r="M129" s="190">
        <v>2353.5937800000002</v>
      </c>
      <c r="N129" s="190">
        <v>2418.3057220000001</v>
      </c>
      <c r="O129" s="190">
        <v>2408.224995</v>
      </c>
      <c r="P129" s="190">
        <v>2441.3647839999999</v>
      </c>
      <c r="Q129" s="190">
        <v>2361.2932569999998</v>
      </c>
      <c r="R129" s="190">
        <v>2408.1177870000001</v>
      </c>
      <c r="S129" s="190">
        <v>2520.0123990000002</v>
      </c>
      <c r="T129" s="190">
        <v>2472.1034989999998</v>
      </c>
      <c r="U129" s="190">
        <v>2529.9647150000001</v>
      </c>
      <c r="V129" s="190">
        <v>2656.3842519999998</v>
      </c>
      <c r="W129" s="190">
        <v>2391.1858710000001</v>
      </c>
      <c r="X129" s="190">
        <v>2588.9622680000002</v>
      </c>
      <c r="Y129" s="190">
        <v>2488.363464</v>
      </c>
      <c r="Z129" s="190">
        <v>2544.1971939999999</v>
      </c>
    </row>
    <row r="130" spans="1:26">
      <c r="A130" s="189" t="s">
        <v>71</v>
      </c>
      <c r="B130" s="190">
        <v>34.262042999999998</v>
      </c>
      <c r="C130" s="190">
        <v>66.986296999999993</v>
      </c>
      <c r="D130" s="190">
        <v>68.889366999999993</v>
      </c>
      <c r="E130" s="190">
        <v>65.701224999999994</v>
      </c>
      <c r="F130" s="190">
        <v>62.429442000000002</v>
      </c>
      <c r="G130" s="190">
        <v>66.129401999999999</v>
      </c>
      <c r="H130" s="190">
        <v>66.557590000000005</v>
      </c>
      <c r="I130" s="190">
        <v>69.971927500000007</v>
      </c>
      <c r="J130" s="190">
        <v>69.2635705</v>
      </c>
      <c r="K130" s="190">
        <v>62.195681999999998</v>
      </c>
      <c r="L130" s="190">
        <v>65.909200499999997</v>
      </c>
      <c r="M130" s="190">
        <v>66.929152000000002</v>
      </c>
      <c r="N130" s="190">
        <v>24.344857999999999</v>
      </c>
      <c r="O130" s="190">
        <v>50.806421</v>
      </c>
      <c r="P130" s="190">
        <v>64.813796999999994</v>
      </c>
      <c r="Q130" s="190">
        <v>65.755174499999995</v>
      </c>
      <c r="R130" s="190">
        <v>64.739834999999999</v>
      </c>
      <c r="S130" s="190">
        <v>66.706254000000001</v>
      </c>
      <c r="T130" s="190">
        <v>61.593868999999998</v>
      </c>
      <c r="U130" s="190">
        <v>69.912847999999997</v>
      </c>
      <c r="V130" s="190">
        <v>63.503646000000003</v>
      </c>
      <c r="W130" s="190">
        <v>61.891773000000001</v>
      </c>
      <c r="X130" s="190">
        <v>67.359962499999995</v>
      </c>
      <c r="Y130" s="190">
        <v>64.179035999999996</v>
      </c>
      <c r="Z130" s="190">
        <v>36.450611000000002</v>
      </c>
    </row>
    <row r="131" spans="1:26">
      <c r="A131" s="189" t="s">
        <v>72</v>
      </c>
      <c r="B131" s="190">
        <v>175.58351999999999</v>
      </c>
      <c r="C131" s="190">
        <v>211.361659</v>
      </c>
      <c r="D131" s="190">
        <v>200.62811600000001</v>
      </c>
      <c r="E131" s="190">
        <v>215.23479399999999</v>
      </c>
      <c r="F131" s="190">
        <v>213.315484</v>
      </c>
      <c r="G131" s="190">
        <v>228.412195</v>
      </c>
      <c r="H131" s="190">
        <v>206.525261</v>
      </c>
      <c r="I131" s="190">
        <v>218.5268145</v>
      </c>
      <c r="J131" s="190">
        <v>226.5715625</v>
      </c>
      <c r="K131" s="190">
        <v>204.21008800000001</v>
      </c>
      <c r="L131" s="190">
        <v>215.3954785</v>
      </c>
      <c r="M131" s="190">
        <v>167.63117500000001</v>
      </c>
      <c r="N131" s="190">
        <v>137.027331</v>
      </c>
      <c r="O131" s="190">
        <v>175.41279499999999</v>
      </c>
      <c r="P131" s="190">
        <v>199.57543200000001</v>
      </c>
      <c r="Q131" s="190">
        <v>194.65527349999999</v>
      </c>
      <c r="R131" s="190">
        <v>189.02059499999999</v>
      </c>
      <c r="S131" s="190">
        <v>201.64167599999999</v>
      </c>
      <c r="T131" s="190">
        <v>191.94905</v>
      </c>
      <c r="U131" s="190">
        <v>190.76081500000001</v>
      </c>
      <c r="V131" s="190">
        <v>196.595054</v>
      </c>
      <c r="W131" s="190">
        <v>180.749244</v>
      </c>
      <c r="X131" s="190">
        <v>200.77886749999999</v>
      </c>
      <c r="Y131" s="190">
        <v>175.342614</v>
      </c>
      <c r="Z131" s="190">
        <v>154.68218999999999</v>
      </c>
    </row>
    <row r="132" spans="1:26">
      <c r="A132" s="192" t="s">
        <v>10</v>
      </c>
      <c r="B132" s="193">
        <v>19064.169881999998</v>
      </c>
      <c r="C132" s="193">
        <v>20858.350868000001</v>
      </c>
      <c r="D132" s="193">
        <v>21468.995669</v>
      </c>
      <c r="E132" s="193">
        <v>20312.963628000001</v>
      </c>
      <c r="F132" s="193">
        <v>19032.477428999999</v>
      </c>
      <c r="G132" s="193">
        <v>20193.038908999999</v>
      </c>
      <c r="H132" s="193">
        <v>21584.050259</v>
      </c>
      <c r="I132" s="193">
        <v>23139.166506000001</v>
      </c>
      <c r="J132" s="193">
        <v>21733.089779999998</v>
      </c>
      <c r="K132" s="193">
        <v>20771.527657999999</v>
      </c>
      <c r="L132" s="193">
        <v>23172.739742000002</v>
      </c>
      <c r="M132" s="193">
        <v>19669.804617000002</v>
      </c>
      <c r="N132" s="193">
        <v>19018.097824</v>
      </c>
      <c r="O132" s="193">
        <v>18660.07645</v>
      </c>
      <c r="P132" s="193">
        <v>20507.541361</v>
      </c>
      <c r="Q132" s="193">
        <v>20959.071770999999</v>
      </c>
      <c r="R132" s="193">
        <v>19770.507885999999</v>
      </c>
      <c r="S132" s="193">
        <v>20912.256205999998</v>
      </c>
      <c r="T132" s="193">
        <v>21146.266267999999</v>
      </c>
      <c r="U132" s="193">
        <v>20571.739999000001</v>
      </c>
      <c r="V132" s="193">
        <v>23445.308578</v>
      </c>
      <c r="W132" s="193">
        <v>19567.156166000001</v>
      </c>
      <c r="X132" s="193">
        <v>19785.960113000001</v>
      </c>
      <c r="Y132" s="193">
        <v>18749.884408000002</v>
      </c>
      <c r="Z132" s="193">
        <v>19505.540203</v>
      </c>
    </row>
    <row r="133" spans="1:26">
      <c r="A133" s="189" t="s">
        <v>146</v>
      </c>
      <c r="B133" s="190">
        <v>-229.22229382399999</v>
      </c>
      <c r="C133" s="190">
        <v>-192.691575</v>
      </c>
      <c r="D133" s="190">
        <v>-174.03281200000001</v>
      </c>
      <c r="E133" s="190">
        <v>-204.91962000000001</v>
      </c>
      <c r="F133" s="190">
        <v>-164.38873100000001</v>
      </c>
      <c r="G133" s="190">
        <v>-222.16092699999999</v>
      </c>
      <c r="H133" s="190">
        <v>-270.17416400000002</v>
      </c>
      <c r="I133" s="190">
        <v>-555.38172199999997</v>
      </c>
      <c r="J133" s="190">
        <v>-391.45797700000003</v>
      </c>
      <c r="K133" s="190">
        <v>-253.86108899999999</v>
      </c>
      <c r="L133" s="190">
        <v>-733.49642400000005</v>
      </c>
      <c r="M133" s="190">
        <v>-560.06841218399995</v>
      </c>
      <c r="N133" s="190">
        <v>-213.24354462900001</v>
      </c>
      <c r="O133" s="190">
        <v>-83.652090872000002</v>
      </c>
      <c r="P133" s="190">
        <v>-57.915355935999997</v>
      </c>
      <c r="Q133" s="190">
        <v>-68.862804159999996</v>
      </c>
      <c r="R133" s="190">
        <v>-48.817158288000002</v>
      </c>
      <c r="S133" s="190">
        <v>-343.47461304799998</v>
      </c>
      <c r="T133" s="190">
        <v>-220.547036048</v>
      </c>
      <c r="U133" s="190">
        <v>-223.074538808</v>
      </c>
      <c r="V133" s="190">
        <v>-268.494950432</v>
      </c>
      <c r="W133" s="190">
        <v>-304.12485214399999</v>
      </c>
      <c r="X133" s="190">
        <v>-375.66352699999999</v>
      </c>
      <c r="Y133" s="190">
        <v>-239.51270199999999</v>
      </c>
      <c r="Z133" s="190">
        <v>-244.46266399999999</v>
      </c>
    </row>
    <row r="134" spans="1:26">
      <c r="A134" s="189" t="s">
        <v>108</v>
      </c>
      <c r="B134" s="190">
        <v>-75.027427000000003</v>
      </c>
      <c r="C134" s="190">
        <v>-114.23341499999999</v>
      </c>
      <c r="D134" s="190">
        <v>-155.21145899999999</v>
      </c>
      <c r="E134" s="190">
        <v>-166.87624500000001</v>
      </c>
      <c r="F134" s="190">
        <v>-116.104623</v>
      </c>
      <c r="G134" s="190">
        <v>-93.286300999999995</v>
      </c>
      <c r="H134" s="190">
        <v>-70.161934000000002</v>
      </c>
      <c r="I134" s="190">
        <v>-91.766864999999996</v>
      </c>
      <c r="J134" s="190">
        <v>-86.203828999999999</v>
      </c>
      <c r="K134" s="190">
        <v>-99.993398999999997</v>
      </c>
      <c r="L134" s="190">
        <v>-89.996875000000003</v>
      </c>
      <c r="M134" s="190">
        <v>-66.467519999999993</v>
      </c>
      <c r="N134" s="190">
        <v>-89.565090999999995</v>
      </c>
      <c r="O134" s="190">
        <v>-108.62363499999999</v>
      </c>
      <c r="P134" s="190">
        <v>-161.79160300000001</v>
      </c>
      <c r="Q134" s="190">
        <v>-153.133589</v>
      </c>
      <c r="R134" s="190">
        <v>-107.931268</v>
      </c>
      <c r="S134" s="190">
        <v>-92.007576999999998</v>
      </c>
      <c r="T134" s="190">
        <v>-65.068314999999998</v>
      </c>
      <c r="U134" s="190">
        <v>-112.575441</v>
      </c>
      <c r="V134" s="190">
        <v>-137.254998</v>
      </c>
      <c r="W134" s="190">
        <v>-119.223619</v>
      </c>
      <c r="X134" s="190">
        <v>-122.32533599999999</v>
      </c>
      <c r="Y134" s="190">
        <v>-124.430774</v>
      </c>
      <c r="Z134" s="190">
        <v>-143.16130000000001</v>
      </c>
    </row>
    <row r="135" spans="1:26">
      <c r="A135" s="189" t="s">
        <v>147</v>
      </c>
      <c r="B135" s="190">
        <v>1444.9895650000001</v>
      </c>
      <c r="C135" s="190">
        <v>1128.8756840000001</v>
      </c>
      <c r="D135" s="190">
        <v>1273.4433959999999</v>
      </c>
      <c r="E135" s="190">
        <v>1827.9167399999999</v>
      </c>
      <c r="F135" s="190">
        <v>1393.3093409999999</v>
      </c>
      <c r="G135" s="190">
        <v>282.97961800000002</v>
      </c>
      <c r="H135" s="190">
        <v>-350.214877</v>
      </c>
      <c r="I135" s="190">
        <v>-339.92811599999999</v>
      </c>
      <c r="J135" s="190">
        <v>1340.2982629999999</v>
      </c>
      <c r="K135" s="190">
        <v>857.10299299999997</v>
      </c>
      <c r="L135" s="190">
        <v>-273.62203199999999</v>
      </c>
      <c r="M135" s="190">
        <v>882.59852599999999</v>
      </c>
      <c r="N135" s="190">
        <v>1368.3609369999999</v>
      </c>
      <c r="O135" s="190">
        <v>1863.9643000000001</v>
      </c>
      <c r="P135" s="190">
        <v>1893.727091</v>
      </c>
      <c r="Q135" s="190">
        <v>1244.0220750000001</v>
      </c>
      <c r="R135" s="190">
        <v>1124.4621509999999</v>
      </c>
      <c r="S135" s="190">
        <v>-182.46856</v>
      </c>
      <c r="T135" s="190">
        <v>44.679403999999998</v>
      </c>
      <c r="U135" s="190">
        <v>939.18599800000004</v>
      </c>
      <c r="V135" s="190">
        <v>246.35344599999999</v>
      </c>
      <c r="W135" s="190">
        <v>1011.7751479999999</v>
      </c>
      <c r="X135" s="190">
        <v>1392.1786890000001</v>
      </c>
      <c r="Y135" s="190">
        <v>1091.119678</v>
      </c>
      <c r="Z135" s="190">
        <v>747.80053699999996</v>
      </c>
    </row>
    <row r="136" spans="1:26">
      <c r="A136" s="192" t="s">
        <v>148</v>
      </c>
      <c r="B136" s="193">
        <v>20204.909726176</v>
      </c>
      <c r="C136" s="193">
        <v>21680.301562000001</v>
      </c>
      <c r="D136" s="193">
        <v>22413.194793999999</v>
      </c>
      <c r="E136" s="193">
        <v>21769.084502999998</v>
      </c>
      <c r="F136" s="193">
        <v>20145.293416</v>
      </c>
      <c r="G136" s="193">
        <v>20160.571298999999</v>
      </c>
      <c r="H136" s="193">
        <v>20893.499284000001</v>
      </c>
      <c r="I136" s="193">
        <v>22152.089802999999</v>
      </c>
      <c r="J136" s="193">
        <v>22595.726236999999</v>
      </c>
      <c r="K136" s="193">
        <v>21274.776162999999</v>
      </c>
      <c r="L136" s="193">
        <v>22075.624411000001</v>
      </c>
      <c r="M136" s="193">
        <v>19925.867210815999</v>
      </c>
      <c r="N136" s="193">
        <v>20083.650125371001</v>
      </c>
      <c r="O136" s="193">
        <v>20331.765024127999</v>
      </c>
      <c r="P136" s="193">
        <v>22181.561493064</v>
      </c>
      <c r="Q136" s="193">
        <v>21981.09745284</v>
      </c>
      <c r="R136" s="193">
        <v>20738.221610712</v>
      </c>
      <c r="S136" s="193">
        <v>20294.305455951999</v>
      </c>
      <c r="T136" s="193">
        <v>20905.330320952002</v>
      </c>
      <c r="U136" s="193">
        <v>21175.276017192002</v>
      </c>
      <c r="V136" s="193">
        <v>23285.912075568001</v>
      </c>
      <c r="W136" s="193">
        <v>20155.582842856002</v>
      </c>
      <c r="X136" s="193">
        <v>20680.149938999999</v>
      </c>
      <c r="Y136" s="193">
        <v>19477.06061</v>
      </c>
      <c r="Z136" s="193">
        <v>19865.716776000001</v>
      </c>
    </row>
    <row r="140" spans="1:26" s="202" customFormat="1" ht="12">
      <c r="A140" s="208" t="s">
        <v>30</v>
      </c>
      <c r="B140" s="208" t="str">
        <f>MID(UPPER(TEXT(B141,"mmm")),1,1)</f>
        <v>M</v>
      </c>
      <c r="C140" s="208" t="str">
        <f t="shared" ref="C140:N140" si="6">MID(UPPER(TEXT(C141,"mmm")),1,1)</f>
        <v>J</v>
      </c>
      <c r="D140" s="208" t="str">
        <f t="shared" si="6"/>
        <v>J</v>
      </c>
      <c r="E140" s="208" t="str">
        <f t="shared" si="6"/>
        <v>A</v>
      </c>
      <c r="F140" s="208" t="str">
        <f t="shared" si="6"/>
        <v>S</v>
      </c>
      <c r="G140" s="208" t="str">
        <f t="shared" si="6"/>
        <v>O</v>
      </c>
      <c r="H140" s="208" t="str">
        <f t="shared" si="6"/>
        <v>N</v>
      </c>
      <c r="I140" s="208" t="str">
        <f t="shared" si="6"/>
        <v>D</v>
      </c>
      <c r="J140" s="208" t="str">
        <f t="shared" si="6"/>
        <v>E</v>
      </c>
      <c r="K140" s="208" t="str">
        <f t="shared" si="6"/>
        <v>F</v>
      </c>
      <c r="L140" s="208" t="str">
        <f t="shared" si="6"/>
        <v>M</v>
      </c>
      <c r="M140" s="208" t="str">
        <f t="shared" si="6"/>
        <v>A</v>
      </c>
      <c r="N140" s="208" t="str">
        <f t="shared" si="6"/>
        <v>M</v>
      </c>
    </row>
    <row r="141" spans="1:26" s="202" customFormat="1" ht="12">
      <c r="A141" s="208" t="s">
        <v>133</v>
      </c>
      <c r="B141" s="208" t="str">
        <f t="shared" ref="B141:L141" si="7">TEXT(EDATE(C141,-1),"mmmm aaaa")</f>
        <v>mayo 2018</v>
      </c>
      <c r="C141" s="208" t="str">
        <f t="shared" si="7"/>
        <v>junio 2018</v>
      </c>
      <c r="D141" s="208" t="str">
        <f t="shared" si="7"/>
        <v>julio 2018</v>
      </c>
      <c r="E141" s="208" t="str">
        <f t="shared" si="7"/>
        <v>agosto 2018</v>
      </c>
      <c r="F141" s="208" t="str">
        <f t="shared" si="7"/>
        <v>septiembre 2018</v>
      </c>
      <c r="G141" s="208" t="str">
        <f t="shared" si="7"/>
        <v>octubre 2018</v>
      </c>
      <c r="H141" s="208" t="str">
        <f t="shared" si="7"/>
        <v>noviembre 2018</v>
      </c>
      <c r="I141" s="208" t="str">
        <f t="shared" si="7"/>
        <v>diciembre 2018</v>
      </c>
      <c r="J141" s="208" t="str">
        <f t="shared" si="7"/>
        <v>enero 2019</v>
      </c>
      <c r="K141" s="208" t="str">
        <f t="shared" si="7"/>
        <v>febrero 2019</v>
      </c>
      <c r="L141" s="208" t="str">
        <f t="shared" si="7"/>
        <v>marzo 2019</v>
      </c>
      <c r="M141" s="208" t="str">
        <f>TEXT(EDATE(N141,-1),"mmmm aaaa")</f>
        <v>abril 2019</v>
      </c>
      <c r="N141" s="208" t="str">
        <f>A2</f>
        <v>Mayo 2019</v>
      </c>
    </row>
    <row r="142" spans="1:26" s="205" customFormat="1" ht="12">
      <c r="A142" s="203" t="s">
        <v>2</v>
      </c>
      <c r="B142" s="204">
        <f t="shared" ref="B142:N142" si="8">HLOOKUP(B$141,$117:$133,3,FALSE)</f>
        <v>3522.8601173239999</v>
      </c>
      <c r="C142" s="204">
        <f t="shared" si="8"/>
        <v>3711.3022205840002</v>
      </c>
      <c r="D142" s="204">
        <f t="shared" si="8"/>
        <v>3025.6357145860002</v>
      </c>
      <c r="E142" s="204">
        <f t="shared" si="8"/>
        <v>2104.3621898920001</v>
      </c>
      <c r="F142" s="204">
        <f t="shared" si="8"/>
        <v>1926.4552017619999</v>
      </c>
      <c r="G142" s="204">
        <f t="shared" si="8"/>
        <v>1461.8891523279999</v>
      </c>
      <c r="H142" s="204">
        <f t="shared" si="8"/>
        <v>2160.9439448140001</v>
      </c>
      <c r="I142" s="204">
        <f t="shared" si="8"/>
        <v>2485.8744506439998</v>
      </c>
      <c r="J142" s="204">
        <f t="shared" si="8"/>
        <v>2126.6339542559999</v>
      </c>
      <c r="K142" s="204">
        <f t="shared" si="8"/>
        <v>2482.7010685720002</v>
      </c>
      <c r="L142" s="204">
        <f t="shared" si="8"/>
        <v>2131.4241339519999</v>
      </c>
      <c r="M142" s="204">
        <f t="shared" si="8"/>
        <v>1922.9600431880001</v>
      </c>
      <c r="N142" s="204">
        <f t="shared" si="8"/>
        <v>1933.0273067759999</v>
      </c>
    </row>
    <row r="143" spans="1:26" s="205" customFormat="1" ht="12">
      <c r="A143" s="203" t="s">
        <v>83</v>
      </c>
      <c r="B143" s="204">
        <f t="shared" ref="B143:N143" si="9">HLOOKUP(B$141,$117:$133,4,FALSE)</f>
        <v>153.27436067599999</v>
      </c>
      <c r="C143" s="204">
        <f t="shared" si="9"/>
        <v>58.722846416000003</v>
      </c>
      <c r="D143" s="204">
        <f t="shared" si="9"/>
        <v>35.301049413999998</v>
      </c>
      <c r="E143" s="204">
        <f t="shared" si="9"/>
        <v>60.003361108</v>
      </c>
      <c r="F143" s="204">
        <f t="shared" si="9"/>
        <v>40.026753237999998</v>
      </c>
      <c r="G143" s="204">
        <f t="shared" si="9"/>
        <v>215.001508672</v>
      </c>
      <c r="H143" s="204">
        <f t="shared" si="9"/>
        <v>142.90349618600001</v>
      </c>
      <c r="I143" s="204">
        <f t="shared" si="9"/>
        <v>134.66925335600001</v>
      </c>
      <c r="J143" s="204">
        <f t="shared" si="9"/>
        <v>166.107001744</v>
      </c>
      <c r="K143" s="204">
        <f t="shared" si="9"/>
        <v>188.79902042800001</v>
      </c>
      <c r="L143" s="204">
        <f t="shared" si="9"/>
        <v>189.243035048</v>
      </c>
      <c r="M143" s="204">
        <f t="shared" si="9"/>
        <v>130.29129281199999</v>
      </c>
      <c r="N143" s="204">
        <f t="shared" si="9"/>
        <v>127.53405822400001</v>
      </c>
    </row>
    <row r="144" spans="1:26" s="205" customFormat="1" ht="12">
      <c r="A144" s="203" t="s">
        <v>3</v>
      </c>
      <c r="B144" s="204">
        <f t="shared" ref="B144:N144" si="10">HLOOKUP(B$141,$117:$133,5,FALSE)</f>
        <v>3728.6750010000001</v>
      </c>
      <c r="C144" s="204">
        <f t="shared" si="10"/>
        <v>3591.591351</v>
      </c>
      <c r="D144" s="204">
        <f t="shared" si="10"/>
        <v>4471.0236880000002</v>
      </c>
      <c r="E144" s="204">
        <f t="shared" si="10"/>
        <v>5135.7248909999998</v>
      </c>
      <c r="F144" s="204">
        <f t="shared" si="10"/>
        <v>5013.0349210000004</v>
      </c>
      <c r="G144" s="204">
        <f t="shared" si="10"/>
        <v>5150.6718030000002</v>
      </c>
      <c r="H144" s="204">
        <f t="shared" si="10"/>
        <v>3829.983448</v>
      </c>
      <c r="I144" s="204">
        <f t="shared" si="10"/>
        <v>4286.7606750000004</v>
      </c>
      <c r="J144" s="204">
        <f t="shared" si="10"/>
        <v>5041.3669819999996</v>
      </c>
      <c r="K144" s="204">
        <f t="shared" si="10"/>
        <v>4766.7856579999998</v>
      </c>
      <c r="L144" s="204">
        <f t="shared" si="10"/>
        <v>5274.7472820000003</v>
      </c>
      <c r="M144" s="204">
        <f t="shared" si="10"/>
        <v>4621.6629220000004</v>
      </c>
      <c r="N144" s="204">
        <f t="shared" si="10"/>
        <v>3976.917465</v>
      </c>
    </row>
    <row r="145" spans="1:14" s="205" customFormat="1" ht="12">
      <c r="A145" s="203" t="s">
        <v>4</v>
      </c>
      <c r="B145" s="204">
        <f t="shared" ref="B145:N145" si="11">HLOOKUP(B$141,$117:$133,6,FALSE)</f>
        <v>2254.3190730000001</v>
      </c>
      <c r="C145" s="204">
        <f t="shared" si="11"/>
        <v>2273.6508990000002</v>
      </c>
      <c r="D145" s="204">
        <f t="shared" si="11"/>
        <v>3487.5949369999998</v>
      </c>
      <c r="E145" s="204">
        <f t="shared" si="11"/>
        <v>3495.8909399999998</v>
      </c>
      <c r="F145" s="204">
        <f t="shared" si="11"/>
        <v>4104.8410020000001</v>
      </c>
      <c r="G145" s="204">
        <f t="shared" si="11"/>
        <v>3364.8328780000002</v>
      </c>
      <c r="H145" s="204">
        <f t="shared" si="11"/>
        <v>3875.2184769999999</v>
      </c>
      <c r="I145" s="204">
        <f t="shared" si="11"/>
        <v>2845.2639509999999</v>
      </c>
      <c r="J145" s="204">
        <f t="shared" si="11"/>
        <v>3075.0438380000001</v>
      </c>
      <c r="K145" s="204">
        <f t="shared" si="11"/>
        <v>2246.8140950000002</v>
      </c>
      <c r="L145" s="204">
        <f t="shared" si="11"/>
        <v>824.670028</v>
      </c>
      <c r="M145" s="204">
        <f t="shared" si="11"/>
        <v>722.95364099999995</v>
      </c>
      <c r="N145" s="204">
        <f t="shared" si="11"/>
        <v>343.03717999999998</v>
      </c>
    </row>
    <row r="146" spans="1:14" s="205" customFormat="1" ht="12">
      <c r="A146" s="203" t="s">
        <v>11</v>
      </c>
      <c r="B146" s="204">
        <f t="shared" ref="B146:N146" si="12">HLOOKUP(B$141,$117:$133,8,FALSE)</f>
        <v>1968.425332</v>
      </c>
      <c r="C146" s="204">
        <f t="shared" si="12"/>
        <v>2180.126706</v>
      </c>
      <c r="D146" s="204">
        <f t="shared" si="12"/>
        <v>2229.279387</v>
      </c>
      <c r="E146" s="204">
        <f t="shared" si="12"/>
        <v>2663.0061409999998</v>
      </c>
      <c r="F146" s="204">
        <f t="shared" si="12"/>
        <v>2148.659568</v>
      </c>
      <c r="G146" s="204">
        <f t="shared" si="12"/>
        <v>2501.819391</v>
      </c>
      <c r="H146" s="204">
        <f t="shared" si="12"/>
        <v>3160.857532</v>
      </c>
      <c r="I146" s="204">
        <f t="shared" si="12"/>
        <v>2896.6909179999998</v>
      </c>
      <c r="J146" s="204">
        <f t="shared" si="12"/>
        <v>3198.741031</v>
      </c>
      <c r="K146" s="204">
        <f t="shared" si="12"/>
        <v>2453.2148360000001</v>
      </c>
      <c r="L146" s="204">
        <f t="shared" si="12"/>
        <v>2129.3124120000002</v>
      </c>
      <c r="M146" s="204">
        <f t="shared" si="12"/>
        <v>2714.2451850000002</v>
      </c>
      <c r="N146" s="204">
        <f t="shared" si="12"/>
        <v>3896.510745</v>
      </c>
    </row>
    <row r="147" spans="1:14" s="205" customFormat="1" ht="12">
      <c r="A147" s="203" t="s">
        <v>5</v>
      </c>
      <c r="B147" s="204">
        <f t="shared" ref="B147:N147" si="13">HLOOKUP(B$141,$117:$133,9,FALSE)</f>
        <v>3264.1514889999999</v>
      </c>
      <c r="C147" s="204">
        <f t="shared" si="13"/>
        <v>2574.1710560000001</v>
      </c>
      <c r="D147" s="204">
        <f t="shared" si="13"/>
        <v>2478.6215710000001</v>
      </c>
      <c r="E147" s="204">
        <f t="shared" si="13"/>
        <v>3066.01685</v>
      </c>
      <c r="F147" s="204">
        <f t="shared" si="13"/>
        <v>2404.0393210000002</v>
      </c>
      <c r="G147" s="204">
        <f t="shared" si="13"/>
        <v>4297.171472</v>
      </c>
      <c r="H147" s="204">
        <f t="shared" si="13"/>
        <v>4525.9497069999998</v>
      </c>
      <c r="I147" s="204">
        <f t="shared" si="13"/>
        <v>4319.0411860000004</v>
      </c>
      <c r="J147" s="204">
        <f t="shared" si="13"/>
        <v>5970.6598999999997</v>
      </c>
      <c r="K147" s="204">
        <f t="shared" si="13"/>
        <v>3646.4345840000001</v>
      </c>
      <c r="L147" s="204">
        <f t="shared" si="13"/>
        <v>4823.4316840000001</v>
      </c>
      <c r="M147" s="204">
        <f t="shared" si="13"/>
        <v>4594.9791249999998</v>
      </c>
      <c r="N147" s="204">
        <f t="shared" si="13"/>
        <v>4580.5968780000003</v>
      </c>
    </row>
    <row r="148" spans="1:14" s="205" customFormat="1" ht="12">
      <c r="A148" s="203" t="s">
        <v>6</v>
      </c>
      <c r="B148" s="204">
        <f t="shared" ref="B148:N148" si="14">HLOOKUP(B$141,$117:$133,10,FALSE)</f>
        <v>778.63753499999996</v>
      </c>
      <c r="C148" s="204">
        <f t="shared" si="14"/>
        <v>780.73612100000003</v>
      </c>
      <c r="D148" s="204">
        <f t="shared" si="14"/>
        <v>892.04790600000001</v>
      </c>
      <c r="E148" s="204">
        <f t="shared" si="14"/>
        <v>807.36622299999999</v>
      </c>
      <c r="F148" s="204">
        <f t="shared" si="14"/>
        <v>686.52648799999997</v>
      </c>
      <c r="G148" s="204">
        <f t="shared" si="14"/>
        <v>543.23595699999998</v>
      </c>
      <c r="H148" s="204">
        <f t="shared" si="14"/>
        <v>353.619077</v>
      </c>
      <c r="I148" s="204">
        <f t="shared" si="14"/>
        <v>404.07867700000003</v>
      </c>
      <c r="J148" s="204">
        <f t="shared" si="14"/>
        <v>480.728812</v>
      </c>
      <c r="K148" s="204">
        <f t="shared" si="14"/>
        <v>601.892966</v>
      </c>
      <c r="L148" s="204">
        <f t="shared" si="14"/>
        <v>768.80490399999996</v>
      </c>
      <c r="M148" s="204">
        <f t="shared" si="14"/>
        <v>661.66676800000005</v>
      </c>
      <c r="N148" s="204">
        <f t="shared" si="14"/>
        <v>889.528772</v>
      </c>
    </row>
    <row r="149" spans="1:14" s="205" customFormat="1" ht="12">
      <c r="A149" s="203" t="s">
        <v>7</v>
      </c>
      <c r="B149" s="204">
        <f t="shared" ref="B149:N149" si="15">HLOOKUP(B$141,$117:$133,11,FALSE)</f>
        <v>477.20963399999999</v>
      </c>
      <c r="C149" s="204">
        <f t="shared" si="15"/>
        <v>551.29260299999999</v>
      </c>
      <c r="D149" s="204">
        <f t="shared" si="15"/>
        <v>858.89832999999999</v>
      </c>
      <c r="E149" s="204">
        <f t="shared" si="15"/>
        <v>688.557997</v>
      </c>
      <c r="F149" s="204">
        <f t="shared" si="15"/>
        <v>465.63698499999998</v>
      </c>
      <c r="G149" s="204">
        <f t="shared" si="15"/>
        <v>292.49343099999999</v>
      </c>
      <c r="H149" s="204">
        <f t="shared" si="15"/>
        <v>78.576116999999996</v>
      </c>
      <c r="I149" s="204">
        <f t="shared" si="15"/>
        <v>109.57487399999999</v>
      </c>
      <c r="J149" s="204">
        <f t="shared" si="15"/>
        <v>166.15012899999999</v>
      </c>
      <c r="K149" s="204">
        <f t="shared" si="15"/>
        <v>261.97860300000002</v>
      </c>
      <c r="L149" s="204">
        <f t="shared" si="15"/>
        <v>477.92322799999999</v>
      </c>
      <c r="M149" s="204">
        <f t="shared" si="15"/>
        <v>379.26881700000001</v>
      </c>
      <c r="N149" s="204">
        <f t="shared" si="15"/>
        <v>740.99772700000005</v>
      </c>
    </row>
    <row r="150" spans="1:14" s="205" customFormat="1" ht="12">
      <c r="A150" s="203" t="s">
        <v>8</v>
      </c>
      <c r="B150" s="204">
        <f t="shared" ref="B150:N150" si="16">HLOOKUP(B$141,$117:$133,12,FALSE)</f>
        <v>290.86737199999999</v>
      </c>
      <c r="C150" s="204">
        <f t="shared" si="16"/>
        <v>304.03843599999999</v>
      </c>
      <c r="D150" s="204">
        <f t="shared" si="16"/>
        <v>323.38476400000002</v>
      </c>
      <c r="E150" s="204">
        <f t="shared" si="16"/>
        <v>316.43947400000002</v>
      </c>
      <c r="F150" s="204">
        <f t="shared" si="16"/>
        <v>319.40942899999999</v>
      </c>
      <c r="G150" s="204">
        <f t="shared" si="16"/>
        <v>296.78028399999999</v>
      </c>
      <c r="H150" s="204">
        <f t="shared" si="16"/>
        <v>292.56805100000003</v>
      </c>
      <c r="I150" s="204">
        <f t="shared" si="16"/>
        <v>299.14763599999998</v>
      </c>
      <c r="J150" s="204">
        <f t="shared" si="16"/>
        <v>303.393978</v>
      </c>
      <c r="K150" s="204">
        <f t="shared" si="16"/>
        <v>284.70844699999998</v>
      </c>
      <c r="L150" s="204">
        <f t="shared" si="16"/>
        <v>309.30230799999998</v>
      </c>
      <c r="M150" s="204">
        <f t="shared" si="16"/>
        <v>273.97149899999999</v>
      </c>
      <c r="N150" s="204">
        <f t="shared" si="16"/>
        <v>282.06007699999998</v>
      </c>
    </row>
    <row r="151" spans="1:14" s="205" customFormat="1" ht="12">
      <c r="A151" s="203" t="s">
        <v>9</v>
      </c>
      <c r="B151" s="204">
        <f t="shared" ref="B151:N151" si="17">HLOOKUP(B$141,$117:$133,13,FALSE)</f>
        <v>2418.3057220000001</v>
      </c>
      <c r="C151" s="204">
        <f t="shared" si="17"/>
        <v>2408.224995</v>
      </c>
      <c r="D151" s="204">
        <f t="shared" si="17"/>
        <v>2441.3647839999999</v>
      </c>
      <c r="E151" s="204">
        <f t="shared" si="17"/>
        <v>2361.2932569999998</v>
      </c>
      <c r="F151" s="204">
        <f t="shared" si="17"/>
        <v>2408.1177870000001</v>
      </c>
      <c r="G151" s="204">
        <f t="shared" si="17"/>
        <v>2520.0123990000002</v>
      </c>
      <c r="H151" s="204">
        <f t="shared" si="17"/>
        <v>2472.1034989999998</v>
      </c>
      <c r="I151" s="204">
        <f t="shared" si="17"/>
        <v>2529.9647150000001</v>
      </c>
      <c r="J151" s="204">
        <f t="shared" si="17"/>
        <v>2656.3842519999998</v>
      </c>
      <c r="K151" s="204">
        <f t="shared" si="17"/>
        <v>2391.1858710000001</v>
      </c>
      <c r="L151" s="204">
        <f t="shared" si="17"/>
        <v>2588.9622680000002</v>
      </c>
      <c r="M151" s="204">
        <f t="shared" si="17"/>
        <v>2488.363464</v>
      </c>
      <c r="N151" s="204">
        <f t="shared" si="17"/>
        <v>2544.1971939999999</v>
      </c>
    </row>
    <row r="152" spans="1:14" s="205" customFormat="1" ht="12">
      <c r="A152" s="203" t="s">
        <v>72</v>
      </c>
      <c r="B152" s="204">
        <f t="shared" ref="B152:M152" si="18">HLOOKUP(B$141,$117:$133,15,FALSE)</f>
        <v>137.027331</v>
      </c>
      <c r="C152" s="204">
        <f t="shared" si="18"/>
        <v>175.41279499999999</v>
      </c>
      <c r="D152" s="204">
        <f t="shared" si="18"/>
        <v>199.57543200000001</v>
      </c>
      <c r="E152" s="204">
        <f t="shared" si="18"/>
        <v>194.65527349999999</v>
      </c>
      <c r="F152" s="204">
        <f t="shared" si="18"/>
        <v>189.02059499999999</v>
      </c>
      <c r="G152" s="204">
        <f t="shared" si="18"/>
        <v>201.64167599999999</v>
      </c>
      <c r="H152" s="204">
        <f t="shared" si="18"/>
        <v>191.94905</v>
      </c>
      <c r="I152" s="204">
        <f t="shared" si="18"/>
        <v>190.76081500000001</v>
      </c>
      <c r="J152" s="204">
        <f t="shared" si="18"/>
        <v>196.595054</v>
      </c>
      <c r="K152" s="204">
        <f t="shared" si="18"/>
        <v>180.749244</v>
      </c>
      <c r="L152" s="204">
        <f t="shared" si="18"/>
        <v>200.77886749999999</v>
      </c>
      <c r="M152" s="204">
        <f t="shared" si="18"/>
        <v>175.342614</v>
      </c>
      <c r="N152" s="204">
        <f>HLOOKUP(N$141,$117:$133,15,FALSE)</f>
        <v>154.68218999999999</v>
      </c>
    </row>
    <row r="153" spans="1:14" s="205" customFormat="1" ht="12">
      <c r="A153" s="203" t="s">
        <v>71</v>
      </c>
      <c r="B153" s="204">
        <f t="shared" ref="B153:M153" si="19">HLOOKUP(B$141,$117:$133,14,FALSE)</f>
        <v>24.344857999999999</v>
      </c>
      <c r="C153" s="204">
        <f t="shared" si="19"/>
        <v>50.806421</v>
      </c>
      <c r="D153" s="204">
        <f t="shared" si="19"/>
        <v>64.813796999999994</v>
      </c>
      <c r="E153" s="204">
        <f t="shared" si="19"/>
        <v>65.755174499999995</v>
      </c>
      <c r="F153" s="204">
        <f t="shared" si="19"/>
        <v>64.739834999999999</v>
      </c>
      <c r="G153" s="204">
        <f t="shared" si="19"/>
        <v>66.706254000000001</v>
      </c>
      <c r="H153" s="204">
        <f t="shared" si="19"/>
        <v>61.593868999999998</v>
      </c>
      <c r="I153" s="204">
        <f t="shared" si="19"/>
        <v>69.912847999999997</v>
      </c>
      <c r="J153" s="204">
        <f t="shared" si="19"/>
        <v>63.503646000000003</v>
      </c>
      <c r="K153" s="204">
        <f t="shared" si="19"/>
        <v>61.891773000000001</v>
      </c>
      <c r="L153" s="204">
        <f t="shared" si="19"/>
        <v>67.359962499999995</v>
      </c>
      <c r="M153" s="204">
        <f t="shared" si="19"/>
        <v>64.179035999999996</v>
      </c>
      <c r="N153" s="204">
        <f>HLOOKUP(N$141,$117:$133,14,FALSE)</f>
        <v>36.450611000000002</v>
      </c>
    </row>
    <row r="154" spans="1:14" s="205" customFormat="1" ht="12">
      <c r="A154" s="206" t="s">
        <v>107</v>
      </c>
      <c r="B154" s="207">
        <f>SUM(B142:B153)</f>
        <v>19018.097825000004</v>
      </c>
      <c r="C154" s="207">
        <f t="shared" ref="C154:N154" si="20">SUM(C142:C153)</f>
        <v>18660.07645</v>
      </c>
      <c r="D154" s="207">
        <f t="shared" si="20"/>
        <v>20507.541360000003</v>
      </c>
      <c r="E154" s="207">
        <f t="shared" si="20"/>
        <v>20959.071771999999</v>
      </c>
      <c r="F154" s="207">
        <f t="shared" si="20"/>
        <v>19770.507886000003</v>
      </c>
      <c r="G154" s="207">
        <f t="shared" si="20"/>
        <v>20912.256206000002</v>
      </c>
      <c r="H154" s="207">
        <f t="shared" si="20"/>
        <v>21146.266267999999</v>
      </c>
      <c r="I154" s="207">
        <f t="shared" si="20"/>
        <v>20571.739999000005</v>
      </c>
      <c r="J154" s="207">
        <f t="shared" si="20"/>
        <v>23445.308578000004</v>
      </c>
      <c r="K154" s="207">
        <f t="shared" si="20"/>
        <v>19567.156166000001</v>
      </c>
      <c r="L154" s="207">
        <f t="shared" si="20"/>
        <v>19785.960112999997</v>
      </c>
      <c r="M154" s="207">
        <f t="shared" si="20"/>
        <v>18749.884407000005</v>
      </c>
      <c r="N154" s="207">
        <f t="shared" si="20"/>
        <v>19505.540204000001</v>
      </c>
    </row>
    <row r="156" spans="1:14" s="205" customFormat="1" ht="12">
      <c r="A156" s="209" t="s">
        <v>136</v>
      </c>
      <c r="B156" s="224">
        <f>B142+B147+B148+B149+B150+B153</f>
        <v>8358.071005324</v>
      </c>
      <c r="C156" s="224">
        <f t="shared" ref="C156:M156" si="21">C142+C147+C148+C149+C150+C153</f>
        <v>7972.3468575839997</v>
      </c>
      <c r="D156" s="224">
        <f t="shared" si="21"/>
        <v>7643.4020825859998</v>
      </c>
      <c r="E156" s="224">
        <f t="shared" si="21"/>
        <v>7048.4979083919998</v>
      </c>
      <c r="F156" s="224">
        <f t="shared" si="21"/>
        <v>5866.8072597620012</v>
      </c>
      <c r="G156" s="224">
        <f t="shared" si="21"/>
        <v>6958.2765503279998</v>
      </c>
      <c r="H156" s="224">
        <f t="shared" si="21"/>
        <v>7473.2507658140003</v>
      </c>
      <c r="I156" s="224">
        <f t="shared" si="21"/>
        <v>7687.6296716440002</v>
      </c>
      <c r="J156" s="224">
        <f t="shared" si="21"/>
        <v>9111.0704192559988</v>
      </c>
      <c r="K156" s="224">
        <f t="shared" si="21"/>
        <v>7339.6074415720013</v>
      </c>
      <c r="L156" s="224">
        <f t="shared" si="21"/>
        <v>8578.2462204520016</v>
      </c>
      <c r="M156" s="224">
        <f t="shared" si="21"/>
        <v>7897.0252881880006</v>
      </c>
      <c r="N156" s="224">
        <f>N142+N147+N148+N149+N150+N153</f>
        <v>8462.6613717759992</v>
      </c>
    </row>
    <row r="157" spans="1:14" s="205" customFormat="1" ht="12">
      <c r="A157" s="209" t="s">
        <v>137</v>
      </c>
      <c r="B157" s="224">
        <f>B143+B144+B145+B146+B151+B152</f>
        <v>10660.026819675999</v>
      </c>
      <c r="C157" s="224">
        <f t="shared" ref="C157:N157" si="22">C143+C144+C145+C146+C151+C152</f>
        <v>10687.729592416001</v>
      </c>
      <c r="D157" s="224">
        <f t="shared" si="22"/>
        <v>12864.139277413999</v>
      </c>
      <c r="E157" s="224">
        <f t="shared" si="22"/>
        <v>13910.573863607999</v>
      </c>
      <c r="F157" s="224">
        <f t="shared" si="22"/>
        <v>13903.700626238</v>
      </c>
      <c r="G157" s="224">
        <f t="shared" si="22"/>
        <v>13953.979655671999</v>
      </c>
      <c r="H157" s="224">
        <f t="shared" si="22"/>
        <v>13673.015502186001</v>
      </c>
      <c r="I157" s="224">
        <f t="shared" si="22"/>
        <v>12884.110327356</v>
      </c>
      <c r="J157" s="224">
        <f t="shared" si="22"/>
        <v>14334.238158743998</v>
      </c>
      <c r="K157" s="224">
        <f t="shared" si="22"/>
        <v>12227.548724428001</v>
      </c>
      <c r="L157" s="224">
        <f t="shared" si="22"/>
        <v>11207.713892547998</v>
      </c>
      <c r="M157" s="224">
        <f t="shared" si="22"/>
        <v>10852.859118812001</v>
      </c>
      <c r="N157" s="224">
        <f t="shared" si="22"/>
        <v>11042.878832224</v>
      </c>
    </row>
    <row r="158" spans="1:14" s="205" customFormat="1" ht="12">
      <c r="A158" s="209" t="s">
        <v>138</v>
      </c>
      <c r="B158" s="210">
        <f t="shared" ref="B158:M158" si="23">ROUND(B142/B$154*100,1)+ROUND(B147/B$154*100,1)+ROUND(B148/B$154*100,1)+ROUND(B149/B$154*100,1)+ROUND(B150/B$154*100,1)+ROUND(B153/B$154*100,1)</f>
        <v>43.900000000000006</v>
      </c>
      <c r="C158" s="210">
        <f t="shared" si="23"/>
        <v>42.800000000000004</v>
      </c>
      <c r="D158" s="210">
        <f t="shared" si="23"/>
        <v>37.299999999999997</v>
      </c>
      <c r="E158" s="210">
        <f t="shared" si="23"/>
        <v>33.599999999999994</v>
      </c>
      <c r="F158" s="210">
        <f t="shared" si="23"/>
        <v>29.7</v>
      </c>
      <c r="G158" s="210">
        <f t="shared" si="23"/>
        <v>33.199999999999996</v>
      </c>
      <c r="H158" s="210">
        <f t="shared" si="23"/>
        <v>35.399999999999991</v>
      </c>
      <c r="I158" s="210">
        <f t="shared" si="23"/>
        <v>37.4</v>
      </c>
      <c r="J158" s="210">
        <f t="shared" si="23"/>
        <v>39</v>
      </c>
      <c r="K158" s="210">
        <f t="shared" si="23"/>
        <v>37.499999999999993</v>
      </c>
      <c r="L158" s="210">
        <f t="shared" si="23"/>
        <v>43.4</v>
      </c>
      <c r="M158" s="210">
        <f t="shared" si="23"/>
        <v>42.099999999999994</v>
      </c>
      <c r="N158" s="210">
        <f>ROUND(N142/N$154*100,1)+ROUND(N147/N$154*100,1)+ROUND(N148/N$154*100,1)+ROUND(N149/N$154*100,1)+ROUND(N150/N$154*100,1)+ROUND(N153/N$154*100,1)</f>
        <v>43.4</v>
      </c>
    </row>
    <row r="159" spans="1:14" s="205" customFormat="1" ht="12">
      <c r="A159" s="209" t="s">
        <v>139</v>
      </c>
      <c r="B159" s="210">
        <f t="shared" ref="B159:M159" si="24">100-B158</f>
        <v>56.099999999999994</v>
      </c>
      <c r="C159" s="210">
        <f t="shared" si="24"/>
        <v>57.199999999999996</v>
      </c>
      <c r="D159" s="210">
        <f t="shared" si="24"/>
        <v>62.7</v>
      </c>
      <c r="E159" s="210">
        <f t="shared" si="24"/>
        <v>66.400000000000006</v>
      </c>
      <c r="F159" s="210">
        <f t="shared" si="24"/>
        <v>70.3</v>
      </c>
      <c r="G159" s="210">
        <f t="shared" si="24"/>
        <v>66.800000000000011</v>
      </c>
      <c r="H159" s="210">
        <f t="shared" si="24"/>
        <v>64.600000000000009</v>
      </c>
      <c r="I159" s="210">
        <f t="shared" si="24"/>
        <v>62.6</v>
      </c>
      <c r="J159" s="210">
        <f t="shared" si="24"/>
        <v>61</v>
      </c>
      <c r="K159" s="210">
        <f t="shared" si="24"/>
        <v>62.500000000000007</v>
      </c>
      <c r="L159" s="210">
        <f t="shared" si="24"/>
        <v>56.6</v>
      </c>
      <c r="M159" s="210">
        <f t="shared" si="24"/>
        <v>57.900000000000006</v>
      </c>
      <c r="N159" s="210">
        <f>100-N158</f>
        <v>56.6</v>
      </c>
    </row>
    <row r="160" spans="1:14" s="205" customFormat="1" ht="12">
      <c r="A160" s="209"/>
      <c r="B160" s="209"/>
    </row>
    <row r="161" spans="1:22" s="205" customFormat="1" ht="12">
      <c r="A161" s="209" t="s">
        <v>92</v>
      </c>
      <c r="B161" s="209"/>
    </row>
    <row r="162" spans="1:22" s="205" customFormat="1" ht="12">
      <c r="A162" s="209" t="s">
        <v>93</v>
      </c>
      <c r="B162" s="209"/>
    </row>
    <row r="164" spans="1:22" s="205" customFormat="1" ht="12">
      <c r="A164" s="209" t="s">
        <v>19</v>
      </c>
      <c r="B164" s="204">
        <f t="shared" ref="B164:M164" si="25">B142+B143+B144+B147+B148+B149+B150+B153</f>
        <v>12240.020367000001</v>
      </c>
      <c r="C164" s="204">
        <f t="shared" si="25"/>
        <v>11622.661055</v>
      </c>
      <c r="D164" s="204">
        <f t="shared" si="25"/>
        <v>12149.726820000002</v>
      </c>
      <c r="E164" s="204">
        <f t="shared" si="25"/>
        <v>12244.226160500002</v>
      </c>
      <c r="F164" s="204">
        <f t="shared" si="25"/>
        <v>10919.868934</v>
      </c>
      <c r="G164" s="204">
        <f t="shared" si="25"/>
        <v>12323.949862000003</v>
      </c>
      <c r="H164" s="204">
        <f t="shared" si="25"/>
        <v>11446.137710000001</v>
      </c>
      <c r="I164" s="204">
        <f t="shared" si="25"/>
        <v>12109.059599999999</v>
      </c>
      <c r="J164" s="204">
        <f t="shared" si="25"/>
        <v>14318.544402999998</v>
      </c>
      <c r="K164" s="204">
        <f t="shared" si="25"/>
        <v>12295.19212</v>
      </c>
      <c r="L164" s="204">
        <f t="shared" si="25"/>
        <v>14042.236537500001</v>
      </c>
      <c r="M164" s="204">
        <f t="shared" si="25"/>
        <v>12648.979503</v>
      </c>
      <c r="N164" s="204">
        <f>N142+N143+N144+N147+N148+N149+N150+N153</f>
        <v>12567.112895</v>
      </c>
    </row>
    <row r="165" spans="1:22" s="205" customFormat="1" ht="12">
      <c r="A165" s="209" t="s">
        <v>20</v>
      </c>
      <c r="B165" s="204">
        <f t="shared" ref="B165:M165" si="26">B145+B146+B151+B152</f>
        <v>6778.0774580000007</v>
      </c>
      <c r="C165" s="204">
        <f t="shared" si="26"/>
        <v>7037.415395</v>
      </c>
      <c r="D165" s="204">
        <f t="shared" si="26"/>
        <v>8357.8145399999994</v>
      </c>
      <c r="E165" s="204">
        <f t="shared" si="26"/>
        <v>8714.845611499999</v>
      </c>
      <c r="F165" s="204">
        <f t="shared" si="26"/>
        <v>8850.6389519999993</v>
      </c>
      <c r="G165" s="204">
        <f t="shared" si="26"/>
        <v>8588.3063440000005</v>
      </c>
      <c r="H165" s="204">
        <f t="shared" si="26"/>
        <v>9700.1285580000003</v>
      </c>
      <c r="I165" s="204">
        <f t="shared" si="26"/>
        <v>8462.6803989999989</v>
      </c>
      <c r="J165" s="204">
        <f t="shared" si="26"/>
        <v>9126.7641749999984</v>
      </c>
      <c r="K165" s="204">
        <f t="shared" si="26"/>
        <v>7271.9640460000001</v>
      </c>
      <c r="L165" s="204">
        <f t="shared" si="26"/>
        <v>5743.7235755000011</v>
      </c>
      <c r="M165" s="204">
        <f t="shared" si="26"/>
        <v>6100.904904</v>
      </c>
      <c r="N165" s="204">
        <f>N145+N146+N151+N152</f>
        <v>6938.4273089999988</v>
      </c>
    </row>
    <row r="166" spans="1:22" s="205" customFormat="1" ht="12">
      <c r="A166" s="209" t="s">
        <v>134</v>
      </c>
      <c r="B166" s="210">
        <f t="shared" ref="B166:M166" si="27">ROUND(B142/B$154*100,1)+ROUND(B143/B$154*100,1)+ROUND(B147/B$154*100,1)+ROUND(B148/B$154*100,1)+ROUND(B149/B$154*100,1)+ROUND(B150/B$154*100,1)+ROUND(B144/B$154*100,1)+ROUND(B153/B$154*100,1)</f>
        <v>64.3</v>
      </c>
      <c r="C166" s="210">
        <f t="shared" si="27"/>
        <v>62.3</v>
      </c>
      <c r="D166" s="210">
        <f t="shared" si="27"/>
        <v>59.3</v>
      </c>
      <c r="E166" s="210">
        <f t="shared" si="27"/>
        <v>58.399999999999991</v>
      </c>
      <c r="F166" s="210">
        <f t="shared" si="27"/>
        <v>55.3</v>
      </c>
      <c r="G166" s="210">
        <f t="shared" si="27"/>
        <v>58.8</v>
      </c>
      <c r="H166" s="210">
        <f t="shared" si="27"/>
        <v>54.199999999999996</v>
      </c>
      <c r="I166" s="210">
        <f t="shared" si="27"/>
        <v>58.899999999999991</v>
      </c>
      <c r="J166" s="210">
        <f t="shared" si="27"/>
        <v>61.199999999999996</v>
      </c>
      <c r="K166" s="210">
        <f t="shared" si="27"/>
        <v>62.899999999999991</v>
      </c>
      <c r="L166" s="210">
        <f t="shared" si="27"/>
        <v>71.099999999999994</v>
      </c>
      <c r="M166" s="210">
        <f t="shared" si="27"/>
        <v>67.399999999999991</v>
      </c>
      <c r="N166" s="210">
        <f>ROUND(N142/N$154*100,1)+ROUND(N143/N$154*100,1)+ROUND(N147/N$154*100,1)+ROUND(N148/N$154*100,1)+ROUND(N149/N$154*100,1)+ROUND(N150/N$154*100,1)+ROUND(N144/N$154*100,1)+ROUND(N153/N$154*100,1)</f>
        <v>64.5</v>
      </c>
      <c r="O166" s="284"/>
    </row>
    <row r="167" spans="1:22" s="205" customFormat="1" ht="12">
      <c r="A167" s="209" t="s">
        <v>135</v>
      </c>
      <c r="B167" s="210">
        <f t="shared" ref="B167:M167" si="28">100-B166</f>
        <v>35.700000000000003</v>
      </c>
      <c r="C167" s="210">
        <f t="shared" si="28"/>
        <v>37.700000000000003</v>
      </c>
      <c r="D167" s="210">
        <f t="shared" si="28"/>
        <v>40.700000000000003</v>
      </c>
      <c r="E167" s="210">
        <f t="shared" si="28"/>
        <v>41.600000000000009</v>
      </c>
      <c r="F167" s="210">
        <f t="shared" si="28"/>
        <v>44.7</v>
      </c>
      <c r="G167" s="210">
        <f t="shared" si="28"/>
        <v>41.2</v>
      </c>
      <c r="H167" s="210">
        <f t="shared" si="28"/>
        <v>45.800000000000004</v>
      </c>
      <c r="I167" s="210">
        <f t="shared" si="28"/>
        <v>41.100000000000009</v>
      </c>
      <c r="J167" s="210">
        <f t="shared" si="28"/>
        <v>38.800000000000004</v>
      </c>
      <c r="K167" s="210">
        <f t="shared" si="28"/>
        <v>37.100000000000009</v>
      </c>
      <c r="L167" s="210">
        <f t="shared" si="28"/>
        <v>28.900000000000006</v>
      </c>
      <c r="M167" s="210">
        <f t="shared" si="28"/>
        <v>32.600000000000009</v>
      </c>
      <c r="N167" s="210">
        <f>100-N166</f>
        <v>35.5</v>
      </c>
    </row>
    <row r="168" spans="1:22" s="205" customFormat="1" ht="12">
      <c r="A168" s="209"/>
      <c r="B168" s="209"/>
    </row>
    <row r="169" spans="1:22" s="205" customFormat="1" ht="12">
      <c r="A169" s="209" t="s">
        <v>155</v>
      </c>
      <c r="B169" s="209"/>
    </row>
    <row r="170" spans="1:22" s="205" customFormat="1" ht="12">
      <c r="A170" s="209" t="s">
        <v>156</v>
      </c>
      <c r="B170" s="209"/>
    </row>
    <row r="175" spans="1:22">
      <c r="A175" s="186" t="s">
        <v>116</v>
      </c>
      <c r="B175" s="309" t="s">
        <v>109</v>
      </c>
      <c r="C175" s="310"/>
      <c r="D175" s="310"/>
      <c r="E175" s="310"/>
      <c r="F175" s="310"/>
      <c r="G175" s="310"/>
      <c r="H175" s="310"/>
      <c r="I175" s="310"/>
      <c r="J175" s="310"/>
      <c r="K175" s="310"/>
      <c r="L175" s="310"/>
      <c r="M175" s="310"/>
      <c r="N175" s="310"/>
      <c r="O175" s="310"/>
      <c r="P175" s="310"/>
      <c r="Q175" s="310"/>
      <c r="R175" s="310"/>
      <c r="S175" s="310"/>
    </row>
    <row r="176" spans="1:22">
      <c r="A176" s="186" t="s">
        <v>117</v>
      </c>
      <c r="B176" s="313" t="s">
        <v>140</v>
      </c>
      <c r="C176" s="314"/>
      <c r="D176" s="314"/>
      <c r="E176" s="314"/>
      <c r="F176" s="314"/>
      <c r="G176" s="314"/>
      <c r="H176" s="314"/>
      <c r="I176" s="314"/>
      <c r="J176" s="314"/>
      <c r="K176" s="314"/>
      <c r="L176" s="314"/>
      <c r="M176" s="314"/>
      <c r="N176" s="314"/>
      <c r="O176" s="314"/>
      <c r="P176" s="314"/>
      <c r="Q176" s="314"/>
      <c r="R176" s="314"/>
      <c r="S176" s="314"/>
      <c r="V176" s="217">
        <f>MAX(V180:V210)</f>
        <v>45.013506418424548</v>
      </c>
    </row>
    <row r="177" spans="1:23">
      <c r="A177" s="195" t="s">
        <v>30</v>
      </c>
      <c r="B177" s="311" t="s">
        <v>597</v>
      </c>
      <c r="C177" s="312"/>
      <c r="D177" s="312"/>
      <c r="E177" s="312"/>
      <c r="F177" s="312"/>
      <c r="G177" s="312"/>
      <c r="H177" s="312"/>
      <c r="I177" s="312"/>
      <c r="J177" s="312"/>
      <c r="K177" s="312"/>
      <c r="L177" s="312"/>
      <c r="M177" s="312"/>
      <c r="N177" s="312"/>
      <c r="O177" s="312"/>
      <c r="P177" s="312"/>
      <c r="Q177" s="312"/>
      <c r="R177" s="312"/>
      <c r="S177" s="312"/>
    </row>
    <row r="178" spans="1:23">
      <c r="A178" s="195" t="s">
        <v>118</v>
      </c>
      <c r="B178" s="292" t="s">
        <v>2</v>
      </c>
      <c r="C178" s="292" t="s">
        <v>83</v>
      </c>
      <c r="D178" s="292" t="s">
        <v>3</v>
      </c>
      <c r="E178" s="292" t="s">
        <v>4</v>
      </c>
      <c r="F178" s="292" t="s">
        <v>106</v>
      </c>
      <c r="G178" s="292" t="s">
        <v>11</v>
      </c>
      <c r="H178" s="292" t="s">
        <v>5</v>
      </c>
      <c r="I178" s="292" t="s">
        <v>6</v>
      </c>
      <c r="J178" s="292" t="s">
        <v>7</v>
      </c>
      <c r="K178" s="292" t="s">
        <v>8</v>
      </c>
      <c r="L178" s="292" t="s">
        <v>9</v>
      </c>
      <c r="M178" s="292" t="s">
        <v>71</v>
      </c>
      <c r="N178" s="292" t="s">
        <v>72</v>
      </c>
      <c r="O178" s="211" t="s">
        <v>10</v>
      </c>
      <c r="P178" s="292" t="s">
        <v>146</v>
      </c>
      <c r="Q178" s="292" t="s">
        <v>108</v>
      </c>
      <c r="R178" s="292" t="s">
        <v>147</v>
      </c>
      <c r="S178" s="211" t="s">
        <v>148</v>
      </c>
      <c r="V178" s="213" t="s">
        <v>23</v>
      </c>
      <c r="W178" s="213" t="s">
        <v>22</v>
      </c>
    </row>
    <row r="179" spans="1:23" ht="14.25">
      <c r="A179" s="186" t="s">
        <v>31</v>
      </c>
      <c r="B179" s="201"/>
      <c r="C179" s="201"/>
      <c r="D179" s="201"/>
      <c r="E179" s="201"/>
      <c r="F179" s="201"/>
      <c r="G179" s="201"/>
      <c r="H179" s="201"/>
      <c r="I179" s="201"/>
      <c r="J179" s="201"/>
      <c r="K179" s="201"/>
      <c r="L179" s="201"/>
      <c r="M179" s="201"/>
      <c r="N179" s="201"/>
      <c r="O179" s="212"/>
      <c r="P179" s="201"/>
      <c r="Q179" s="201"/>
      <c r="R179" s="201"/>
      <c r="S179" s="212"/>
      <c r="V179" s="214"/>
      <c r="W179" s="214"/>
    </row>
    <row r="180" spans="1:23" ht="14.25">
      <c r="A180" s="216">
        <v>1</v>
      </c>
      <c r="B180" s="190">
        <v>65751.213447999995</v>
      </c>
      <c r="C180" s="190">
        <v>1677.891552</v>
      </c>
      <c r="D180" s="190">
        <v>145512.08199999999</v>
      </c>
      <c r="E180" s="190">
        <v>15766.210999999999</v>
      </c>
      <c r="F180" s="190">
        <v>0</v>
      </c>
      <c r="G180" s="190">
        <v>66151.417000000001</v>
      </c>
      <c r="H180" s="190">
        <v>113443.163</v>
      </c>
      <c r="I180" s="190">
        <v>28289.780999999999</v>
      </c>
      <c r="J180" s="190">
        <v>24942.435000000001</v>
      </c>
      <c r="K180" s="190">
        <v>7974.5069999999996</v>
      </c>
      <c r="L180" s="190">
        <v>79413.455000000002</v>
      </c>
      <c r="M180" s="190">
        <v>2211.2739999999999</v>
      </c>
      <c r="N180" s="190">
        <v>5450.567</v>
      </c>
      <c r="O180" s="193">
        <v>556583.99699999997</v>
      </c>
      <c r="P180" s="190">
        <v>-14585.741</v>
      </c>
      <c r="Q180" s="190">
        <v>-3859.3580000000002</v>
      </c>
      <c r="R180" s="190">
        <v>13769.885</v>
      </c>
      <c r="S180" s="193">
        <v>551908.78300000005</v>
      </c>
      <c r="V180" s="215">
        <f>IFERROR($H180/$O180*100,"")</f>
        <v>20.382038220908459</v>
      </c>
      <c r="W180" s="214">
        <f>IF($H180=0,"",$H180/1000)</f>
        <v>113.443163</v>
      </c>
    </row>
    <row r="181" spans="1:23" ht="14.25">
      <c r="A181" s="216">
        <v>2</v>
      </c>
      <c r="B181" s="190">
        <v>60103.733996000003</v>
      </c>
      <c r="C181" s="190">
        <v>1532.663004</v>
      </c>
      <c r="D181" s="190">
        <v>145423.288</v>
      </c>
      <c r="E181" s="190">
        <v>14029.821</v>
      </c>
      <c r="F181" s="190">
        <v>-1E-3</v>
      </c>
      <c r="G181" s="190">
        <v>79605.375</v>
      </c>
      <c r="H181" s="190">
        <v>194808.97399999999</v>
      </c>
      <c r="I181" s="190">
        <v>29136.639999999999</v>
      </c>
      <c r="J181" s="190">
        <v>23766.877</v>
      </c>
      <c r="K181" s="190">
        <v>7852.6809999999996</v>
      </c>
      <c r="L181" s="190">
        <v>83007.038</v>
      </c>
      <c r="M181" s="190">
        <v>1280.0920000000001</v>
      </c>
      <c r="N181" s="190">
        <v>4850.5429999999997</v>
      </c>
      <c r="O181" s="193">
        <v>645397.72499999998</v>
      </c>
      <c r="P181" s="190">
        <v>-15969.519</v>
      </c>
      <c r="Q181" s="190">
        <v>-4570.5609999999997</v>
      </c>
      <c r="R181" s="190">
        <v>9065.6560000000009</v>
      </c>
      <c r="S181" s="193">
        <v>633923.30099999998</v>
      </c>
      <c r="V181" s="215">
        <f t="shared" ref="V181:V207" si="29">IFERROR($H181/$O181*100,"")</f>
        <v>30.184329205684758</v>
      </c>
      <c r="W181" s="214">
        <f t="shared" ref="W181:W207" si="30">IF($H181=0,"",$H181/1000)</f>
        <v>194.80897399999998</v>
      </c>
    </row>
    <row r="182" spans="1:23" ht="14.25">
      <c r="A182" s="216">
        <v>3</v>
      </c>
      <c r="B182" s="190">
        <v>62845.238700000002</v>
      </c>
      <c r="C182" s="190">
        <v>7873.4093000000003</v>
      </c>
      <c r="D182" s="190">
        <v>145359.96100000001</v>
      </c>
      <c r="E182" s="190">
        <v>14198.115</v>
      </c>
      <c r="F182" s="190">
        <v>0</v>
      </c>
      <c r="G182" s="190">
        <v>99552.68</v>
      </c>
      <c r="H182" s="190">
        <v>165684.59899999999</v>
      </c>
      <c r="I182" s="190">
        <v>26220.076000000001</v>
      </c>
      <c r="J182" s="190">
        <v>24535.239000000001</v>
      </c>
      <c r="K182" s="190">
        <v>8023.9179999999997</v>
      </c>
      <c r="L182" s="190">
        <v>85029.754000000001</v>
      </c>
      <c r="M182" s="190">
        <v>1297.316</v>
      </c>
      <c r="N182" s="190">
        <v>4670.7030000000004</v>
      </c>
      <c r="O182" s="193">
        <v>645291.00899999996</v>
      </c>
      <c r="P182" s="190">
        <v>-3658.7759999999998</v>
      </c>
      <c r="Q182" s="190">
        <v>-4814.1639999999998</v>
      </c>
      <c r="R182" s="190">
        <v>19355.032999999999</v>
      </c>
      <c r="S182" s="193">
        <v>656173.10199999996</v>
      </c>
      <c r="V182" s="215">
        <f t="shared" si="29"/>
        <v>25.675950337005236</v>
      </c>
      <c r="W182" s="214">
        <f t="shared" si="30"/>
        <v>165.68459899999999</v>
      </c>
    </row>
    <row r="183" spans="1:23" ht="14.25">
      <c r="A183" s="216">
        <v>4</v>
      </c>
      <c r="B183" s="190">
        <v>61274.914868</v>
      </c>
      <c r="C183" s="190">
        <v>6041.4151320000001</v>
      </c>
      <c r="D183" s="190">
        <v>145297.94699999999</v>
      </c>
      <c r="E183" s="190">
        <v>10897.714</v>
      </c>
      <c r="F183" s="190">
        <v>0</v>
      </c>
      <c r="G183" s="190">
        <v>75187.039999999994</v>
      </c>
      <c r="H183" s="190">
        <v>157027.28700000001</v>
      </c>
      <c r="I183" s="190">
        <v>31033.673999999999</v>
      </c>
      <c r="J183" s="190">
        <v>22518.707999999999</v>
      </c>
      <c r="K183" s="190">
        <v>7968.5590000000002</v>
      </c>
      <c r="L183" s="190">
        <v>79798.406000000003</v>
      </c>
      <c r="M183" s="190">
        <v>1343.9965</v>
      </c>
      <c r="N183" s="190">
        <v>4756.2515000000003</v>
      </c>
      <c r="O183" s="193">
        <v>603145.91299999994</v>
      </c>
      <c r="P183" s="190">
        <v>-3568.3939999999998</v>
      </c>
      <c r="Q183" s="190">
        <v>-4309.6750000000002</v>
      </c>
      <c r="R183" s="190">
        <v>1149.8230000000001</v>
      </c>
      <c r="S183" s="193">
        <v>596417.66700000002</v>
      </c>
      <c r="V183" s="215">
        <f t="shared" si="29"/>
        <v>26.034709614288644</v>
      </c>
      <c r="W183" s="214">
        <f t="shared" si="30"/>
        <v>157.027287</v>
      </c>
    </row>
    <row r="184" spans="1:23" ht="14.25">
      <c r="A184" s="216">
        <v>5</v>
      </c>
      <c r="B184" s="190">
        <v>53974.642211999999</v>
      </c>
      <c r="C184" s="190">
        <v>5832.9037879999996</v>
      </c>
      <c r="D184" s="190">
        <v>145171.736</v>
      </c>
      <c r="E184" s="190">
        <v>6794.942</v>
      </c>
      <c r="F184" s="190">
        <v>0</v>
      </c>
      <c r="G184" s="190">
        <v>56499.290999999997</v>
      </c>
      <c r="H184" s="190">
        <v>178438.35800000001</v>
      </c>
      <c r="I184" s="190">
        <v>31533.502</v>
      </c>
      <c r="J184" s="190">
        <v>23420.66</v>
      </c>
      <c r="K184" s="190">
        <v>7833.5730000000003</v>
      </c>
      <c r="L184" s="190">
        <v>75151.066999999995</v>
      </c>
      <c r="M184" s="190">
        <v>1340.3395</v>
      </c>
      <c r="N184" s="190">
        <v>4743.4425000000001</v>
      </c>
      <c r="O184" s="193">
        <v>590734.45700000005</v>
      </c>
      <c r="P184" s="190">
        <v>-27564.254000000001</v>
      </c>
      <c r="Q184" s="190">
        <v>-4028.011</v>
      </c>
      <c r="R184" s="190">
        <v>-8750.7909999999993</v>
      </c>
      <c r="S184" s="193">
        <v>550391.40099999995</v>
      </c>
      <c r="V184" s="215">
        <f t="shared" si="29"/>
        <v>30.2061875493408</v>
      </c>
      <c r="W184" s="214">
        <f t="shared" si="30"/>
        <v>178.43835799999999</v>
      </c>
    </row>
    <row r="185" spans="1:23" ht="14.25">
      <c r="A185" s="216">
        <v>6</v>
      </c>
      <c r="B185" s="190">
        <v>73619.323852000001</v>
      </c>
      <c r="C185" s="190">
        <v>14229.823147999999</v>
      </c>
      <c r="D185" s="190">
        <v>145046.08499999999</v>
      </c>
      <c r="E185" s="190">
        <v>6984.6040000000003</v>
      </c>
      <c r="F185" s="190">
        <v>0</v>
      </c>
      <c r="G185" s="190">
        <v>161073.91699999999</v>
      </c>
      <c r="H185" s="190">
        <v>58183.091999999997</v>
      </c>
      <c r="I185" s="190">
        <v>29633.352999999999</v>
      </c>
      <c r="J185" s="190">
        <v>18929.195</v>
      </c>
      <c r="K185" s="190">
        <v>7947.81</v>
      </c>
      <c r="L185" s="190">
        <v>83609.976999999999</v>
      </c>
      <c r="M185" s="190">
        <v>1283.0830000000001</v>
      </c>
      <c r="N185" s="190">
        <v>4495.8310000000001</v>
      </c>
      <c r="O185" s="193">
        <v>605036.09400000004</v>
      </c>
      <c r="P185" s="190">
        <v>-1714.7860000000001</v>
      </c>
      <c r="Q185" s="190">
        <v>-4877.6260000000002</v>
      </c>
      <c r="R185" s="190">
        <v>52741.182999999997</v>
      </c>
      <c r="S185" s="193">
        <v>651184.86499999999</v>
      </c>
      <c r="V185" s="215">
        <f t="shared" si="29"/>
        <v>9.6164662863898478</v>
      </c>
      <c r="W185" s="214">
        <f t="shared" si="30"/>
        <v>58.183091999999995</v>
      </c>
    </row>
    <row r="186" spans="1:23" ht="14.25">
      <c r="A186" s="216">
        <v>7</v>
      </c>
      <c r="B186" s="190">
        <v>63965.675768000001</v>
      </c>
      <c r="C186" s="190">
        <v>10526.742232000001</v>
      </c>
      <c r="D186" s="190">
        <v>144884.41899999999</v>
      </c>
      <c r="E186" s="190">
        <v>7987.7539999999999</v>
      </c>
      <c r="F186" s="190">
        <v>0</v>
      </c>
      <c r="G186" s="190">
        <v>150181.89799999999</v>
      </c>
      <c r="H186" s="190">
        <v>142625.62899999999</v>
      </c>
      <c r="I186" s="190">
        <v>25885.181</v>
      </c>
      <c r="J186" s="190">
        <v>16382.822</v>
      </c>
      <c r="K186" s="190">
        <v>8235.3240000000005</v>
      </c>
      <c r="L186" s="190">
        <v>82111.581999999995</v>
      </c>
      <c r="M186" s="190">
        <v>1269.3074999999999</v>
      </c>
      <c r="N186" s="190">
        <v>4437.9655000000002</v>
      </c>
      <c r="O186" s="193">
        <v>658494.30000000005</v>
      </c>
      <c r="P186" s="190">
        <v>-406.78</v>
      </c>
      <c r="Q186" s="190">
        <v>-4882.8100000000004</v>
      </c>
      <c r="R186" s="190">
        <v>19158.008000000002</v>
      </c>
      <c r="S186" s="193">
        <v>672362.71799999999</v>
      </c>
      <c r="V186" s="215">
        <f t="shared" si="29"/>
        <v>21.659356656542052</v>
      </c>
      <c r="W186" s="214">
        <f t="shared" si="30"/>
        <v>142.62562899999998</v>
      </c>
    </row>
    <row r="187" spans="1:23" ht="14.25">
      <c r="A187" s="216">
        <v>8</v>
      </c>
      <c r="B187" s="190">
        <v>54902.750024000001</v>
      </c>
      <c r="C187" s="190">
        <v>3126.019976</v>
      </c>
      <c r="D187" s="190">
        <v>144699.63800000001</v>
      </c>
      <c r="E187" s="190">
        <v>7035.7049999999999</v>
      </c>
      <c r="F187" s="190">
        <v>0</v>
      </c>
      <c r="G187" s="190">
        <v>57004.05</v>
      </c>
      <c r="H187" s="190">
        <v>314322.41700000002</v>
      </c>
      <c r="I187" s="190">
        <v>18764.224999999999</v>
      </c>
      <c r="J187" s="190">
        <v>5493.634</v>
      </c>
      <c r="K187" s="190">
        <v>8185.6239999999998</v>
      </c>
      <c r="L187" s="190">
        <v>78926.751999999993</v>
      </c>
      <c r="M187" s="190">
        <v>1277.9185</v>
      </c>
      <c r="N187" s="190">
        <v>4545.9414999999999</v>
      </c>
      <c r="O187" s="193">
        <v>698284.67500000005</v>
      </c>
      <c r="P187" s="190">
        <v>-4428.0720000000001</v>
      </c>
      <c r="Q187" s="190">
        <v>-4722.6229999999996</v>
      </c>
      <c r="R187" s="190">
        <v>-9582.5040000000008</v>
      </c>
      <c r="S187" s="193">
        <v>679551.47600000002</v>
      </c>
      <c r="V187" s="215">
        <f t="shared" si="29"/>
        <v>45.013506418424548</v>
      </c>
      <c r="W187" s="214">
        <f t="shared" si="30"/>
        <v>314.32241700000003</v>
      </c>
    </row>
    <row r="188" spans="1:23" ht="14.25">
      <c r="A188" s="216">
        <v>9</v>
      </c>
      <c r="B188" s="190">
        <v>63126.242703999997</v>
      </c>
      <c r="C188" s="190">
        <v>3746.1252960000002</v>
      </c>
      <c r="D188" s="190">
        <v>144820.04399999999</v>
      </c>
      <c r="E188" s="190">
        <v>8164.0640000000003</v>
      </c>
      <c r="F188" s="190">
        <v>0</v>
      </c>
      <c r="G188" s="190">
        <v>99181.038</v>
      </c>
      <c r="H188" s="190">
        <v>233543.94699999999</v>
      </c>
      <c r="I188" s="190">
        <v>20590.034</v>
      </c>
      <c r="J188" s="190">
        <v>3783.9630000000002</v>
      </c>
      <c r="K188" s="190">
        <v>8532.2199999999993</v>
      </c>
      <c r="L188" s="190">
        <v>82025.665999999997</v>
      </c>
      <c r="M188" s="190">
        <v>1226.0554999999999</v>
      </c>
      <c r="N188" s="190">
        <v>4474.5204999999996</v>
      </c>
      <c r="O188" s="193">
        <v>673213.92</v>
      </c>
      <c r="P188" s="190">
        <v>-10199.467000000001</v>
      </c>
      <c r="Q188" s="190">
        <v>-4848.509</v>
      </c>
      <c r="R188" s="190">
        <v>20656.77</v>
      </c>
      <c r="S188" s="193">
        <v>678822.71400000004</v>
      </c>
      <c r="V188" s="215">
        <f t="shared" si="29"/>
        <v>34.690896914312162</v>
      </c>
      <c r="W188" s="214">
        <f t="shared" si="30"/>
        <v>233.54394699999997</v>
      </c>
    </row>
    <row r="189" spans="1:23" ht="14.25">
      <c r="A189" s="216">
        <v>10</v>
      </c>
      <c r="B189" s="190">
        <v>72340.929755999998</v>
      </c>
      <c r="C189" s="190">
        <v>7686.4532440000003</v>
      </c>
      <c r="D189" s="190">
        <v>126775.276</v>
      </c>
      <c r="E189" s="190">
        <v>8011.7790000000005</v>
      </c>
      <c r="F189" s="190">
        <v>0</v>
      </c>
      <c r="G189" s="190">
        <v>110031.41499999999</v>
      </c>
      <c r="H189" s="190">
        <v>190278.20300000001</v>
      </c>
      <c r="I189" s="190">
        <v>26907.093000000001</v>
      </c>
      <c r="J189" s="190">
        <v>16490.645</v>
      </c>
      <c r="K189" s="190">
        <v>8745.1180000000004</v>
      </c>
      <c r="L189" s="190">
        <v>82533.125</v>
      </c>
      <c r="M189" s="190">
        <v>1238.7745</v>
      </c>
      <c r="N189" s="190">
        <v>4306.0715</v>
      </c>
      <c r="O189" s="193">
        <v>655344.88300000003</v>
      </c>
      <c r="P189" s="190">
        <v>-4118.2470000000003</v>
      </c>
      <c r="Q189" s="190">
        <v>-4909.9399999999996</v>
      </c>
      <c r="R189" s="190">
        <v>26843.782999999999</v>
      </c>
      <c r="S189" s="193">
        <v>673160.47900000005</v>
      </c>
      <c r="V189" s="215">
        <f t="shared" si="29"/>
        <v>29.034819365485149</v>
      </c>
      <c r="W189" s="214">
        <f t="shared" si="30"/>
        <v>190.27820300000002</v>
      </c>
    </row>
    <row r="190" spans="1:23" ht="14.25">
      <c r="A190" s="216">
        <v>11</v>
      </c>
      <c r="B190" s="190">
        <v>64656.765383999998</v>
      </c>
      <c r="C190" s="190">
        <v>4557.8776159999998</v>
      </c>
      <c r="D190" s="190">
        <v>121236.715</v>
      </c>
      <c r="E190" s="190">
        <v>6879.9520000000002</v>
      </c>
      <c r="F190" s="190">
        <v>0</v>
      </c>
      <c r="G190" s="190">
        <v>118070.158</v>
      </c>
      <c r="H190" s="190">
        <v>129239.78</v>
      </c>
      <c r="I190" s="190">
        <v>31282.095000000001</v>
      </c>
      <c r="J190" s="190">
        <v>27395.280999999999</v>
      </c>
      <c r="K190" s="190">
        <v>8787.1010000000006</v>
      </c>
      <c r="L190" s="190">
        <v>80651.396999999997</v>
      </c>
      <c r="M190" s="190">
        <v>1170.3800000000001</v>
      </c>
      <c r="N190" s="190">
        <v>4395.2929999999997</v>
      </c>
      <c r="O190" s="193">
        <v>598322.79500000004</v>
      </c>
      <c r="P190" s="190">
        <v>-1293.884</v>
      </c>
      <c r="Q190" s="190">
        <v>-4658.0829999999996</v>
      </c>
      <c r="R190" s="190">
        <v>11356.319</v>
      </c>
      <c r="S190" s="193">
        <v>603727.147</v>
      </c>
      <c r="V190" s="215">
        <f t="shared" si="29"/>
        <v>21.600343674019641</v>
      </c>
      <c r="W190" s="214">
        <f t="shared" si="30"/>
        <v>129.23978</v>
      </c>
    </row>
    <row r="191" spans="1:23" ht="14.25">
      <c r="A191" s="216">
        <v>12</v>
      </c>
      <c r="B191" s="190">
        <v>55001.701827999997</v>
      </c>
      <c r="C191" s="190">
        <v>3476.4951719999999</v>
      </c>
      <c r="D191" s="190">
        <v>121565.66099999999</v>
      </c>
      <c r="E191" s="190">
        <v>6942.2489999999998</v>
      </c>
      <c r="F191" s="190">
        <v>0</v>
      </c>
      <c r="G191" s="190">
        <v>54124.379000000001</v>
      </c>
      <c r="H191" s="190">
        <v>191584.37</v>
      </c>
      <c r="I191" s="190">
        <v>32537.985000000001</v>
      </c>
      <c r="J191" s="190">
        <v>30405.754000000001</v>
      </c>
      <c r="K191" s="190">
        <v>8526.2800000000007</v>
      </c>
      <c r="L191" s="190">
        <v>76567.159</v>
      </c>
      <c r="M191" s="190">
        <v>1202.6195</v>
      </c>
      <c r="N191" s="190">
        <v>4525.3284999999996</v>
      </c>
      <c r="O191" s="193">
        <v>586459.98199999996</v>
      </c>
      <c r="P191" s="190">
        <v>-24176.323</v>
      </c>
      <c r="Q191" s="190">
        <v>-3943.3829999999998</v>
      </c>
      <c r="R191" s="190">
        <v>-5956.152</v>
      </c>
      <c r="S191" s="193">
        <v>552384.12399999995</v>
      </c>
      <c r="V191" s="215">
        <f t="shared" si="29"/>
        <v>32.66793572967098</v>
      </c>
      <c r="W191" s="214">
        <f t="shared" si="30"/>
        <v>191.58437000000001</v>
      </c>
    </row>
    <row r="192" spans="1:23" ht="14.25">
      <c r="A192" s="216">
        <v>13</v>
      </c>
      <c r="B192" s="190">
        <v>60667.562903999999</v>
      </c>
      <c r="C192" s="190">
        <v>2775.4660960000001</v>
      </c>
      <c r="D192" s="190">
        <v>121584.11900000001</v>
      </c>
      <c r="E192" s="190">
        <v>7744.9979999999996</v>
      </c>
      <c r="F192" s="190">
        <v>0</v>
      </c>
      <c r="G192" s="190">
        <v>113882.10799999999</v>
      </c>
      <c r="H192" s="190">
        <v>186900.63500000001</v>
      </c>
      <c r="I192" s="190">
        <v>32414.257000000001</v>
      </c>
      <c r="J192" s="190">
        <v>31023.162</v>
      </c>
      <c r="K192" s="190">
        <v>8903.3140000000003</v>
      </c>
      <c r="L192" s="190">
        <v>82687.288</v>
      </c>
      <c r="M192" s="190">
        <v>1023.653</v>
      </c>
      <c r="N192" s="190">
        <v>4204.3720000000003</v>
      </c>
      <c r="O192" s="193">
        <v>653810.93500000006</v>
      </c>
      <c r="P192" s="190">
        <v>-9972.7330000000002</v>
      </c>
      <c r="Q192" s="190">
        <v>-4701.7150000000001</v>
      </c>
      <c r="R192" s="190">
        <v>13049.35</v>
      </c>
      <c r="S192" s="193">
        <v>652185.83700000006</v>
      </c>
      <c r="V192" s="215">
        <f t="shared" si="29"/>
        <v>28.586342778130497</v>
      </c>
      <c r="W192" s="214">
        <f t="shared" si="30"/>
        <v>186.90063500000002</v>
      </c>
    </row>
    <row r="193" spans="1:23" ht="14.25">
      <c r="A193" s="216">
        <v>14</v>
      </c>
      <c r="B193" s="190">
        <v>63987.751508000001</v>
      </c>
      <c r="C193" s="190">
        <v>10020.758492000001</v>
      </c>
      <c r="D193" s="190">
        <v>121106.36599999999</v>
      </c>
      <c r="E193" s="190">
        <v>13848.598</v>
      </c>
      <c r="F193" s="190">
        <v>0</v>
      </c>
      <c r="G193" s="190">
        <v>154487.391</v>
      </c>
      <c r="H193" s="190">
        <v>104148.995</v>
      </c>
      <c r="I193" s="190">
        <v>32581.116000000002</v>
      </c>
      <c r="J193" s="190">
        <v>30671.871999999999</v>
      </c>
      <c r="K193" s="190">
        <v>9501.6669999999995</v>
      </c>
      <c r="L193" s="190">
        <v>83209.796000000002</v>
      </c>
      <c r="M193" s="190">
        <v>938.1825</v>
      </c>
      <c r="N193" s="190">
        <v>4308.7955000000002</v>
      </c>
      <c r="O193" s="193">
        <v>628811.28899999999</v>
      </c>
      <c r="P193" s="190">
        <v>-5769.2610000000004</v>
      </c>
      <c r="Q193" s="190">
        <v>-4696.7039999999997</v>
      </c>
      <c r="R193" s="190">
        <v>56855.49</v>
      </c>
      <c r="S193" s="193">
        <v>675200.81400000001</v>
      </c>
      <c r="V193" s="215">
        <f t="shared" si="29"/>
        <v>16.562837980473979</v>
      </c>
      <c r="W193" s="214">
        <f t="shared" si="30"/>
        <v>104.148995</v>
      </c>
    </row>
    <row r="194" spans="1:23" ht="14.25">
      <c r="A194" s="216">
        <v>15</v>
      </c>
      <c r="B194" s="190">
        <v>69217.246360000005</v>
      </c>
      <c r="C194" s="190">
        <v>7356.54864</v>
      </c>
      <c r="D194" s="190">
        <v>120873.057</v>
      </c>
      <c r="E194" s="190">
        <v>8718.0779999999995</v>
      </c>
      <c r="F194" s="190">
        <v>0</v>
      </c>
      <c r="G194" s="190">
        <v>167712.72899999999</v>
      </c>
      <c r="H194" s="190">
        <v>93727.097999999998</v>
      </c>
      <c r="I194" s="190">
        <v>31254.569</v>
      </c>
      <c r="J194" s="190">
        <v>29476.716</v>
      </c>
      <c r="K194" s="190">
        <v>9912.1229999999996</v>
      </c>
      <c r="L194" s="190">
        <v>82073.917000000001</v>
      </c>
      <c r="M194" s="190">
        <v>942.40200000000004</v>
      </c>
      <c r="N194" s="190">
        <v>4700.6469999999999</v>
      </c>
      <c r="O194" s="193">
        <v>625965.13100000005</v>
      </c>
      <c r="P194" s="190">
        <v>-47.238</v>
      </c>
      <c r="Q194" s="190">
        <v>-4726.1660000000002</v>
      </c>
      <c r="R194" s="190">
        <v>51953.478000000003</v>
      </c>
      <c r="S194" s="193">
        <v>673145.20499999996</v>
      </c>
      <c r="V194" s="215">
        <f t="shared" si="29"/>
        <v>14.973213899353762</v>
      </c>
      <c r="W194" s="214">
        <f t="shared" si="30"/>
        <v>93.727097999999998</v>
      </c>
    </row>
    <row r="195" spans="1:23" ht="14.25">
      <c r="A195" s="216">
        <v>16</v>
      </c>
      <c r="B195" s="190">
        <v>62834.696951999998</v>
      </c>
      <c r="C195" s="190">
        <v>2394.9030480000001</v>
      </c>
      <c r="D195" s="190">
        <v>121005.643</v>
      </c>
      <c r="E195" s="190">
        <v>8156.2939999999999</v>
      </c>
      <c r="F195" s="190">
        <v>0</v>
      </c>
      <c r="G195" s="190">
        <v>146992.269</v>
      </c>
      <c r="H195" s="190">
        <v>133972.03700000001</v>
      </c>
      <c r="I195" s="190">
        <v>29295.074000000001</v>
      </c>
      <c r="J195" s="190">
        <v>26597.261999999999</v>
      </c>
      <c r="K195" s="190">
        <v>10110.14</v>
      </c>
      <c r="L195" s="190">
        <v>83555.709000000003</v>
      </c>
      <c r="M195" s="190">
        <v>908.07500000000005</v>
      </c>
      <c r="N195" s="190">
        <v>5039.9449999999997</v>
      </c>
      <c r="O195" s="193">
        <v>630862.04799999995</v>
      </c>
      <c r="P195" s="190">
        <v>-3908.712</v>
      </c>
      <c r="Q195" s="190">
        <v>-4727.16</v>
      </c>
      <c r="R195" s="190">
        <v>60035.923000000003</v>
      </c>
      <c r="S195" s="193">
        <v>682262.09900000005</v>
      </c>
      <c r="V195" s="215">
        <f t="shared" si="29"/>
        <v>21.236344367952853</v>
      </c>
      <c r="W195" s="214">
        <f t="shared" si="30"/>
        <v>133.972037</v>
      </c>
    </row>
    <row r="196" spans="1:23" ht="14.25">
      <c r="A196" s="216">
        <v>17</v>
      </c>
      <c r="B196" s="190">
        <v>60568.490972</v>
      </c>
      <c r="C196" s="190">
        <v>3352.2630279999998</v>
      </c>
      <c r="D196" s="190">
        <v>121409.35400000001</v>
      </c>
      <c r="E196" s="190">
        <v>7811.8710000000001</v>
      </c>
      <c r="F196" s="190">
        <v>0</v>
      </c>
      <c r="G196" s="190">
        <v>77831.865999999995</v>
      </c>
      <c r="H196" s="190">
        <v>286718.30300000001</v>
      </c>
      <c r="I196" s="190">
        <v>22677.921999999999</v>
      </c>
      <c r="J196" s="190">
        <v>18455.081999999999</v>
      </c>
      <c r="K196" s="190">
        <v>10064.664000000001</v>
      </c>
      <c r="L196" s="190">
        <v>85134.896999999997</v>
      </c>
      <c r="M196" s="190">
        <v>1107.306</v>
      </c>
      <c r="N196" s="190">
        <v>5165.866</v>
      </c>
      <c r="O196" s="193">
        <v>700297.88500000001</v>
      </c>
      <c r="P196" s="190">
        <v>-13587.91</v>
      </c>
      <c r="Q196" s="190">
        <v>-4752.8639999999996</v>
      </c>
      <c r="R196" s="190">
        <v>-15975.804</v>
      </c>
      <c r="S196" s="193">
        <v>665981.30700000003</v>
      </c>
      <c r="V196" s="215">
        <f t="shared" si="29"/>
        <v>40.942334560956155</v>
      </c>
      <c r="W196" s="214">
        <f t="shared" si="30"/>
        <v>286.71830299999999</v>
      </c>
    </row>
    <row r="197" spans="1:23" ht="14.25">
      <c r="A197" s="216">
        <v>18</v>
      </c>
      <c r="B197" s="190">
        <v>59381.349540000003</v>
      </c>
      <c r="C197" s="190">
        <v>2043.6474599999999</v>
      </c>
      <c r="D197" s="190">
        <v>120962.113</v>
      </c>
      <c r="E197" s="190">
        <v>6952.7089999999998</v>
      </c>
      <c r="F197" s="190">
        <v>0</v>
      </c>
      <c r="G197" s="190">
        <v>110657.71799999999</v>
      </c>
      <c r="H197" s="190">
        <v>148617.86199999999</v>
      </c>
      <c r="I197" s="190">
        <v>27155.455000000002</v>
      </c>
      <c r="J197" s="190">
        <v>21493.772000000001</v>
      </c>
      <c r="K197" s="190">
        <v>9921.4590000000007</v>
      </c>
      <c r="L197" s="190">
        <v>81953.535000000003</v>
      </c>
      <c r="M197" s="190">
        <v>1156.9655</v>
      </c>
      <c r="N197" s="190">
        <v>5468.4665000000005</v>
      </c>
      <c r="O197" s="193">
        <v>595765.05200000003</v>
      </c>
      <c r="P197" s="190">
        <v>-9818.1460000000006</v>
      </c>
      <c r="Q197" s="190">
        <v>-4306.9960000000001</v>
      </c>
      <c r="R197" s="190">
        <v>11437.18</v>
      </c>
      <c r="S197" s="193">
        <v>593077.09</v>
      </c>
      <c r="V197" s="215">
        <f t="shared" si="29"/>
        <v>24.945716688329679</v>
      </c>
      <c r="W197" s="214">
        <f t="shared" si="30"/>
        <v>148.617862</v>
      </c>
    </row>
    <row r="198" spans="1:23" ht="14.25">
      <c r="A198" s="216">
        <v>19</v>
      </c>
      <c r="B198" s="190">
        <v>55504.229948</v>
      </c>
      <c r="C198" s="190">
        <v>1211.9630520000001</v>
      </c>
      <c r="D198" s="190">
        <v>121907.78200000001</v>
      </c>
      <c r="E198" s="190">
        <v>10890.983</v>
      </c>
      <c r="F198" s="190">
        <v>0</v>
      </c>
      <c r="G198" s="190">
        <v>116801.39</v>
      </c>
      <c r="H198" s="190">
        <v>130259.15300000001</v>
      </c>
      <c r="I198" s="190">
        <v>27841.781999999999</v>
      </c>
      <c r="J198" s="190">
        <v>24134.435000000001</v>
      </c>
      <c r="K198" s="190">
        <v>9918.7459999999992</v>
      </c>
      <c r="L198" s="190">
        <v>80042.956999999995</v>
      </c>
      <c r="M198" s="190">
        <v>1067.1590000000001</v>
      </c>
      <c r="N198" s="190">
        <v>5561.2860000000001</v>
      </c>
      <c r="O198" s="193">
        <v>585141.86600000004</v>
      </c>
      <c r="P198" s="190">
        <v>-16053.526</v>
      </c>
      <c r="Q198" s="190">
        <v>-3916.6419999999998</v>
      </c>
      <c r="R198" s="190">
        <v>-14696.27</v>
      </c>
      <c r="S198" s="193">
        <v>550475.42799999996</v>
      </c>
      <c r="V198" s="215">
        <f t="shared" si="29"/>
        <v>22.261123424725177</v>
      </c>
      <c r="W198" s="214">
        <f t="shared" si="30"/>
        <v>130.259153</v>
      </c>
    </row>
    <row r="199" spans="1:23" ht="14.25">
      <c r="A199" s="216">
        <v>20</v>
      </c>
      <c r="B199" s="190">
        <v>67479.962092000002</v>
      </c>
      <c r="C199" s="190">
        <v>6312.4329079999998</v>
      </c>
      <c r="D199" s="190">
        <v>121750.81200000001</v>
      </c>
      <c r="E199" s="190">
        <v>16116.074000000001</v>
      </c>
      <c r="F199" s="190">
        <v>0</v>
      </c>
      <c r="G199" s="190">
        <v>177332.06200000001</v>
      </c>
      <c r="H199" s="190">
        <v>67222.451000000001</v>
      </c>
      <c r="I199" s="190">
        <v>29068.416000000001</v>
      </c>
      <c r="J199" s="190">
        <v>21183.171999999999</v>
      </c>
      <c r="K199" s="190">
        <v>9714.6479999999992</v>
      </c>
      <c r="L199" s="190">
        <v>83724.138000000006</v>
      </c>
      <c r="M199" s="190">
        <v>902.99749999999995</v>
      </c>
      <c r="N199" s="190">
        <v>5423.7754999999997</v>
      </c>
      <c r="O199" s="193">
        <v>606230.94099999999</v>
      </c>
      <c r="P199" s="190">
        <v>-2442.6779999999999</v>
      </c>
      <c r="Q199" s="190">
        <v>-4759.0420000000004</v>
      </c>
      <c r="R199" s="190">
        <v>51825.597999999998</v>
      </c>
      <c r="S199" s="193">
        <v>650854.81900000002</v>
      </c>
      <c r="V199" s="215">
        <f t="shared" si="29"/>
        <v>11.088587937975275</v>
      </c>
      <c r="W199" s="214">
        <f t="shared" si="30"/>
        <v>67.222451000000007</v>
      </c>
    </row>
    <row r="200" spans="1:23" ht="14.25">
      <c r="A200" s="216">
        <v>21</v>
      </c>
      <c r="B200" s="190">
        <v>71158.802012</v>
      </c>
      <c r="C200" s="190">
        <v>1772.5459880000001</v>
      </c>
      <c r="D200" s="190">
        <v>121587.08900000001</v>
      </c>
      <c r="E200" s="190">
        <v>21037.187999999998</v>
      </c>
      <c r="F200" s="190">
        <v>0</v>
      </c>
      <c r="G200" s="190">
        <v>182608.728</v>
      </c>
      <c r="H200" s="190">
        <v>50458.046000000002</v>
      </c>
      <c r="I200" s="190">
        <v>27768.763999999999</v>
      </c>
      <c r="J200" s="190">
        <v>23241.857</v>
      </c>
      <c r="K200" s="190">
        <v>9640.1790000000001</v>
      </c>
      <c r="L200" s="190">
        <v>82321.085000000006</v>
      </c>
      <c r="M200" s="190">
        <v>875.96100000000001</v>
      </c>
      <c r="N200" s="190">
        <v>5490.1450000000004</v>
      </c>
      <c r="O200" s="193">
        <v>597960.39</v>
      </c>
      <c r="P200" s="190">
        <v>-591.41999999999996</v>
      </c>
      <c r="Q200" s="190">
        <v>-4820.0829999999996</v>
      </c>
      <c r="R200" s="190">
        <v>77136.146999999997</v>
      </c>
      <c r="S200" s="193">
        <v>669685.03399999999</v>
      </c>
      <c r="V200" s="215">
        <f t="shared" si="29"/>
        <v>8.4383592699175285</v>
      </c>
      <c r="W200" s="214">
        <f t="shared" si="30"/>
        <v>50.458046000000003</v>
      </c>
    </row>
    <row r="201" spans="1:23" ht="14.25">
      <c r="A201" s="216">
        <v>22</v>
      </c>
      <c r="B201" s="190">
        <v>68951.898792000007</v>
      </c>
      <c r="C201" s="190">
        <v>4913.0182080000004</v>
      </c>
      <c r="D201" s="190">
        <v>121458.673</v>
      </c>
      <c r="E201" s="190">
        <v>21525.468000000001</v>
      </c>
      <c r="F201" s="190">
        <v>0</v>
      </c>
      <c r="G201" s="190">
        <v>201009.94899999999</v>
      </c>
      <c r="H201" s="190">
        <v>41479.620000000003</v>
      </c>
      <c r="I201" s="190">
        <v>30541.362000000001</v>
      </c>
      <c r="J201" s="190">
        <v>25958.353999999999</v>
      </c>
      <c r="K201" s="190">
        <v>9932.0429999999997</v>
      </c>
      <c r="L201" s="190">
        <v>81973.091</v>
      </c>
      <c r="M201" s="190">
        <v>865.45550000000003</v>
      </c>
      <c r="N201" s="190">
        <v>5412.5294999999996</v>
      </c>
      <c r="O201" s="193">
        <v>614021.46200000006</v>
      </c>
      <c r="P201" s="190">
        <v>-2240.69</v>
      </c>
      <c r="Q201" s="190">
        <v>-4818.83</v>
      </c>
      <c r="R201" s="190">
        <v>70258.957999999999</v>
      </c>
      <c r="S201" s="193">
        <v>677220.9</v>
      </c>
      <c r="V201" s="215">
        <f t="shared" si="29"/>
        <v>6.7554023054653429</v>
      </c>
      <c r="W201" s="214">
        <f t="shared" si="30"/>
        <v>41.479620000000004</v>
      </c>
    </row>
    <row r="202" spans="1:23" ht="14.25">
      <c r="A202" s="216">
        <v>23</v>
      </c>
      <c r="B202" s="190">
        <v>63368.008951999996</v>
      </c>
      <c r="C202" s="190">
        <v>1012.419048</v>
      </c>
      <c r="D202" s="190">
        <v>120975.818</v>
      </c>
      <c r="E202" s="190">
        <v>19288.115000000002</v>
      </c>
      <c r="F202" s="190">
        <v>0</v>
      </c>
      <c r="G202" s="190">
        <v>196416.951</v>
      </c>
      <c r="H202" s="190">
        <v>59658.254000000001</v>
      </c>
      <c r="I202" s="190">
        <v>26551.816999999999</v>
      </c>
      <c r="J202" s="190">
        <v>23187.394</v>
      </c>
      <c r="K202" s="190">
        <v>9173.5869999999995</v>
      </c>
      <c r="L202" s="190">
        <v>83186.606</v>
      </c>
      <c r="M202" s="190">
        <v>894.428</v>
      </c>
      <c r="N202" s="190">
        <v>5196.97</v>
      </c>
      <c r="O202" s="193">
        <v>608910.36800000002</v>
      </c>
      <c r="P202" s="190">
        <v>-1768.578</v>
      </c>
      <c r="Q202" s="190">
        <v>-4914.4319999999998</v>
      </c>
      <c r="R202" s="190">
        <v>75590.688999999998</v>
      </c>
      <c r="S202" s="193">
        <v>677818.04700000002</v>
      </c>
      <c r="V202" s="215">
        <f t="shared" si="29"/>
        <v>9.797542813394827</v>
      </c>
      <c r="W202" s="214">
        <f t="shared" si="30"/>
        <v>59.658253999999999</v>
      </c>
    </row>
    <row r="203" spans="1:23" ht="14.25">
      <c r="A203" s="216">
        <v>24</v>
      </c>
      <c r="B203" s="190">
        <v>62462.849503999998</v>
      </c>
      <c r="C203" s="190">
        <v>238.149496</v>
      </c>
      <c r="D203" s="190">
        <v>121126.542</v>
      </c>
      <c r="E203" s="190">
        <v>7031.7060000000001</v>
      </c>
      <c r="F203" s="190">
        <v>0</v>
      </c>
      <c r="G203" s="190">
        <v>144110.435</v>
      </c>
      <c r="H203" s="190">
        <v>170464.26</v>
      </c>
      <c r="I203" s="190">
        <v>22688.196</v>
      </c>
      <c r="J203" s="190">
        <v>20095.853999999999</v>
      </c>
      <c r="K203" s="190">
        <v>9224.3559999999998</v>
      </c>
      <c r="L203" s="190">
        <v>84803.205000000002</v>
      </c>
      <c r="M203" s="190">
        <v>1033.7874999999999</v>
      </c>
      <c r="N203" s="190">
        <v>5603.1644999999999</v>
      </c>
      <c r="O203" s="193">
        <v>648882.505</v>
      </c>
      <c r="P203" s="190">
        <v>-4724.0569999999998</v>
      </c>
      <c r="Q203" s="190">
        <v>-4876.2430000000004</v>
      </c>
      <c r="R203" s="190">
        <v>35200.732000000004</v>
      </c>
      <c r="S203" s="193">
        <v>674482.93700000003</v>
      </c>
      <c r="V203" s="215">
        <f t="shared" si="29"/>
        <v>26.270435508197281</v>
      </c>
      <c r="W203" s="214">
        <f t="shared" si="30"/>
        <v>170.46426</v>
      </c>
    </row>
    <row r="204" spans="1:23" ht="14.25">
      <c r="A204" s="216">
        <v>25</v>
      </c>
      <c r="B204" s="190">
        <v>60688.606829999997</v>
      </c>
      <c r="C204" s="190">
        <v>3292.1581700000002</v>
      </c>
      <c r="D204" s="190">
        <v>121235.107</v>
      </c>
      <c r="E204" s="190">
        <v>7050.9430000000002</v>
      </c>
      <c r="F204" s="190">
        <v>0</v>
      </c>
      <c r="G204" s="190">
        <v>93683.562000000005</v>
      </c>
      <c r="H204" s="190">
        <v>177055.41399999999</v>
      </c>
      <c r="I204" s="190">
        <v>28167.249</v>
      </c>
      <c r="J204" s="190">
        <v>27302.255000000001</v>
      </c>
      <c r="K204" s="190">
        <v>9846.6890000000003</v>
      </c>
      <c r="L204" s="190">
        <v>81374.600999999995</v>
      </c>
      <c r="M204" s="190">
        <v>1228.461</v>
      </c>
      <c r="N204" s="190">
        <v>5752.4350000000004</v>
      </c>
      <c r="O204" s="193">
        <v>616677.48100000003</v>
      </c>
      <c r="P204" s="190">
        <v>-10734.175999999999</v>
      </c>
      <c r="Q204" s="190">
        <v>-4308.7250000000004</v>
      </c>
      <c r="R204" s="190">
        <v>-217.202</v>
      </c>
      <c r="S204" s="193">
        <v>601417.37800000003</v>
      </c>
      <c r="V204" s="215">
        <f t="shared" si="29"/>
        <v>28.711185255684729</v>
      </c>
      <c r="W204" s="214">
        <f t="shared" si="30"/>
        <v>177.05541399999998</v>
      </c>
    </row>
    <row r="205" spans="1:23" ht="14.25">
      <c r="A205" s="216">
        <v>26</v>
      </c>
      <c r="B205" s="190">
        <v>57926.59317</v>
      </c>
      <c r="C205" s="190">
        <v>2197.2548299999999</v>
      </c>
      <c r="D205" s="190">
        <v>121257.83</v>
      </c>
      <c r="E205" s="190">
        <v>6624.3019999999997</v>
      </c>
      <c r="F205" s="190">
        <v>0</v>
      </c>
      <c r="G205" s="190">
        <v>88440.452000000005</v>
      </c>
      <c r="H205" s="190">
        <v>147452.37299999999</v>
      </c>
      <c r="I205" s="190">
        <v>31165.86</v>
      </c>
      <c r="J205" s="190">
        <v>29898.752</v>
      </c>
      <c r="K205" s="190">
        <v>9672.5840000000007</v>
      </c>
      <c r="L205" s="190">
        <v>80545.827999999994</v>
      </c>
      <c r="M205" s="190">
        <v>1184.4375</v>
      </c>
      <c r="N205" s="190">
        <v>5662.9195</v>
      </c>
      <c r="O205" s="193">
        <v>582029.18599999999</v>
      </c>
      <c r="P205" s="190">
        <v>-25331.991999999998</v>
      </c>
      <c r="Q205" s="190">
        <v>-3972.2829999999999</v>
      </c>
      <c r="R205" s="190">
        <v>-5262.009</v>
      </c>
      <c r="S205" s="193">
        <v>547462.902</v>
      </c>
      <c r="V205" s="215">
        <f t="shared" si="29"/>
        <v>25.334188825369321</v>
      </c>
      <c r="W205" s="214">
        <f t="shared" si="30"/>
        <v>147.45237299999999</v>
      </c>
    </row>
    <row r="206" spans="1:23" ht="14.25">
      <c r="A206" s="216">
        <v>27</v>
      </c>
      <c r="B206" s="190">
        <v>61732.334825999998</v>
      </c>
      <c r="C206" s="190">
        <v>538.79217400000005</v>
      </c>
      <c r="D206" s="190">
        <v>121088.315</v>
      </c>
      <c r="E206" s="190">
        <v>11599.368</v>
      </c>
      <c r="F206" s="190">
        <v>0</v>
      </c>
      <c r="G206" s="190">
        <v>152389.60699999999</v>
      </c>
      <c r="H206" s="190">
        <v>136962.83300000001</v>
      </c>
      <c r="I206" s="190">
        <v>30137.399000000001</v>
      </c>
      <c r="J206" s="190">
        <v>27753.794999999998</v>
      </c>
      <c r="K206" s="190">
        <v>9917.8029999999999</v>
      </c>
      <c r="L206" s="190">
        <v>83884.925000000003</v>
      </c>
      <c r="M206" s="190">
        <v>1249.9159999999999</v>
      </c>
      <c r="N206" s="190">
        <v>5797.0110000000004</v>
      </c>
      <c r="O206" s="193">
        <v>643052.09900000005</v>
      </c>
      <c r="P206" s="190">
        <v>-5847.1610000000001</v>
      </c>
      <c r="Q206" s="190">
        <v>-4827.817</v>
      </c>
      <c r="R206" s="190">
        <v>27832.34</v>
      </c>
      <c r="S206" s="193">
        <v>660209.46100000001</v>
      </c>
      <c r="V206" s="215">
        <f t="shared" si="29"/>
        <v>21.298870373487421</v>
      </c>
      <c r="W206" s="214">
        <f t="shared" si="30"/>
        <v>136.96283300000002</v>
      </c>
    </row>
    <row r="207" spans="1:23" ht="14.25">
      <c r="A207" s="216">
        <v>28</v>
      </c>
      <c r="B207" s="190">
        <v>56683.228031999999</v>
      </c>
      <c r="C207" s="190">
        <v>1467.9869679999999</v>
      </c>
      <c r="D207" s="190">
        <v>120477.269</v>
      </c>
      <c r="E207" s="190">
        <v>13780.51</v>
      </c>
      <c r="F207" s="190">
        <v>0</v>
      </c>
      <c r="G207" s="190">
        <v>136342.07</v>
      </c>
      <c r="H207" s="190">
        <v>193760.41800000001</v>
      </c>
      <c r="I207" s="190">
        <v>30891.234</v>
      </c>
      <c r="J207" s="190">
        <v>29719.422999999999</v>
      </c>
      <c r="K207" s="190">
        <v>9753.3459999999995</v>
      </c>
      <c r="L207" s="190">
        <v>84152.010999999999</v>
      </c>
      <c r="M207" s="190">
        <v>1227.5609999999999</v>
      </c>
      <c r="N207" s="190">
        <v>5525.509</v>
      </c>
      <c r="O207" s="193">
        <v>683780.56599999999</v>
      </c>
      <c r="P207" s="190">
        <v>-8748.8490000000002</v>
      </c>
      <c r="Q207" s="190">
        <v>-4912.0559999999996</v>
      </c>
      <c r="R207" s="190">
        <v>9976.1910000000007</v>
      </c>
      <c r="S207" s="193">
        <v>680095.85199999996</v>
      </c>
      <c r="V207" s="215">
        <f t="shared" si="29"/>
        <v>28.336637166140228</v>
      </c>
      <c r="W207" s="214">
        <f t="shared" si="30"/>
        <v>193.76041800000002</v>
      </c>
    </row>
    <row r="208" spans="1:23" ht="14.25">
      <c r="A208" s="216">
        <v>29</v>
      </c>
      <c r="B208" s="190">
        <v>57091.921047999997</v>
      </c>
      <c r="C208" s="190">
        <v>284.13395200000002</v>
      </c>
      <c r="D208" s="190">
        <v>120422.755</v>
      </c>
      <c r="E208" s="190">
        <v>13673.6</v>
      </c>
      <c r="F208" s="190">
        <v>0</v>
      </c>
      <c r="G208" s="190">
        <v>139832.53700000001</v>
      </c>
      <c r="H208" s="190">
        <v>183587.08499999999</v>
      </c>
      <c r="I208" s="190">
        <v>32284.81</v>
      </c>
      <c r="J208" s="190">
        <v>30997.933000000001</v>
      </c>
      <c r="K208" s="190">
        <v>9596.9110000000001</v>
      </c>
      <c r="L208" s="190">
        <v>84217.608999999997</v>
      </c>
      <c r="M208" s="190">
        <v>1177.6044999999999</v>
      </c>
      <c r="N208" s="190">
        <v>4884.7555000000002</v>
      </c>
      <c r="O208" s="193">
        <v>678051.65500000003</v>
      </c>
      <c r="P208" s="190">
        <v>-7112.1790000000001</v>
      </c>
      <c r="Q208" s="190">
        <v>-4879.5259999999998</v>
      </c>
      <c r="R208" s="190">
        <v>12799.168</v>
      </c>
      <c r="S208" s="193">
        <v>678859.11800000002</v>
      </c>
      <c r="V208" s="215">
        <f>IFERROR($H208/$O208*100,"")</f>
        <v>27.075678327191749</v>
      </c>
      <c r="W208" s="214">
        <f>IF($H208=0,"",$H208/1000)</f>
        <v>183.587085</v>
      </c>
    </row>
    <row r="209" spans="1:23" ht="14.25">
      <c r="A209" s="216">
        <v>30</v>
      </c>
      <c r="B209" s="190">
        <v>57510.796796000002</v>
      </c>
      <c r="C209" s="190">
        <v>982.863204</v>
      </c>
      <c r="D209" s="190">
        <v>120437.106</v>
      </c>
      <c r="E209" s="190">
        <v>13474.26</v>
      </c>
      <c r="F209" s="190">
        <v>0</v>
      </c>
      <c r="G209" s="190">
        <v>179088.177</v>
      </c>
      <c r="H209" s="190">
        <v>112741.621</v>
      </c>
      <c r="I209" s="190">
        <v>32700.83</v>
      </c>
      <c r="J209" s="190">
        <v>31334.797999999999</v>
      </c>
      <c r="K209" s="190">
        <v>9178.116</v>
      </c>
      <c r="L209" s="190">
        <v>83290.581999999995</v>
      </c>
      <c r="M209" s="190">
        <v>1269.883</v>
      </c>
      <c r="N209" s="190">
        <v>4904.8590000000004</v>
      </c>
      <c r="O209" s="193">
        <v>646913.89199999999</v>
      </c>
      <c r="P209" s="190">
        <v>-3417.7579999999998</v>
      </c>
      <c r="Q209" s="190">
        <v>-4877.6260000000002</v>
      </c>
      <c r="R209" s="190">
        <v>39586.010999999999</v>
      </c>
      <c r="S209" s="193">
        <v>678204.51899999997</v>
      </c>
      <c r="V209" s="215">
        <f>IFERROR($H209/$O209*100,"")</f>
        <v>17.427608588130301</v>
      </c>
      <c r="W209" s="214">
        <f>IF($H209=0,"",$H209/1000)</f>
        <v>112.74162099999999</v>
      </c>
    </row>
    <row r="210" spans="1:23" ht="14.25">
      <c r="A210" s="216">
        <v>31</v>
      </c>
      <c r="B210" s="190">
        <v>64247.843997999997</v>
      </c>
      <c r="C210" s="190">
        <v>5058.934002</v>
      </c>
      <c r="D210" s="190">
        <v>120458.863</v>
      </c>
      <c r="E210" s="190">
        <v>14019.205</v>
      </c>
      <c r="F210" s="190">
        <v>0</v>
      </c>
      <c r="G210" s="190">
        <v>190228.08600000001</v>
      </c>
      <c r="H210" s="190">
        <v>86230.600999999995</v>
      </c>
      <c r="I210" s="190">
        <v>32529.021000000001</v>
      </c>
      <c r="J210" s="190">
        <v>30406.626</v>
      </c>
      <c r="K210" s="190">
        <v>9464.9869999999992</v>
      </c>
      <c r="L210" s="190">
        <v>83240.035999999993</v>
      </c>
      <c r="M210" s="190">
        <v>1255.2190000000001</v>
      </c>
      <c r="N210" s="190">
        <v>4926.28</v>
      </c>
      <c r="O210" s="193">
        <v>642065.70200000005</v>
      </c>
      <c r="P210" s="190">
        <v>-661.35699999999997</v>
      </c>
      <c r="Q210" s="190">
        <v>-4941.6469999999999</v>
      </c>
      <c r="R210" s="190">
        <v>40607.553999999996</v>
      </c>
      <c r="S210" s="193">
        <v>677070.25199999998</v>
      </c>
      <c r="V210" s="215">
        <f>IFERROR($H210/$O210*100,"")</f>
        <v>13.430183349055449</v>
      </c>
      <c r="W210" s="214">
        <f>IF($H210=0,"",$H210/1000)</f>
        <v>86.230600999999993</v>
      </c>
    </row>
    <row r="215" spans="1:23">
      <c r="A215" s="186" t="s">
        <v>31</v>
      </c>
      <c r="B215" s="309" t="s">
        <v>599</v>
      </c>
      <c r="C215" s="310"/>
      <c r="D215" s="310"/>
      <c r="E215" s="310"/>
      <c r="F215" s="310"/>
      <c r="G215" s="310"/>
      <c r="H215" s="310"/>
      <c r="I215" s="310"/>
      <c r="J215" s="310"/>
      <c r="K215" s="310"/>
      <c r="L215" s="310"/>
      <c r="M215" s="310"/>
      <c r="N215" s="310"/>
      <c r="O215" s="310"/>
      <c r="P215" s="310"/>
      <c r="Q215" s="310"/>
      <c r="R215" s="310"/>
      <c r="S215" s="310"/>
    </row>
    <row r="216" spans="1:23">
      <c r="A216" s="186" t="s">
        <v>116</v>
      </c>
      <c r="B216" s="311" t="s">
        <v>109</v>
      </c>
      <c r="C216" s="312"/>
      <c r="D216" s="312"/>
      <c r="E216" s="312"/>
      <c r="F216" s="312"/>
      <c r="G216" s="312"/>
      <c r="H216" s="312"/>
      <c r="I216" s="312"/>
      <c r="J216" s="312"/>
      <c r="K216" s="312"/>
      <c r="L216" s="312"/>
      <c r="M216" s="312"/>
      <c r="N216" s="312"/>
      <c r="O216" s="312"/>
      <c r="P216" s="312"/>
      <c r="Q216" s="312"/>
      <c r="R216" s="312"/>
      <c r="S216" s="312"/>
    </row>
    <row r="217" spans="1:23">
      <c r="A217" s="186" t="s">
        <v>117</v>
      </c>
      <c r="B217" s="313" t="s">
        <v>142</v>
      </c>
      <c r="C217" s="314"/>
      <c r="D217" s="314"/>
      <c r="E217" s="314"/>
      <c r="F217" s="314"/>
      <c r="G217" s="314"/>
      <c r="H217" s="314"/>
      <c r="I217" s="314"/>
      <c r="J217" s="314"/>
      <c r="K217" s="314"/>
      <c r="L217" s="314"/>
      <c r="M217" s="314"/>
      <c r="N217" s="314"/>
      <c r="O217" s="314"/>
      <c r="P217" s="314"/>
      <c r="Q217" s="314"/>
      <c r="R217" s="314"/>
      <c r="S217" s="314"/>
    </row>
    <row r="218" spans="1:23">
      <c r="A218" s="195" t="s">
        <v>118</v>
      </c>
      <c r="B218" s="292" t="s">
        <v>2</v>
      </c>
      <c r="C218" s="292" t="s">
        <v>83</v>
      </c>
      <c r="D218" s="292" t="s">
        <v>3</v>
      </c>
      <c r="E218" s="292" t="s">
        <v>4</v>
      </c>
      <c r="F218" s="292" t="s">
        <v>106</v>
      </c>
      <c r="G218" s="292" t="s">
        <v>11</v>
      </c>
      <c r="H218" s="292" t="s">
        <v>5</v>
      </c>
      <c r="I218" s="292" t="s">
        <v>6</v>
      </c>
      <c r="J218" s="292" t="s">
        <v>7</v>
      </c>
      <c r="K218" s="292" t="s">
        <v>8</v>
      </c>
      <c r="L218" s="292" t="s">
        <v>9</v>
      </c>
      <c r="M218" s="292" t="s">
        <v>71</v>
      </c>
      <c r="N218" s="292" t="s">
        <v>72</v>
      </c>
      <c r="O218" s="211" t="s">
        <v>10</v>
      </c>
      <c r="P218" s="292" t="s">
        <v>146</v>
      </c>
      <c r="Q218" s="292" t="s">
        <v>108</v>
      </c>
      <c r="R218" s="292" t="s">
        <v>147</v>
      </c>
      <c r="S218" s="211" t="s">
        <v>148</v>
      </c>
      <c r="V218" s="213" t="s">
        <v>153</v>
      </c>
    </row>
    <row r="219" spans="1:23" ht="14.25">
      <c r="A219" s="195" t="s">
        <v>141</v>
      </c>
      <c r="B219" s="201"/>
      <c r="C219" s="201"/>
      <c r="D219" s="201"/>
      <c r="E219" s="201"/>
      <c r="F219" s="201"/>
      <c r="G219" s="201"/>
      <c r="H219" s="201"/>
      <c r="I219" s="201"/>
      <c r="J219" s="201"/>
      <c r="K219" s="201"/>
      <c r="L219" s="201"/>
      <c r="M219" s="201"/>
      <c r="N219" s="201"/>
      <c r="O219" s="212"/>
      <c r="P219" s="201"/>
      <c r="Q219" s="201"/>
      <c r="R219" s="201"/>
      <c r="S219" s="212"/>
      <c r="V219" s="214"/>
    </row>
    <row r="220" spans="1:23" ht="14.25">
      <c r="A220" s="216">
        <v>1</v>
      </c>
      <c r="B220" s="190">
        <v>1.8911260000000001</v>
      </c>
      <c r="C220" s="190">
        <v>0.219945</v>
      </c>
      <c r="D220" s="190">
        <v>6.0334649999999996</v>
      </c>
      <c r="E220" s="190">
        <v>0.27281899999999998</v>
      </c>
      <c r="F220" s="190">
        <v>0</v>
      </c>
      <c r="G220" s="190">
        <v>3.3765869999999998</v>
      </c>
      <c r="H220" s="190">
        <v>10.165982</v>
      </c>
      <c r="I220" s="190">
        <v>2.4899999999999998E-4</v>
      </c>
      <c r="J220" s="190">
        <v>0.32277800000000001</v>
      </c>
      <c r="K220" s="190">
        <v>0.346694</v>
      </c>
      <c r="L220" s="190">
        <v>3.307207</v>
      </c>
      <c r="M220" s="190">
        <v>5.6841000000000003E-2</v>
      </c>
      <c r="N220" s="190">
        <v>0.188885</v>
      </c>
      <c r="O220" s="193">
        <v>26.182577999999999</v>
      </c>
      <c r="P220" s="190">
        <v>-5.2146999999999999E-2</v>
      </c>
      <c r="Q220" s="190">
        <v>-0.105839</v>
      </c>
      <c r="R220" s="190">
        <v>-0.40713100000000002</v>
      </c>
      <c r="S220" s="193">
        <v>25.617460999999999</v>
      </c>
      <c r="V220" s="215">
        <f>IFERROR(H220/O220*100,"")</f>
        <v>38.827276672297131</v>
      </c>
    </row>
    <row r="221" spans="1:23" ht="14.25">
      <c r="A221" s="216">
        <v>2</v>
      </c>
      <c r="B221" s="190">
        <v>1.7837893199999999</v>
      </c>
      <c r="C221" s="190">
        <v>0.12201868</v>
      </c>
      <c r="D221" s="190">
        <v>6.0316539999999996</v>
      </c>
      <c r="E221" s="190">
        <v>0.26922499999999999</v>
      </c>
      <c r="F221" s="190">
        <v>0</v>
      </c>
      <c r="G221" s="190">
        <v>2.8985539999999999</v>
      </c>
      <c r="H221" s="190">
        <v>10.112603</v>
      </c>
      <c r="I221" s="190">
        <v>2.22E-4</v>
      </c>
      <c r="J221" s="190">
        <v>0.28466000000000002</v>
      </c>
      <c r="K221" s="190">
        <v>0.34765000000000001</v>
      </c>
      <c r="L221" s="190">
        <v>3.2687200000000001</v>
      </c>
      <c r="M221" s="190">
        <v>5.1594000000000001E-2</v>
      </c>
      <c r="N221" s="190">
        <v>0.18559100000000001</v>
      </c>
      <c r="O221" s="193">
        <v>25.356280999999999</v>
      </c>
      <c r="P221" s="190">
        <v>-0.16416500000000001</v>
      </c>
      <c r="Q221" s="190">
        <v>-0.101909</v>
      </c>
      <c r="R221" s="190">
        <v>-0.94902600000000004</v>
      </c>
      <c r="S221" s="193">
        <v>24.141181</v>
      </c>
      <c r="V221" s="215">
        <f t="shared" ref="V221:V243" si="31">IFERROR(H221/O221*100,"")</f>
        <v>39.882043427425337</v>
      </c>
    </row>
    <row r="222" spans="1:23" ht="14.25">
      <c r="A222" s="216">
        <v>3</v>
      </c>
      <c r="B222" s="190">
        <v>1.7617133199999999</v>
      </c>
      <c r="C222" s="190">
        <v>-3.7931999999999999E-4</v>
      </c>
      <c r="D222" s="190">
        <v>6.0323180000000001</v>
      </c>
      <c r="E222" s="190">
        <v>0.28160299999999999</v>
      </c>
      <c r="F222" s="190">
        <v>0</v>
      </c>
      <c r="G222" s="190">
        <v>2.6761270000000001</v>
      </c>
      <c r="H222" s="190">
        <v>9.8709659999999992</v>
      </c>
      <c r="I222" s="190">
        <v>1.7200000000000001E-4</v>
      </c>
      <c r="J222" s="190">
        <v>0.27130900000000002</v>
      </c>
      <c r="K222" s="190">
        <v>0.34905199999999997</v>
      </c>
      <c r="L222" s="190">
        <v>3.247528</v>
      </c>
      <c r="M222" s="190">
        <v>4.8455999999999999E-2</v>
      </c>
      <c r="N222" s="190">
        <v>0.18096100000000001</v>
      </c>
      <c r="O222" s="193">
        <v>24.719826000000001</v>
      </c>
      <c r="P222" s="190">
        <v>-0.29663299999999998</v>
      </c>
      <c r="Q222" s="190">
        <v>-0.101866</v>
      </c>
      <c r="R222" s="190">
        <v>-1.0681020000000001</v>
      </c>
      <c r="S222" s="193">
        <v>23.253225</v>
      </c>
      <c r="V222" s="215">
        <f t="shared" si="31"/>
        <v>39.93137330335577</v>
      </c>
    </row>
    <row r="223" spans="1:23" ht="14.25">
      <c r="A223" s="216">
        <v>4</v>
      </c>
      <c r="B223" s="190">
        <v>1.7507081200000001</v>
      </c>
      <c r="C223" s="190">
        <v>-6.1112000000000004E-4</v>
      </c>
      <c r="D223" s="190">
        <v>6.0359730000000003</v>
      </c>
      <c r="E223" s="190">
        <v>0.27879100000000001</v>
      </c>
      <c r="F223" s="190">
        <v>0</v>
      </c>
      <c r="G223" s="190">
        <v>2.8439939999999999</v>
      </c>
      <c r="H223" s="190">
        <v>9.7527209999999993</v>
      </c>
      <c r="I223" s="190">
        <v>1.4200000000000001E-4</v>
      </c>
      <c r="J223" s="190">
        <v>0.24404300000000001</v>
      </c>
      <c r="K223" s="190">
        <v>0.34964499999999998</v>
      </c>
      <c r="L223" s="190">
        <v>3.2452040000000002</v>
      </c>
      <c r="M223" s="190">
        <v>5.0116500000000001E-2</v>
      </c>
      <c r="N223" s="190">
        <v>0.18164150000000001</v>
      </c>
      <c r="O223" s="193">
        <v>24.732368000000001</v>
      </c>
      <c r="P223" s="190">
        <v>-0.59013000000000004</v>
      </c>
      <c r="Q223" s="190">
        <v>-0.101909</v>
      </c>
      <c r="R223" s="190">
        <v>-1.1031489999999999</v>
      </c>
      <c r="S223" s="193">
        <v>22.937180000000001</v>
      </c>
      <c r="V223" s="215">
        <f t="shared" si="31"/>
        <v>39.433025580081939</v>
      </c>
    </row>
    <row r="224" spans="1:23" ht="14.25">
      <c r="A224" s="216">
        <v>5</v>
      </c>
      <c r="B224" s="190">
        <v>1.6257558000000001</v>
      </c>
      <c r="C224" s="190">
        <v>-5.9179999999999996E-4</v>
      </c>
      <c r="D224" s="190">
        <v>6.0339749999999999</v>
      </c>
      <c r="E224" s="190">
        <v>0.26465899999999998</v>
      </c>
      <c r="F224" s="190">
        <v>0</v>
      </c>
      <c r="G224" s="190">
        <v>2.6267550000000002</v>
      </c>
      <c r="H224" s="190">
        <v>9.9837550000000004</v>
      </c>
      <c r="I224" s="190">
        <v>1.46E-4</v>
      </c>
      <c r="J224" s="190">
        <v>0.223972</v>
      </c>
      <c r="K224" s="190">
        <v>0.34401300000000001</v>
      </c>
      <c r="L224" s="190">
        <v>3.2297289999999998</v>
      </c>
      <c r="M224" s="190">
        <v>5.1138999999999997E-2</v>
      </c>
      <c r="N224" s="190">
        <v>0.18202299999999999</v>
      </c>
      <c r="O224" s="193">
        <v>24.565329999999999</v>
      </c>
      <c r="P224" s="190">
        <v>-0.62321599999999999</v>
      </c>
      <c r="Q224" s="190">
        <v>-0.101822</v>
      </c>
      <c r="R224" s="190">
        <v>-0.98055000000000003</v>
      </c>
      <c r="S224" s="193">
        <v>22.859742000000001</v>
      </c>
      <c r="V224" s="215">
        <f t="shared" si="31"/>
        <v>40.641648209081666</v>
      </c>
    </row>
    <row r="225" spans="1:22" ht="14.25">
      <c r="A225" s="216">
        <v>6</v>
      </c>
      <c r="B225" s="190">
        <v>1.5914036</v>
      </c>
      <c r="C225" s="190">
        <v>-5.396E-4</v>
      </c>
      <c r="D225" s="190">
        <v>6.0346399999999996</v>
      </c>
      <c r="E225" s="190">
        <v>0.26391300000000001</v>
      </c>
      <c r="F225" s="190">
        <v>0</v>
      </c>
      <c r="G225" s="190">
        <v>2.4065799999999999</v>
      </c>
      <c r="H225" s="190">
        <v>10.417051000000001</v>
      </c>
      <c r="I225" s="190">
        <v>2.13E-4</v>
      </c>
      <c r="J225" s="190">
        <v>0.158194</v>
      </c>
      <c r="K225" s="190">
        <v>0.34234199999999998</v>
      </c>
      <c r="L225" s="190">
        <v>3.1943440000000001</v>
      </c>
      <c r="M225" s="190">
        <v>5.2850000000000001E-2</v>
      </c>
      <c r="N225" s="190">
        <v>0.18590100000000001</v>
      </c>
      <c r="O225" s="193">
        <v>24.646892000000001</v>
      </c>
      <c r="P225" s="190">
        <v>-0.62853700000000001</v>
      </c>
      <c r="Q225" s="190">
        <v>-0.102427</v>
      </c>
      <c r="R225" s="190">
        <v>-0.62104300000000001</v>
      </c>
      <c r="S225" s="193">
        <v>23.294885000000001</v>
      </c>
      <c r="V225" s="215">
        <f t="shared" si="31"/>
        <v>42.26517079719423</v>
      </c>
    </row>
    <row r="226" spans="1:22" ht="14.25">
      <c r="A226" s="216">
        <v>7</v>
      </c>
      <c r="B226" s="190">
        <v>1.9106834399999999</v>
      </c>
      <c r="C226" s="190">
        <v>0.13771855999999999</v>
      </c>
      <c r="D226" s="190">
        <v>6.0343030000000004</v>
      </c>
      <c r="E226" s="190">
        <v>0.263125</v>
      </c>
      <c r="F226" s="190">
        <v>0</v>
      </c>
      <c r="G226" s="190">
        <v>2.4201519999999999</v>
      </c>
      <c r="H226" s="190">
        <v>10.787065</v>
      </c>
      <c r="I226" s="190">
        <v>6.3500000000000004E-4</v>
      </c>
      <c r="J226" s="190">
        <v>8.3946999999999994E-2</v>
      </c>
      <c r="K226" s="190">
        <v>0.33930500000000002</v>
      </c>
      <c r="L226" s="190">
        <v>3.1880500000000001</v>
      </c>
      <c r="M226" s="190">
        <v>5.36745E-2</v>
      </c>
      <c r="N226" s="190">
        <v>0.18940750000000001</v>
      </c>
      <c r="O226" s="193">
        <v>25.408066000000002</v>
      </c>
      <c r="P226" s="190">
        <v>-0.55311900000000003</v>
      </c>
      <c r="Q226" s="190">
        <v>-0.128521</v>
      </c>
      <c r="R226" s="190">
        <v>0.62440700000000005</v>
      </c>
      <c r="S226" s="193">
        <v>25.350833000000002</v>
      </c>
      <c r="V226" s="215">
        <f t="shared" si="31"/>
        <v>42.455277784621622</v>
      </c>
    </row>
    <row r="227" spans="1:22" ht="14.25">
      <c r="A227" s="216">
        <v>8</v>
      </c>
      <c r="B227" s="190">
        <v>2.6034724800000002</v>
      </c>
      <c r="C227" s="190">
        <v>0.31680451999999998</v>
      </c>
      <c r="D227" s="190">
        <v>6.0333930000000002</v>
      </c>
      <c r="E227" s="190">
        <v>0.26255800000000001</v>
      </c>
      <c r="F227" s="190">
        <v>0</v>
      </c>
      <c r="G227" s="190">
        <v>2.6150950000000002</v>
      </c>
      <c r="H227" s="190">
        <v>11.293203999999999</v>
      </c>
      <c r="I227" s="190">
        <v>4.1392999999999999E-2</v>
      </c>
      <c r="J227" s="190">
        <v>2.5104000000000001E-2</v>
      </c>
      <c r="K227" s="190">
        <v>0.33551599999999998</v>
      </c>
      <c r="L227" s="190">
        <v>3.2823020000000001</v>
      </c>
      <c r="M227" s="190">
        <v>5.3492499999999998E-2</v>
      </c>
      <c r="N227" s="190">
        <v>0.1923665</v>
      </c>
      <c r="O227" s="193">
        <v>27.054701000000001</v>
      </c>
      <c r="P227" s="190">
        <v>-6.0926000000000001E-2</v>
      </c>
      <c r="Q227" s="190">
        <v>-0.178761</v>
      </c>
      <c r="R227" s="190">
        <v>1.111612</v>
      </c>
      <c r="S227" s="193">
        <v>27.926625999999999</v>
      </c>
      <c r="V227" s="215">
        <f t="shared" si="31"/>
        <v>41.742113505523491</v>
      </c>
    </row>
    <row r="228" spans="1:22" ht="14.25">
      <c r="A228" s="216">
        <v>9</v>
      </c>
      <c r="B228" s="190">
        <v>3.1667179600000002</v>
      </c>
      <c r="C228" s="190">
        <v>0.50009703999999999</v>
      </c>
      <c r="D228" s="190">
        <v>6.0334380000000003</v>
      </c>
      <c r="E228" s="190">
        <v>0.27966000000000002</v>
      </c>
      <c r="F228" s="190">
        <v>0</v>
      </c>
      <c r="G228" s="190">
        <v>2.499161</v>
      </c>
      <c r="H228" s="190">
        <v>11.649419999999999</v>
      </c>
      <c r="I228" s="190">
        <v>0.35376999999999997</v>
      </c>
      <c r="J228" s="190">
        <v>2.0648E-2</v>
      </c>
      <c r="K228" s="190">
        <v>0.34033799999999997</v>
      </c>
      <c r="L228" s="190">
        <v>3.337726</v>
      </c>
      <c r="M228" s="190">
        <v>5.4262499999999998E-2</v>
      </c>
      <c r="N228" s="190">
        <v>0.19601550000000001</v>
      </c>
      <c r="O228" s="193">
        <v>28.431253999999999</v>
      </c>
      <c r="P228" s="190">
        <v>-1.7340000000000001E-3</v>
      </c>
      <c r="Q228" s="190">
        <v>-0.233712</v>
      </c>
      <c r="R228" s="190">
        <v>1.6430439999999999</v>
      </c>
      <c r="S228" s="193">
        <v>29.838851999999999</v>
      </c>
      <c r="V228" s="215">
        <f t="shared" si="31"/>
        <v>40.973992916387012</v>
      </c>
    </row>
    <row r="229" spans="1:22" ht="14.25">
      <c r="A229" s="216">
        <v>10</v>
      </c>
      <c r="B229" s="190">
        <v>3.2588457599999998</v>
      </c>
      <c r="C229" s="190">
        <v>0.42060624000000002</v>
      </c>
      <c r="D229" s="190">
        <v>6.0303360000000001</v>
      </c>
      <c r="E229" s="190">
        <v>0.27349000000000001</v>
      </c>
      <c r="F229" s="190">
        <v>0</v>
      </c>
      <c r="G229" s="190">
        <v>2.3844449999999999</v>
      </c>
      <c r="H229" s="190">
        <v>12.045766</v>
      </c>
      <c r="I229" s="190">
        <v>0.860128</v>
      </c>
      <c r="J229" s="190">
        <v>0.12203899999999999</v>
      </c>
      <c r="K229" s="190">
        <v>0.342082</v>
      </c>
      <c r="L229" s="190">
        <v>3.330362</v>
      </c>
      <c r="M229" s="190">
        <v>5.34245E-2</v>
      </c>
      <c r="N229" s="190">
        <v>0.19235250000000001</v>
      </c>
      <c r="O229" s="193">
        <v>29.313877000000002</v>
      </c>
      <c r="P229" s="190">
        <v>-2.1189999999999998E-3</v>
      </c>
      <c r="Q229" s="190">
        <v>-0.23518</v>
      </c>
      <c r="R229" s="190">
        <v>1.735188</v>
      </c>
      <c r="S229" s="193">
        <v>30.811765999999999</v>
      </c>
      <c r="V229" s="215">
        <f t="shared" si="31"/>
        <v>41.092367277109062</v>
      </c>
    </row>
    <row r="230" spans="1:22" ht="14.25">
      <c r="A230" s="216">
        <v>11</v>
      </c>
      <c r="B230" s="190">
        <v>2.9077457199999999</v>
      </c>
      <c r="C230" s="190">
        <v>0.28037128</v>
      </c>
      <c r="D230" s="190">
        <v>6.0273139999999996</v>
      </c>
      <c r="E230" s="190">
        <v>0.297433</v>
      </c>
      <c r="F230" s="190">
        <v>0</v>
      </c>
      <c r="G230" s="190">
        <v>2.6869779999999999</v>
      </c>
      <c r="H230" s="190">
        <v>12.841854</v>
      </c>
      <c r="I230" s="190">
        <v>1.3140480000000001</v>
      </c>
      <c r="J230" s="190">
        <v>0.21263199999999999</v>
      </c>
      <c r="K230" s="190">
        <v>0.33901700000000001</v>
      </c>
      <c r="L230" s="190">
        <v>3.3372630000000001</v>
      </c>
      <c r="M230" s="190">
        <v>5.36195E-2</v>
      </c>
      <c r="N230" s="190">
        <v>0.1904285</v>
      </c>
      <c r="O230" s="193">
        <v>30.488703999999998</v>
      </c>
      <c r="P230" s="190">
        <v>-1.874E-3</v>
      </c>
      <c r="Q230" s="190">
        <v>-0.235268</v>
      </c>
      <c r="R230" s="190">
        <v>1.082632</v>
      </c>
      <c r="S230" s="193">
        <v>31.334194</v>
      </c>
      <c r="V230" s="215">
        <f t="shared" si="31"/>
        <v>42.120038949507332</v>
      </c>
    </row>
    <row r="231" spans="1:22" ht="14.25">
      <c r="A231" s="216">
        <v>12</v>
      </c>
      <c r="B231" s="190">
        <v>2.7659980000000002</v>
      </c>
      <c r="C231" s="190">
        <v>0.24836900000000001</v>
      </c>
      <c r="D231" s="190">
        <v>6.0257620000000003</v>
      </c>
      <c r="E231" s="190">
        <v>0.309637</v>
      </c>
      <c r="F231" s="190">
        <v>0</v>
      </c>
      <c r="G231" s="190">
        <v>2.5655290000000002</v>
      </c>
      <c r="H231" s="190">
        <v>13.728471000000001</v>
      </c>
      <c r="I231" s="190">
        <v>1.749463</v>
      </c>
      <c r="J231" s="190">
        <v>0.23938100000000001</v>
      </c>
      <c r="K231" s="190">
        <v>0.33746700000000002</v>
      </c>
      <c r="L231" s="190">
        <v>3.3349869999999999</v>
      </c>
      <c r="M231" s="190">
        <v>5.3248999999999998E-2</v>
      </c>
      <c r="N231" s="190">
        <v>0.1938</v>
      </c>
      <c r="O231" s="193">
        <v>31.552112999999999</v>
      </c>
      <c r="P231" s="190">
        <v>-1.493E-3</v>
      </c>
      <c r="Q231" s="190">
        <v>-0.23530999999999999</v>
      </c>
      <c r="R231" s="190">
        <v>0.24811</v>
      </c>
      <c r="S231" s="193">
        <v>31.563420000000001</v>
      </c>
      <c r="V231" s="215">
        <f t="shared" si="31"/>
        <v>43.510464734960863</v>
      </c>
    </row>
    <row r="232" spans="1:22" ht="14.25">
      <c r="A232" s="216">
        <v>13</v>
      </c>
      <c r="B232" s="190">
        <v>2.448371104</v>
      </c>
      <c r="C232" s="190">
        <v>0.20478189599999999</v>
      </c>
      <c r="D232" s="190">
        <v>6.0255280000000004</v>
      </c>
      <c r="E232" s="190">
        <v>0.35232599999999997</v>
      </c>
      <c r="F232" s="190">
        <v>0</v>
      </c>
      <c r="G232" s="190">
        <v>2.152288</v>
      </c>
      <c r="H232" s="190">
        <v>14.63611</v>
      </c>
      <c r="I232" s="190">
        <v>2.0264639999999998</v>
      </c>
      <c r="J232" s="190">
        <v>0.171538</v>
      </c>
      <c r="K232" s="190">
        <v>0.33506799999999998</v>
      </c>
      <c r="L232" s="190">
        <v>3.353583</v>
      </c>
      <c r="M232" s="190">
        <v>5.2839999999999998E-2</v>
      </c>
      <c r="N232" s="190">
        <v>0.198351</v>
      </c>
      <c r="O232" s="193">
        <v>31.957249000000001</v>
      </c>
      <c r="P232" s="190">
        <v>-1.885E-3</v>
      </c>
      <c r="Q232" s="190">
        <v>-0.235182</v>
      </c>
      <c r="R232" s="190">
        <v>0.211259</v>
      </c>
      <c r="S232" s="193">
        <v>31.931441</v>
      </c>
      <c r="V232" s="215">
        <f t="shared" si="31"/>
        <v>45.799029822623346</v>
      </c>
    </row>
    <row r="233" spans="1:22" ht="14.25">
      <c r="A233" s="216">
        <v>14</v>
      </c>
      <c r="B233" s="190">
        <v>2.4984232</v>
      </c>
      <c r="C233" s="190">
        <v>0.1568058</v>
      </c>
      <c r="D233" s="190">
        <v>6.0186570000000001</v>
      </c>
      <c r="E233" s="190">
        <v>0.33598699999999998</v>
      </c>
      <c r="F233" s="190">
        <v>0</v>
      </c>
      <c r="G233" s="190">
        <v>2.246038</v>
      </c>
      <c r="H233" s="190">
        <v>14.747728</v>
      </c>
      <c r="I233" s="190">
        <v>2.2115619999999998</v>
      </c>
      <c r="J233" s="190">
        <v>0.16680500000000001</v>
      </c>
      <c r="K233" s="190">
        <v>0.34150900000000001</v>
      </c>
      <c r="L233" s="190">
        <v>3.3232719999999998</v>
      </c>
      <c r="M233" s="190">
        <v>5.3580999999999997E-2</v>
      </c>
      <c r="N233" s="190">
        <v>0.201598</v>
      </c>
      <c r="O233" s="193">
        <v>32.301966</v>
      </c>
      <c r="P233" s="190">
        <v>-1.7639999999999999E-3</v>
      </c>
      <c r="Q233" s="190">
        <v>-0.23535300000000001</v>
      </c>
      <c r="R233" s="190">
        <v>-0.19339600000000001</v>
      </c>
      <c r="S233" s="193">
        <v>31.871452999999999</v>
      </c>
      <c r="V233" s="215">
        <f t="shared" si="31"/>
        <v>45.655821692091436</v>
      </c>
    </row>
    <row r="234" spans="1:22" ht="14.25">
      <c r="A234" s="216">
        <v>15</v>
      </c>
      <c r="B234" s="190">
        <v>2.0971886400000002</v>
      </c>
      <c r="C234" s="190">
        <v>3.09436E-3</v>
      </c>
      <c r="D234" s="190">
        <v>6.0161439999999997</v>
      </c>
      <c r="E234" s="190">
        <v>0.319498</v>
      </c>
      <c r="F234" s="190">
        <v>0</v>
      </c>
      <c r="G234" s="190">
        <v>2.0259049999999998</v>
      </c>
      <c r="H234" s="190">
        <v>15.087040999999999</v>
      </c>
      <c r="I234" s="190">
        <v>2.3684020000000001</v>
      </c>
      <c r="J234" s="190">
        <v>0.24459400000000001</v>
      </c>
      <c r="K234" s="190">
        <v>0.34765499999999999</v>
      </c>
      <c r="L234" s="190">
        <v>3.2422330000000001</v>
      </c>
      <c r="M234" s="190">
        <v>5.4627500000000002E-2</v>
      </c>
      <c r="N234" s="190">
        <v>0.19588449999999999</v>
      </c>
      <c r="O234" s="193">
        <v>32.002267000000003</v>
      </c>
      <c r="P234" s="190">
        <v>-0.148033</v>
      </c>
      <c r="Q234" s="190">
        <v>-0.235267</v>
      </c>
      <c r="R234" s="190">
        <v>-0.83989999999999998</v>
      </c>
      <c r="S234" s="193">
        <v>30.779067000000001</v>
      </c>
      <c r="V234" s="215">
        <f t="shared" si="31"/>
        <v>47.143663291103714</v>
      </c>
    </row>
    <row r="235" spans="1:22" ht="14.25">
      <c r="A235" s="216">
        <v>16</v>
      </c>
      <c r="B235" s="190">
        <v>2.10140744</v>
      </c>
      <c r="C235" s="190">
        <v>-4.8643999999999998E-4</v>
      </c>
      <c r="D235" s="190">
        <v>6.0190510000000002</v>
      </c>
      <c r="E235" s="190">
        <v>0.32489400000000002</v>
      </c>
      <c r="F235" s="190">
        <v>0</v>
      </c>
      <c r="G235" s="190">
        <v>2.0098590000000001</v>
      </c>
      <c r="H235" s="190">
        <v>15.322006</v>
      </c>
      <c r="I235" s="190">
        <v>2.218397</v>
      </c>
      <c r="J235" s="190">
        <v>0.27673300000000001</v>
      </c>
      <c r="K235" s="190">
        <v>0.339501</v>
      </c>
      <c r="L235" s="190">
        <v>3.2555290000000001</v>
      </c>
      <c r="M235" s="190">
        <v>5.1635E-2</v>
      </c>
      <c r="N235" s="190">
        <v>0.18770999999999999</v>
      </c>
      <c r="O235" s="193">
        <v>32.106236000000003</v>
      </c>
      <c r="P235" s="190">
        <v>-0.54465799999999998</v>
      </c>
      <c r="Q235" s="190">
        <v>-0.235267</v>
      </c>
      <c r="R235" s="190">
        <v>-1.2474529999999999</v>
      </c>
      <c r="S235" s="193">
        <v>30.078858</v>
      </c>
      <c r="V235" s="215">
        <f t="shared" si="31"/>
        <v>47.722834903474819</v>
      </c>
    </row>
    <row r="236" spans="1:22" ht="14.25">
      <c r="A236" s="216">
        <v>17</v>
      </c>
      <c r="B236" s="190">
        <v>2.1462878000000001</v>
      </c>
      <c r="C236" s="190">
        <v>5.2582200000000003E-2</v>
      </c>
      <c r="D236" s="190">
        <v>6.0241879999999997</v>
      </c>
      <c r="E236" s="190">
        <v>0.28937800000000002</v>
      </c>
      <c r="F236" s="190">
        <v>0</v>
      </c>
      <c r="G236" s="190">
        <v>1.9345570000000001</v>
      </c>
      <c r="H236" s="190">
        <v>15.604463000000001</v>
      </c>
      <c r="I236" s="190">
        <v>2.068384</v>
      </c>
      <c r="J236" s="190">
        <v>0.32982499999999998</v>
      </c>
      <c r="K236" s="190">
        <v>0.34468100000000002</v>
      </c>
      <c r="L236" s="190">
        <v>3.2138260000000001</v>
      </c>
      <c r="M236" s="190">
        <v>4.9821499999999998E-2</v>
      </c>
      <c r="N236" s="190">
        <v>0.1791615</v>
      </c>
      <c r="O236" s="193">
        <v>32.237155000000001</v>
      </c>
      <c r="P236" s="190">
        <v>-0.208786</v>
      </c>
      <c r="Q236" s="190">
        <v>-0.23530999999999999</v>
      </c>
      <c r="R236" s="190">
        <v>-1.9404950000000001</v>
      </c>
      <c r="S236" s="193">
        <v>29.852564000000001</v>
      </c>
      <c r="V236" s="215">
        <f t="shared" si="31"/>
        <v>48.405211315948939</v>
      </c>
    </row>
    <row r="237" spans="1:22" ht="14.25">
      <c r="A237" s="216">
        <v>18</v>
      </c>
      <c r="B237" s="190">
        <v>1.97721116</v>
      </c>
      <c r="C237" s="190">
        <v>0.16521084</v>
      </c>
      <c r="D237" s="190">
        <v>6.025881</v>
      </c>
      <c r="E237" s="190">
        <v>0.27270499999999998</v>
      </c>
      <c r="F237" s="190">
        <v>0</v>
      </c>
      <c r="G237" s="190">
        <v>1.73868</v>
      </c>
      <c r="H237" s="190">
        <v>15.874993999999999</v>
      </c>
      <c r="I237" s="190">
        <v>1.677192</v>
      </c>
      <c r="J237" s="190">
        <v>0.44028699999999998</v>
      </c>
      <c r="K237" s="190">
        <v>0.34432699999999999</v>
      </c>
      <c r="L237" s="190">
        <v>3.2428349999999999</v>
      </c>
      <c r="M237" s="190">
        <v>5.3669500000000002E-2</v>
      </c>
      <c r="N237" s="190">
        <v>0.1870985</v>
      </c>
      <c r="O237" s="193">
        <v>32.000090999999998</v>
      </c>
      <c r="P237" s="190">
        <v>-6.5494999999999998E-2</v>
      </c>
      <c r="Q237" s="190">
        <v>-0.235182</v>
      </c>
      <c r="R237" s="190">
        <v>-2.0451079999999999</v>
      </c>
      <c r="S237" s="193">
        <v>29.654305999999998</v>
      </c>
      <c r="V237" s="215">
        <f t="shared" si="31"/>
        <v>49.609215173794354</v>
      </c>
    </row>
    <row r="238" spans="1:22" ht="14.25">
      <c r="A238" s="216">
        <v>19</v>
      </c>
      <c r="B238" s="190">
        <v>2.00193588</v>
      </c>
      <c r="C238" s="190">
        <v>0.15198312</v>
      </c>
      <c r="D238" s="190">
        <v>6.0271080000000001</v>
      </c>
      <c r="E238" s="190">
        <v>0.27194800000000002</v>
      </c>
      <c r="F238" s="190">
        <v>0</v>
      </c>
      <c r="G238" s="190">
        <v>1.8691770000000001</v>
      </c>
      <c r="H238" s="190">
        <v>15.949736</v>
      </c>
      <c r="I238" s="190">
        <v>1.1569130000000001</v>
      </c>
      <c r="J238" s="190">
        <v>0.46982099999999999</v>
      </c>
      <c r="K238" s="190">
        <v>0.341364</v>
      </c>
      <c r="L238" s="190">
        <v>3.2599339999999999</v>
      </c>
      <c r="M238" s="190">
        <v>5.4362500000000001E-2</v>
      </c>
      <c r="N238" s="190">
        <v>0.18802949999999999</v>
      </c>
      <c r="O238" s="193">
        <v>31.742311999999998</v>
      </c>
      <c r="P238" s="190">
        <v>-7.5476000000000001E-2</v>
      </c>
      <c r="Q238" s="190">
        <v>-0.23621700000000001</v>
      </c>
      <c r="R238" s="190">
        <v>-2.1315059999999999</v>
      </c>
      <c r="S238" s="193">
        <v>29.299112999999998</v>
      </c>
      <c r="V238" s="215">
        <f t="shared" si="31"/>
        <v>50.247556006632408</v>
      </c>
    </row>
    <row r="239" spans="1:22" ht="14.25">
      <c r="A239" s="216">
        <v>20</v>
      </c>
      <c r="B239" s="190">
        <v>2.2533346399999998</v>
      </c>
      <c r="C239" s="190">
        <v>1.000436E-2</v>
      </c>
      <c r="D239" s="190">
        <v>6.0289299999999999</v>
      </c>
      <c r="E239" s="190">
        <v>0.32415899999999997</v>
      </c>
      <c r="F239" s="190">
        <v>0</v>
      </c>
      <c r="G239" s="190">
        <v>2.083755</v>
      </c>
      <c r="H239" s="190">
        <v>15.856176</v>
      </c>
      <c r="I239" s="190">
        <v>0.57530000000000003</v>
      </c>
      <c r="J239" s="190">
        <v>0.40703499999999998</v>
      </c>
      <c r="K239" s="190">
        <v>0.34025499999999997</v>
      </c>
      <c r="L239" s="190">
        <v>3.321224</v>
      </c>
      <c r="M239" s="190">
        <v>5.5884499999999997E-2</v>
      </c>
      <c r="N239" s="190">
        <v>0.1883455</v>
      </c>
      <c r="O239" s="193">
        <v>31.444403000000001</v>
      </c>
      <c r="P239" s="190">
        <v>-2.2931E-2</v>
      </c>
      <c r="Q239" s="190">
        <v>-0.26632800000000001</v>
      </c>
      <c r="R239" s="190">
        <v>-1.682177</v>
      </c>
      <c r="S239" s="193">
        <v>29.472967000000001</v>
      </c>
      <c r="V239" s="215">
        <f t="shared" si="31"/>
        <v>50.426067876054127</v>
      </c>
    </row>
    <row r="240" spans="1:22" ht="14.25">
      <c r="A240" s="216">
        <v>21</v>
      </c>
      <c r="B240" s="190">
        <v>2.5121336799999998</v>
      </c>
      <c r="C240" s="190">
        <v>-4.9167999999999998E-4</v>
      </c>
      <c r="D240" s="190">
        <v>6.0323989999999998</v>
      </c>
      <c r="E240" s="190">
        <v>0.32699600000000001</v>
      </c>
      <c r="F240" s="190">
        <v>0</v>
      </c>
      <c r="G240" s="190">
        <v>2.197695</v>
      </c>
      <c r="H240" s="190">
        <v>15.531631000000001</v>
      </c>
      <c r="I240" s="190">
        <v>0.138511</v>
      </c>
      <c r="J240" s="190">
        <v>0.24491499999999999</v>
      </c>
      <c r="K240" s="190">
        <v>0.34397800000000001</v>
      </c>
      <c r="L240" s="190">
        <v>3.3665020000000001</v>
      </c>
      <c r="M240" s="190">
        <v>5.6363000000000003E-2</v>
      </c>
      <c r="N240" s="190">
        <v>0.18931400000000001</v>
      </c>
      <c r="O240" s="193">
        <v>30.939945999999999</v>
      </c>
      <c r="P240" s="190">
        <v>-1.874E-3</v>
      </c>
      <c r="Q240" s="190">
        <v>-0.266544</v>
      </c>
      <c r="R240" s="190">
        <v>-0.49054300000000001</v>
      </c>
      <c r="S240" s="193">
        <v>30.180985</v>
      </c>
      <c r="V240" s="215">
        <f t="shared" si="31"/>
        <v>50.199282830034676</v>
      </c>
    </row>
    <row r="241" spans="1:22" ht="14.25">
      <c r="A241" s="216">
        <v>22</v>
      </c>
      <c r="B241" s="190">
        <v>2.8160813199999999</v>
      </c>
      <c r="C241" s="190">
        <v>2.2346800000000002E-3</v>
      </c>
      <c r="D241" s="190">
        <v>6.0318839999999998</v>
      </c>
      <c r="E241" s="190">
        <v>0.31467099999999998</v>
      </c>
      <c r="F241" s="190">
        <v>0</v>
      </c>
      <c r="G241" s="190">
        <v>2.3745970000000001</v>
      </c>
      <c r="H241" s="190">
        <v>14.858641</v>
      </c>
      <c r="I241" s="190">
        <v>2.356E-3</v>
      </c>
      <c r="J241" s="190">
        <v>0.21290899999999999</v>
      </c>
      <c r="K241" s="190">
        <v>0.33594200000000002</v>
      </c>
      <c r="L241" s="190">
        <v>3.3747989999999999</v>
      </c>
      <c r="M241" s="190">
        <v>5.5703000000000003E-2</v>
      </c>
      <c r="N241" s="190">
        <v>0.19225600000000001</v>
      </c>
      <c r="O241" s="193">
        <v>30.572074000000001</v>
      </c>
      <c r="P241" s="190">
        <v>-1.851E-3</v>
      </c>
      <c r="Q241" s="190">
        <v>-0.265766</v>
      </c>
      <c r="R241" s="190">
        <v>0.976572</v>
      </c>
      <c r="S241" s="193">
        <v>31.281029</v>
      </c>
      <c r="V241" s="215">
        <f t="shared" si="31"/>
        <v>48.602005215609509</v>
      </c>
    </row>
    <row r="242" spans="1:22" ht="14.25">
      <c r="A242" s="216">
        <v>23</v>
      </c>
      <c r="B242" s="190">
        <v>2.7007393199999998</v>
      </c>
      <c r="C242" s="190">
        <v>0.13395567999999999</v>
      </c>
      <c r="D242" s="190">
        <v>6.0314670000000001</v>
      </c>
      <c r="E242" s="190">
        <v>0.30226399999999998</v>
      </c>
      <c r="F242" s="190">
        <v>0</v>
      </c>
      <c r="G242" s="190">
        <v>2.1358869999999999</v>
      </c>
      <c r="H242" s="190">
        <v>14.311565999999999</v>
      </c>
      <c r="I242" s="190">
        <v>9.1000000000000003E-5</v>
      </c>
      <c r="J242" s="190">
        <v>0.20088700000000001</v>
      </c>
      <c r="K242" s="190">
        <v>0.32859899999999997</v>
      </c>
      <c r="L242" s="190">
        <v>3.3697900000000001</v>
      </c>
      <c r="M242" s="190">
        <v>5.5933499999999997E-2</v>
      </c>
      <c r="N242" s="190">
        <v>0.19318550000000001</v>
      </c>
      <c r="O242" s="193">
        <v>29.764365000000002</v>
      </c>
      <c r="P242" s="190">
        <v>-2.1139000000000002E-2</v>
      </c>
      <c r="Q242" s="190">
        <v>-0.23436000000000001</v>
      </c>
      <c r="R242" s="190">
        <v>-0.15244199999999999</v>
      </c>
      <c r="S242" s="193">
        <v>29.356424000000001</v>
      </c>
      <c r="V242" s="215">
        <f t="shared" si="31"/>
        <v>48.082887036226026</v>
      </c>
    </row>
    <row r="243" spans="1:22" ht="14.25">
      <c r="A243" s="216">
        <v>24</v>
      </c>
      <c r="B243" s="190">
        <v>2.3316763200000001</v>
      </c>
      <c r="C243" s="190">
        <v>2.5366799999999999E-3</v>
      </c>
      <c r="D243" s="190">
        <v>6.0318300000000002</v>
      </c>
      <c r="E243" s="190">
        <v>0.283966</v>
      </c>
      <c r="F243" s="190">
        <v>0</v>
      </c>
      <c r="G243" s="190">
        <v>2.2356549999999999</v>
      </c>
      <c r="H243" s="190">
        <v>13.893466999999999</v>
      </c>
      <c r="I243" s="190">
        <v>7.2000000000000002E-5</v>
      </c>
      <c r="J243" s="190">
        <v>0.119578</v>
      </c>
      <c r="K243" s="190">
        <v>0.32962399999999997</v>
      </c>
      <c r="L243" s="190">
        <v>3.2998029999999998</v>
      </c>
      <c r="M243" s="190">
        <v>5.0778499999999997E-2</v>
      </c>
      <c r="N243" s="190">
        <v>0.18563450000000001</v>
      </c>
      <c r="O243" s="193">
        <v>28.764621000000002</v>
      </c>
      <c r="P243" s="190">
        <v>-0.35808699999999999</v>
      </c>
      <c r="Q243" s="190">
        <v>-0.17932300000000001</v>
      </c>
      <c r="R243" s="190">
        <v>-1.363307</v>
      </c>
      <c r="S243" s="193">
        <v>26.863904000000002</v>
      </c>
      <c r="V243" s="215">
        <f t="shared" si="31"/>
        <v>48.300539054555934</v>
      </c>
    </row>
    <row r="244" spans="1:22" ht="14.25">
      <c r="V244" s="215" t="str">
        <f t="shared" ref="V244:V251" si="32">IFERROR(H244/O244*100,"")</f>
        <v/>
      </c>
    </row>
    <row r="245" spans="1:22" ht="14.25">
      <c r="V245" s="215" t="str">
        <f t="shared" si="32"/>
        <v/>
      </c>
    </row>
    <row r="246" spans="1:22" ht="14.25">
      <c r="V246" s="215" t="str">
        <f t="shared" si="32"/>
        <v/>
      </c>
    </row>
    <row r="247" spans="1:22" ht="14.25">
      <c r="V247" s="215" t="str">
        <f t="shared" si="32"/>
        <v/>
      </c>
    </row>
    <row r="248" spans="1:22" ht="14.25">
      <c r="V248" s="215" t="str">
        <f t="shared" si="32"/>
        <v/>
      </c>
    </row>
    <row r="249" spans="1:22" ht="14.25">
      <c r="V249" s="215" t="str">
        <f t="shared" si="32"/>
        <v/>
      </c>
    </row>
    <row r="250" spans="1:22" ht="14.25">
      <c r="V250" s="215" t="str">
        <f t="shared" si="32"/>
        <v/>
      </c>
    </row>
    <row r="251" spans="1:22" ht="14.25">
      <c r="V251" s="215" t="str">
        <f t="shared" si="32"/>
        <v/>
      </c>
    </row>
  </sheetData>
  <mergeCells count="10">
    <mergeCell ref="B176:S176"/>
    <mergeCell ref="B177:S177"/>
    <mergeCell ref="B215:S215"/>
    <mergeCell ref="B216:S216"/>
    <mergeCell ref="B217:S217"/>
    <mergeCell ref="B4:G4"/>
    <mergeCell ref="B5:G5"/>
    <mergeCell ref="B115:Z115"/>
    <mergeCell ref="B116:Z116"/>
    <mergeCell ref="B175:S175"/>
  </mergeCells>
  <conditionalFormatting sqref="V180:V210">
    <cfRule type="cellIs" dxfId="1" priority="2" operator="equal">
      <formula>$V$176</formula>
    </cfRule>
  </conditionalFormatting>
  <conditionalFormatting sqref="V220:V251">
    <cfRule type="cellIs" dxfId="0" priority="1" operator="equal">
      <formula>$V$176</formula>
    </cfRule>
  </conditionalFormatting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7"/>
  <dimension ref="B3:AA197"/>
  <sheetViews>
    <sheetView showGridLines="0" showRowColHeaders="0" topLeftCell="A169" zoomScaleNormal="100" workbookViewId="0">
      <selection activeCell="C17" sqref="C17"/>
    </sheetView>
  </sheetViews>
  <sheetFormatPr baseColWidth="10" defaultRowHeight="11.25"/>
  <cols>
    <col min="1" max="1" width="11.42578125" style="177"/>
    <col min="2" max="2" width="40.5703125" style="177" customWidth="1"/>
    <col min="3" max="16384" width="11.42578125" style="177"/>
  </cols>
  <sheetData>
    <row r="3" spans="2:7">
      <c r="B3" s="108" t="s">
        <v>56</v>
      </c>
      <c r="C3" s="176"/>
      <c r="D3" s="176"/>
      <c r="E3" s="176"/>
    </row>
    <row r="4" spans="2:7">
      <c r="B4" s="109"/>
      <c r="C4" s="92" t="s">
        <v>57</v>
      </c>
      <c r="D4" s="92" t="s">
        <v>14</v>
      </c>
      <c r="E4" s="110"/>
      <c r="F4" s="109"/>
      <c r="G4" s="92" t="s">
        <v>14</v>
      </c>
    </row>
    <row r="5" spans="2:7">
      <c r="B5" s="137" t="s">
        <v>83</v>
      </c>
      <c r="C5" s="133">
        <f>Dat_01!B33</f>
        <v>3328.8900000000003</v>
      </c>
      <c r="D5" s="112">
        <f>ROUND(C5/$C$17*100,1)</f>
        <v>3.4</v>
      </c>
      <c r="E5" s="110"/>
      <c r="F5" s="111" t="s">
        <v>16</v>
      </c>
      <c r="G5" s="112">
        <f>SUM(D5:D10)</f>
        <v>51.199999999999996</v>
      </c>
    </row>
    <row r="6" spans="2:7">
      <c r="B6" s="111" t="s">
        <v>3</v>
      </c>
      <c r="C6" s="133">
        <f>Dat_01!B34</f>
        <v>7117.29</v>
      </c>
      <c r="D6" s="112">
        <f>ROUND(C6/$C$17*100,1)</f>
        <v>7.2</v>
      </c>
      <c r="E6" s="110"/>
      <c r="F6" s="225" t="s">
        <v>17</v>
      </c>
      <c r="G6" s="226">
        <f>SUM(D11:D16)</f>
        <v>48.800000000000004</v>
      </c>
    </row>
    <row r="7" spans="2:7">
      <c r="B7" s="111" t="s">
        <v>4</v>
      </c>
      <c r="C7" s="133">
        <f>Dat_01!B35</f>
        <v>9215.0449999999983</v>
      </c>
      <c r="D7" s="112">
        <f>ROUND(C7/$C$17*100,1)</f>
        <v>9.4</v>
      </c>
      <c r="E7" s="110"/>
    </row>
    <row r="8" spans="2:7">
      <c r="B8" s="111" t="s">
        <v>11</v>
      </c>
      <c r="C8" s="133">
        <f>Dat_01!B36</f>
        <v>24561.86</v>
      </c>
      <c r="D8" s="112">
        <f>ROUND(C8/$C$17*100,1)</f>
        <v>24.9</v>
      </c>
      <c r="E8" s="110"/>
    </row>
    <row r="9" spans="2:7">
      <c r="B9" s="111" t="s">
        <v>9</v>
      </c>
      <c r="C9" s="133">
        <f>Dat_01!B37</f>
        <v>5694.7679000000007</v>
      </c>
      <c r="D9" s="112">
        <f>100-SUM(D5:D8,D10:D16)</f>
        <v>5.7999999999999972</v>
      </c>
      <c r="E9" s="110"/>
    </row>
    <row r="10" spans="2:7">
      <c r="B10" s="111" t="s">
        <v>72</v>
      </c>
      <c r="C10" s="133">
        <f>Dat_01!B38</f>
        <v>452.3775</v>
      </c>
      <c r="D10" s="112">
        <f t="shared" ref="D10:D16" si="0">ROUND(C10/$C$17*100,1)</f>
        <v>0.5</v>
      </c>
      <c r="E10" s="110"/>
    </row>
    <row r="11" spans="2:7">
      <c r="B11" s="111" t="s">
        <v>71</v>
      </c>
      <c r="C11" s="133">
        <f>Dat_01!B39</f>
        <v>123.0415</v>
      </c>
      <c r="D11" s="112">
        <f t="shared" si="0"/>
        <v>0.1</v>
      </c>
      <c r="E11" s="110"/>
    </row>
    <row r="12" spans="2:7">
      <c r="B12" s="111" t="s">
        <v>5</v>
      </c>
      <c r="C12" s="133">
        <f>Dat_01!B40</f>
        <v>23180.126</v>
      </c>
      <c r="D12" s="112">
        <f t="shared" si="0"/>
        <v>23.5</v>
      </c>
      <c r="E12" s="110"/>
    </row>
    <row r="13" spans="2:7">
      <c r="B13" s="111" t="s">
        <v>2</v>
      </c>
      <c r="C13" s="133">
        <f>Dat_01!B41</f>
        <v>17046.821230000001</v>
      </c>
      <c r="D13" s="112">
        <f t="shared" si="0"/>
        <v>17.3</v>
      </c>
      <c r="E13" s="110"/>
    </row>
    <row r="14" spans="2:7">
      <c r="B14" s="111" t="s">
        <v>6</v>
      </c>
      <c r="C14" s="133">
        <f>Dat_01!B42</f>
        <v>4620.3505250001272</v>
      </c>
      <c r="D14" s="112">
        <f t="shared" si="0"/>
        <v>4.7</v>
      </c>
      <c r="E14" s="110"/>
    </row>
    <row r="15" spans="2:7">
      <c r="B15" s="111" t="s">
        <v>7</v>
      </c>
      <c r="C15" s="133">
        <f>Dat_01!B43</f>
        <v>2304.1129999999998</v>
      </c>
      <c r="D15" s="112">
        <f t="shared" si="0"/>
        <v>2.2999999999999998</v>
      </c>
      <c r="E15" s="110"/>
    </row>
    <row r="16" spans="2:7">
      <c r="B16" s="111" t="s">
        <v>8</v>
      </c>
      <c r="C16" s="133">
        <f>Dat_01!B44</f>
        <v>869.90099999999995</v>
      </c>
      <c r="D16" s="112">
        <f t="shared" si="0"/>
        <v>0.9</v>
      </c>
      <c r="E16" s="110"/>
    </row>
    <row r="17" spans="2:7">
      <c r="B17" s="113" t="s">
        <v>15</v>
      </c>
      <c r="C17" s="134">
        <f>SUM(C5:C16)</f>
        <v>98514.583655000126</v>
      </c>
      <c r="D17" s="114">
        <f>SUM(D5:D16)</f>
        <v>100</v>
      </c>
      <c r="E17" s="110"/>
    </row>
    <row r="18" spans="2:7">
      <c r="B18" s="176"/>
      <c r="C18" s="176"/>
      <c r="D18" s="176"/>
      <c r="E18" s="176"/>
    </row>
    <row r="19" spans="2:7">
      <c r="B19" s="108" t="s">
        <v>59</v>
      </c>
      <c r="C19" s="176"/>
      <c r="D19" s="176"/>
      <c r="E19" s="176"/>
    </row>
    <row r="20" spans="2:7">
      <c r="B20" s="109"/>
      <c r="C20" s="92" t="s">
        <v>0</v>
      </c>
      <c r="D20" s="92" t="s">
        <v>14</v>
      </c>
      <c r="E20" s="110"/>
      <c r="F20" s="109"/>
      <c r="G20" s="92" t="s">
        <v>14</v>
      </c>
    </row>
    <row r="21" spans="2:7">
      <c r="B21" s="137" t="s">
        <v>83</v>
      </c>
      <c r="C21" s="133">
        <f>Dat_01!B50</f>
        <v>127.53405822399999</v>
      </c>
      <c r="D21" s="112">
        <f>ROUND(C21/$C$33*100,1)</f>
        <v>0.7</v>
      </c>
      <c r="E21" s="110"/>
      <c r="F21" s="111" t="s">
        <v>16</v>
      </c>
      <c r="G21" s="112">
        <f>SUM(D21:D26)</f>
        <v>56.599999999999987</v>
      </c>
    </row>
    <row r="22" spans="2:7">
      <c r="B22" s="111" t="s">
        <v>3</v>
      </c>
      <c r="C22" s="133">
        <f>Dat_01!B51</f>
        <v>3976.917465</v>
      </c>
      <c r="D22" s="112">
        <f>ROUND(C22/$C$33*100,1)</f>
        <v>20.399999999999999</v>
      </c>
      <c r="E22" s="135"/>
      <c r="F22" s="225" t="s">
        <v>17</v>
      </c>
      <c r="G22" s="226">
        <f>SUM(D27:D32)</f>
        <v>43.4</v>
      </c>
    </row>
    <row r="23" spans="2:7">
      <c r="B23" s="111" t="s">
        <v>4</v>
      </c>
      <c r="C23" s="133">
        <f>Dat_01!B52</f>
        <v>343.03717999999998</v>
      </c>
      <c r="D23" s="112">
        <f>ROUND(C23/$C$33*100,1)</f>
        <v>1.8</v>
      </c>
      <c r="E23" s="135"/>
    </row>
    <row r="24" spans="2:7">
      <c r="B24" s="111" t="s">
        <v>11</v>
      </c>
      <c r="C24" s="133">
        <f>Dat_01!B53</f>
        <v>3896.510745</v>
      </c>
      <c r="D24" s="112">
        <f>ROUND(C24/$C$33*100,1)</f>
        <v>20</v>
      </c>
      <c r="E24" s="135"/>
    </row>
    <row r="25" spans="2:7">
      <c r="B25" s="111" t="s">
        <v>9</v>
      </c>
      <c r="C25" s="133">
        <f>Dat_01!B54</f>
        <v>2544.1971940000003</v>
      </c>
      <c r="D25" s="112">
        <f>100-SUM(D21:D24,D26:D32)</f>
        <v>12.899999999999991</v>
      </c>
      <c r="E25" s="135"/>
    </row>
    <row r="26" spans="2:7">
      <c r="B26" s="111" t="s">
        <v>72</v>
      </c>
      <c r="C26" s="133">
        <f>Dat_01!B55</f>
        <v>154.68218999999999</v>
      </c>
      <c r="D26" s="112">
        <f t="shared" ref="D26:D32" si="1">ROUND(C26/$C$33*100,1)</f>
        <v>0.8</v>
      </c>
      <c r="E26" s="135"/>
    </row>
    <row r="27" spans="2:7">
      <c r="B27" s="111" t="s">
        <v>71</v>
      </c>
      <c r="C27" s="133">
        <f>Dat_01!B56</f>
        <v>36.450610999999995</v>
      </c>
      <c r="D27" s="112">
        <f t="shared" si="1"/>
        <v>0.2</v>
      </c>
      <c r="E27" s="135"/>
    </row>
    <row r="28" spans="2:7">
      <c r="B28" s="111" t="s">
        <v>5</v>
      </c>
      <c r="C28" s="133">
        <f>Dat_01!B57</f>
        <v>4580.5968779999994</v>
      </c>
      <c r="D28" s="112">
        <f t="shared" si="1"/>
        <v>23.5</v>
      </c>
      <c r="E28" s="135"/>
    </row>
    <row r="29" spans="2:7">
      <c r="B29" s="111" t="s">
        <v>2</v>
      </c>
      <c r="C29" s="133">
        <f>Dat_01!B58</f>
        <v>1933.0273067759999</v>
      </c>
      <c r="D29" s="112">
        <f t="shared" si="1"/>
        <v>9.9</v>
      </c>
      <c r="E29" s="135"/>
    </row>
    <row r="30" spans="2:7">
      <c r="B30" s="111" t="s">
        <v>6</v>
      </c>
      <c r="C30" s="133">
        <f>Dat_01!B59</f>
        <v>889.528772</v>
      </c>
      <c r="D30" s="112">
        <f t="shared" si="1"/>
        <v>4.5999999999999996</v>
      </c>
      <c r="E30" s="135"/>
    </row>
    <row r="31" spans="2:7">
      <c r="B31" s="111" t="s">
        <v>7</v>
      </c>
      <c r="C31" s="133">
        <f>Dat_01!B60</f>
        <v>740.99772699999994</v>
      </c>
      <c r="D31" s="112">
        <f t="shared" si="1"/>
        <v>3.8</v>
      </c>
      <c r="E31" s="135"/>
    </row>
    <row r="32" spans="2:7">
      <c r="B32" s="111" t="s">
        <v>8</v>
      </c>
      <c r="C32" s="133">
        <f>Dat_01!B61</f>
        <v>282.06007699999998</v>
      </c>
      <c r="D32" s="112">
        <f t="shared" si="1"/>
        <v>1.4</v>
      </c>
      <c r="E32" s="135"/>
    </row>
    <row r="33" spans="2:6">
      <c r="B33" s="113" t="s">
        <v>15</v>
      </c>
      <c r="C33" s="134">
        <f>SUM(C21:C32)</f>
        <v>19505.540204000001</v>
      </c>
      <c r="D33" s="114">
        <f>SUM(D21:D32)</f>
        <v>99.999999999999986</v>
      </c>
    </row>
    <row r="34" spans="2:6">
      <c r="B34" s="157"/>
      <c r="C34" s="176"/>
      <c r="D34" s="176"/>
      <c r="E34" s="176"/>
      <c r="F34" s="176"/>
    </row>
    <row r="35" spans="2:6">
      <c r="B35" s="157" t="s">
        <v>555</v>
      </c>
      <c r="C35" s="176"/>
      <c r="D35" s="176"/>
      <c r="E35" s="176"/>
      <c r="F35" s="227" t="str">
        <f>CONCATENATE("Mes",CHAR(13),MID(B35,66,10))</f>
        <v>Mes_x000D_18/08/2018</v>
      </c>
    </row>
    <row r="36" spans="2:6">
      <c r="B36" s="109"/>
      <c r="C36" s="92" t="s">
        <v>14</v>
      </c>
      <c r="D36" s="110"/>
      <c r="E36" s="109"/>
      <c r="F36" s="92" t="s">
        <v>14</v>
      </c>
    </row>
    <row r="37" spans="2:6">
      <c r="B37" s="111" t="s">
        <v>83</v>
      </c>
      <c r="C37" s="112">
        <f>Dat_01!B94</f>
        <v>0.4</v>
      </c>
      <c r="D37" s="110"/>
      <c r="E37" s="111" t="s">
        <v>16</v>
      </c>
      <c r="F37" s="112">
        <f>SUM(C37:C42)</f>
        <v>42.2</v>
      </c>
    </row>
    <row r="38" spans="2:6">
      <c r="B38" s="111" t="s">
        <v>3</v>
      </c>
      <c r="C38" s="112">
        <f>Dat_01!B95</f>
        <v>20.7</v>
      </c>
      <c r="D38" s="110"/>
      <c r="E38" s="225" t="s">
        <v>17</v>
      </c>
      <c r="F38" s="226">
        <f>SUM(C43:C48)</f>
        <v>57.800000000000004</v>
      </c>
    </row>
    <row r="39" spans="2:6">
      <c r="B39" s="111" t="s">
        <v>4</v>
      </c>
      <c r="C39" s="112">
        <f>Dat_01!B96</f>
        <v>1</v>
      </c>
      <c r="D39" s="110"/>
    </row>
    <row r="40" spans="2:6">
      <c r="B40" s="111" t="s">
        <v>11</v>
      </c>
      <c r="C40" s="112">
        <f>Dat_01!B97</f>
        <v>8.1999999999999993</v>
      </c>
      <c r="D40" s="110"/>
    </row>
    <row r="41" spans="2:6">
      <c r="B41" s="111" t="s">
        <v>9</v>
      </c>
      <c r="C41" s="112">
        <f>Dat_01!B98</f>
        <v>11.200000000000003</v>
      </c>
      <c r="D41" s="110"/>
      <c r="E41" s="110"/>
      <c r="F41" s="110"/>
    </row>
    <row r="42" spans="2:6">
      <c r="B42" s="111" t="s">
        <v>72</v>
      </c>
      <c r="C42" s="112">
        <f>Dat_01!B99</f>
        <v>0.7</v>
      </c>
      <c r="D42" s="110"/>
      <c r="E42" s="110"/>
      <c r="F42" s="110"/>
    </row>
    <row r="43" spans="2:6">
      <c r="B43" s="111" t="s">
        <v>71</v>
      </c>
      <c r="C43" s="112">
        <f>Dat_01!B100</f>
        <v>0.2</v>
      </c>
      <c r="D43" s="110"/>
      <c r="E43" s="110"/>
      <c r="F43" s="110"/>
    </row>
    <row r="44" spans="2:6">
      <c r="B44" s="111" t="s">
        <v>5</v>
      </c>
      <c r="C44" s="112">
        <f>Dat_01!B101</f>
        <v>45</v>
      </c>
      <c r="D44" s="110"/>
      <c r="E44" s="110"/>
      <c r="F44" s="110"/>
    </row>
    <row r="45" spans="2:6">
      <c r="B45" s="111" t="s">
        <v>2</v>
      </c>
      <c r="C45" s="112">
        <f>Dat_01!B102</f>
        <v>7.9</v>
      </c>
      <c r="D45" s="110"/>
      <c r="E45" s="110"/>
      <c r="F45" s="110"/>
    </row>
    <row r="46" spans="2:6">
      <c r="B46" s="111" t="s">
        <v>6</v>
      </c>
      <c r="C46" s="112">
        <f>Dat_01!B103</f>
        <v>2.7</v>
      </c>
      <c r="D46" s="110"/>
      <c r="E46" s="110"/>
      <c r="F46" s="110"/>
    </row>
    <row r="47" spans="2:6">
      <c r="B47" s="111" t="s">
        <v>7</v>
      </c>
      <c r="C47" s="112">
        <f>Dat_01!B104</f>
        <v>0.8</v>
      </c>
      <c r="D47" s="110"/>
      <c r="E47" s="110"/>
      <c r="F47" s="110"/>
    </row>
    <row r="48" spans="2:6">
      <c r="B48" s="111" t="s">
        <v>8</v>
      </c>
      <c r="C48" s="112">
        <f>Dat_01!B105</f>
        <v>1.2</v>
      </c>
      <c r="D48" s="176"/>
      <c r="E48" s="176"/>
      <c r="F48" s="176"/>
    </row>
    <row r="49" spans="2:6">
      <c r="B49" s="113" t="s">
        <v>15</v>
      </c>
      <c r="C49" s="114">
        <f>SUM(C37:C48)</f>
        <v>100.00000000000001</v>
      </c>
      <c r="D49" s="176"/>
      <c r="E49" s="176"/>
      <c r="F49" s="176"/>
    </row>
    <row r="50" spans="2:6">
      <c r="B50" s="157"/>
      <c r="C50" s="176"/>
      <c r="D50" s="176"/>
      <c r="E50" s="176"/>
      <c r="F50" s="176"/>
    </row>
    <row r="51" spans="2:6">
      <c r="B51" s="157" t="s">
        <v>157</v>
      </c>
      <c r="C51" s="176"/>
      <c r="D51" s="176"/>
      <c r="E51" s="176"/>
      <c r="F51" s="227" t="str">
        <f>CONCATENATE("Histórico ",CHAR(13),MID(B51,65,11))</f>
        <v>Histórico _x000D_ 20/03/2018</v>
      </c>
    </row>
    <row r="52" spans="2:6">
      <c r="B52" s="109"/>
      <c r="C52" s="92" t="s">
        <v>14</v>
      </c>
      <c r="D52" s="110"/>
      <c r="E52" s="109"/>
      <c r="F52" s="92" t="s">
        <v>14</v>
      </c>
    </row>
    <row r="53" spans="2:6">
      <c r="B53" s="111" t="s">
        <v>83</v>
      </c>
      <c r="C53" s="112">
        <f>Dat_01!H94</f>
        <v>1.3</v>
      </c>
      <c r="D53" s="110"/>
      <c r="E53" s="111" t="s">
        <v>16</v>
      </c>
      <c r="F53" s="112">
        <f>SUM(C53:C58)</f>
        <v>37</v>
      </c>
    </row>
    <row r="54" spans="2:6">
      <c r="B54" s="111" t="s">
        <v>3</v>
      </c>
      <c r="C54" s="112">
        <f>Dat_01!H95</f>
        <v>17.100000000000001</v>
      </c>
      <c r="D54" s="110"/>
      <c r="E54" s="225" t="s">
        <v>17</v>
      </c>
      <c r="F54" s="226">
        <f>SUM(C59:C64)</f>
        <v>63</v>
      </c>
    </row>
    <row r="55" spans="2:6">
      <c r="B55" s="111" t="s">
        <v>4</v>
      </c>
      <c r="C55" s="112">
        <f>Dat_01!H96</f>
        <v>4.2</v>
      </c>
      <c r="D55" s="110"/>
    </row>
    <row r="56" spans="2:6">
      <c r="B56" s="111" t="s">
        <v>11</v>
      </c>
      <c r="C56" s="112">
        <f>Dat_01!H97</f>
        <v>4.2</v>
      </c>
      <c r="D56" s="110"/>
    </row>
    <row r="57" spans="2:6">
      <c r="B57" s="111" t="s">
        <v>9</v>
      </c>
      <c r="C57" s="112">
        <f>Dat_01!H98</f>
        <v>9.4000000000000057</v>
      </c>
      <c r="D57" s="110"/>
      <c r="E57" s="110"/>
      <c r="F57" s="110"/>
    </row>
    <row r="58" spans="2:6">
      <c r="B58" s="111" t="s">
        <v>72</v>
      </c>
      <c r="C58" s="112">
        <f>Dat_01!H99</f>
        <v>0.8</v>
      </c>
      <c r="D58" s="110"/>
      <c r="E58" s="110"/>
      <c r="F58" s="110"/>
    </row>
    <row r="59" spans="2:6">
      <c r="B59" s="111" t="s">
        <v>71</v>
      </c>
      <c r="C59" s="112">
        <f>Dat_01!H100</f>
        <v>0.2</v>
      </c>
      <c r="D59" s="110"/>
      <c r="E59" s="110"/>
      <c r="F59" s="110"/>
    </row>
    <row r="60" spans="2:6">
      <c r="B60" s="111" t="s">
        <v>5</v>
      </c>
      <c r="C60" s="112">
        <f>Dat_01!H101</f>
        <v>38.200000000000003</v>
      </c>
      <c r="D60" s="110"/>
      <c r="E60" s="110"/>
      <c r="F60" s="110"/>
    </row>
    <row r="61" spans="2:6">
      <c r="B61" s="111" t="s">
        <v>2</v>
      </c>
      <c r="C61" s="112">
        <f>Dat_01!H102</f>
        <v>20.100000000000001</v>
      </c>
      <c r="D61" s="110"/>
      <c r="E61" s="110"/>
      <c r="F61" s="110"/>
    </row>
    <row r="62" spans="2:6">
      <c r="B62" s="111" t="s">
        <v>6</v>
      </c>
      <c r="C62" s="112">
        <f>Dat_01!H103</f>
        <v>2.2999999999999998</v>
      </c>
      <c r="D62" s="110"/>
      <c r="E62" s="110"/>
      <c r="F62" s="110"/>
    </row>
    <row r="63" spans="2:6">
      <c r="B63" s="111" t="s">
        <v>7</v>
      </c>
      <c r="C63" s="112">
        <f>Dat_01!H104</f>
        <v>1.3</v>
      </c>
      <c r="D63" s="110"/>
      <c r="E63" s="110"/>
      <c r="F63" s="110"/>
    </row>
    <row r="64" spans="2:6">
      <c r="B64" s="111" t="s">
        <v>8</v>
      </c>
      <c r="C64" s="112">
        <f>Dat_01!H105</f>
        <v>0.9</v>
      </c>
    </row>
    <row r="65" spans="2:16">
      <c r="B65" s="113" t="s">
        <v>15</v>
      </c>
      <c r="C65" s="114">
        <f>SUM(C53:C64)</f>
        <v>100</v>
      </c>
    </row>
    <row r="66" spans="2:16">
      <c r="B66" s="157"/>
      <c r="C66" s="176"/>
    </row>
    <row r="67" spans="2:16">
      <c r="B67" s="157" t="s">
        <v>62</v>
      </c>
      <c r="C67" s="228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8"/>
      <c r="O67" s="228"/>
    </row>
    <row r="68" spans="2:16">
      <c r="B68" s="229"/>
      <c r="C68" s="230" t="str">
        <f>Dat_01!B140</f>
        <v>M</v>
      </c>
      <c r="D68" s="230" t="str">
        <f>Dat_01!C140</f>
        <v>J</v>
      </c>
      <c r="E68" s="230" t="str">
        <f>Dat_01!D140</f>
        <v>J</v>
      </c>
      <c r="F68" s="230" t="str">
        <f>Dat_01!E140</f>
        <v>A</v>
      </c>
      <c r="G68" s="230" t="str">
        <f>Dat_01!F140</f>
        <v>S</v>
      </c>
      <c r="H68" s="230" t="str">
        <f>Dat_01!G140</f>
        <v>O</v>
      </c>
      <c r="I68" s="230" t="str">
        <f>Dat_01!H140</f>
        <v>N</v>
      </c>
      <c r="J68" s="230" t="str">
        <f>Dat_01!I140</f>
        <v>D</v>
      </c>
      <c r="K68" s="230" t="str">
        <f>Dat_01!J140</f>
        <v>E</v>
      </c>
      <c r="L68" s="230" t="str">
        <f>Dat_01!K140</f>
        <v>F</v>
      </c>
      <c r="M68" s="230" t="str">
        <f>Dat_01!L140</f>
        <v>M</v>
      </c>
      <c r="N68" s="230" t="str">
        <f>Dat_01!M140</f>
        <v>A</v>
      </c>
      <c r="O68" s="230" t="str">
        <f>Dat_01!N140</f>
        <v>M</v>
      </c>
      <c r="P68" s="231"/>
    </row>
    <row r="69" spans="2:16">
      <c r="B69" s="232" t="s">
        <v>2</v>
      </c>
      <c r="C69" s="233">
        <f>Dat_01!B142</f>
        <v>3522.8601173239999</v>
      </c>
      <c r="D69" s="233">
        <f>Dat_01!C142</f>
        <v>3711.3022205840002</v>
      </c>
      <c r="E69" s="233">
        <f>Dat_01!D142</f>
        <v>3025.6357145860002</v>
      </c>
      <c r="F69" s="233">
        <f>Dat_01!E142</f>
        <v>2104.3621898920001</v>
      </c>
      <c r="G69" s="233">
        <f>Dat_01!F142</f>
        <v>1926.4552017619999</v>
      </c>
      <c r="H69" s="233">
        <f>Dat_01!G142</f>
        <v>1461.8891523279999</v>
      </c>
      <c r="I69" s="233">
        <f>Dat_01!H142</f>
        <v>2160.9439448140001</v>
      </c>
      <c r="J69" s="233">
        <f>Dat_01!I142</f>
        <v>2485.8744506439998</v>
      </c>
      <c r="K69" s="233">
        <f>Dat_01!J142</f>
        <v>2126.6339542559999</v>
      </c>
      <c r="L69" s="233">
        <f>Dat_01!K142</f>
        <v>2482.7010685720002</v>
      </c>
      <c r="M69" s="233">
        <f>Dat_01!L142</f>
        <v>2131.4241339519999</v>
      </c>
      <c r="N69" s="233">
        <f>Dat_01!M142</f>
        <v>1922.9600431880001</v>
      </c>
      <c r="O69" s="233">
        <f>Dat_01!N142</f>
        <v>1933.0273067759999</v>
      </c>
    </row>
    <row r="70" spans="2:16">
      <c r="B70" s="232" t="s">
        <v>83</v>
      </c>
      <c r="C70" s="233">
        <f>Dat_01!B143</f>
        <v>153.27436067599999</v>
      </c>
      <c r="D70" s="233">
        <f>Dat_01!C143</f>
        <v>58.722846416000003</v>
      </c>
      <c r="E70" s="233">
        <f>Dat_01!D143</f>
        <v>35.301049413999998</v>
      </c>
      <c r="F70" s="233">
        <f>Dat_01!E143</f>
        <v>60.003361108</v>
      </c>
      <c r="G70" s="233">
        <f>Dat_01!F143</f>
        <v>40.026753237999998</v>
      </c>
      <c r="H70" s="233">
        <f>Dat_01!G143</f>
        <v>215.001508672</v>
      </c>
      <c r="I70" s="233">
        <f>Dat_01!H143</f>
        <v>142.90349618600001</v>
      </c>
      <c r="J70" s="233">
        <f>Dat_01!I143</f>
        <v>134.66925335600001</v>
      </c>
      <c r="K70" s="233">
        <f>Dat_01!J143</f>
        <v>166.107001744</v>
      </c>
      <c r="L70" s="233">
        <f>Dat_01!K143</f>
        <v>188.79902042800001</v>
      </c>
      <c r="M70" s="233">
        <f>Dat_01!L143</f>
        <v>189.243035048</v>
      </c>
      <c r="N70" s="233">
        <f>Dat_01!M143</f>
        <v>130.29129281199999</v>
      </c>
      <c r="O70" s="233">
        <f>Dat_01!N143</f>
        <v>127.53405822400001</v>
      </c>
    </row>
    <row r="71" spans="2:16">
      <c r="B71" s="232" t="s">
        <v>3</v>
      </c>
      <c r="C71" s="233">
        <f>Dat_01!B144</f>
        <v>3728.6750010000001</v>
      </c>
      <c r="D71" s="233">
        <f>Dat_01!C144</f>
        <v>3591.591351</v>
      </c>
      <c r="E71" s="233">
        <f>Dat_01!D144</f>
        <v>4471.0236880000002</v>
      </c>
      <c r="F71" s="233">
        <f>Dat_01!E144</f>
        <v>5135.7248909999998</v>
      </c>
      <c r="G71" s="233">
        <f>Dat_01!F144</f>
        <v>5013.0349210000004</v>
      </c>
      <c r="H71" s="233">
        <f>Dat_01!G144</f>
        <v>5150.6718030000002</v>
      </c>
      <c r="I71" s="233">
        <f>Dat_01!H144</f>
        <v>3829.983448</v>
      </c>
      <c r="J71" s="233">
        <f>Dat_01!I144</f>
        <v>4286.7606750000004</v>
      </c>
      <c r="K71" s="233">
        <f>Dat_01!J144</f>
        <v>5041.3669819999996</v>
      </c>
      <c r="L71" s="233">
        <f>Dat_01!K144</f>
        <v>4766.7856579999998</v>
      </c>
      <c r="M71" s="233">
        <f>Dat_01!L144</f>
        <v>5274.7472820000003</v>
      </c>
      <c r="N71" s="233">
        <f>Dat_01!M144</f>
        <v>4621.6629220000004</v>
      </c>
      <c r="O71" s="233">
        <f>Dat_01!N144</f>
        <v>3976.917465</v>
      </c>
    </row>
    <row r="72" spans="2:16">
      <c r="B72" s="232" t="s">
        <v>4</v>
      </c>
      <c r="C72" s="233">
        <f>Dat_01!B145</f>
        <v>2254.3190730000001</v>
      </c>
      <c r="D72" s="233">
        <f>Dat_01!C145</f>
        <v>2273.6508990000002</v>
      </c>
      <c r="E72" s="233">
        <f>Dat_01!D145</f>
        <v>3487.5949369999998</v>
      </c>
      <c r="F72" s="233">
        <f>Dat_01!E145</f>
        <v>3495.8909399999998</v>
      </c>
      <c r="G72" s="233">
        <f>Dat_01!F145</f>
        <v>4104.8410020000001</v>
      </c>
      <c r="H72" s="233">
        <f>Dat_01!G145</f>
        <v>3364.8328780000002</v>
      </c>
      <c r="I72" s="233">
        <f>Dat_01!H145</f>
        <v>3875.2184769999999</v>
      </c>
      <c r="J72" s="233">
        <f>Dat_01!I145</f>
        <v>2845.2639509999999</v>
      </c>
      <c r="K72" s="233">
        <f>Dat_01!J145</f>
        <v>3075.0438380000001</v>
      </c>
      <c r="L72" s="233">
        <f>Dat_01!K145</f>
        <v>2246.8140950000002</v>
      </c>
      <c r="M72" s="233">
        <f>Dat_01!L145</f>
        <v>824.670028</v>
      </c>
      <c r="N72" s="233">
        <f>Dat_01!M145</f>
        <v>722.95364099999995</v>
      </c>
      <c r="O72" s="233">
        <f>Dat_01!N145</f>
        <v>343.03717999999998</v>
      </c>
    </row>
    <row r="73" spans="2:16">
      <c r="B73" s="232" t="s">
        <v>158</v>
      </c>
      <c r="C73" s="233"/>
      <c r="D73" s="233"/>
      <c r="E73" s="233"/>
      <c r="F73" s="233"/>
      <c r="G73" s="233"/>
      <c r="H73" s="233"/>
      <c r="I73" s="233"/>
      <c r="J73" s="233"/>
      <c r="K73" s="233"/>
      <c r="L73" s="233"/>
      <c r="M73" s="233"/>
      <c r="N73" s="233"/>
      <c r="O73" s="233"/>
    </row>
    <row r="74" spans="2:16">
      <c r="B74" s="232" t="s">
        <v>159</v>
      </c>
      <c r="C74" s="233">
        <f>Dat_01!B146</f>
        <v>1968.425332</v>
      </c>
      <c r="D74" s="233">
        <f>Dat_01!C146</f>
        <v>2180.126706</v>
      </c>
      <c r="E74" s="233">
        <f>Dat_01!D146</f>
        <v>2229.279387</v>
      </c>
      <c r="F74" s="233">
        <f>Dat_01!E146</f>
        <v>2663.0061409999998</v>
      </c>
      <c r="G74" s="233">
        <f>Dat_01!F146</f>
        <v>2148.659568</v>
      </c>
      <c r="H74" s="233">
        <f>Dat_01!G146</f>
        <v>2501.819391</v>
      </c>
      <c r="I74" s="233">
        <f>Dat_01!H146</f>
        <v>3160.857532</v>
      </c>
      <c r="J74" s="233">
        <f>Dat_01!I146</f>
        <v>2896.6909179999998</v>
      </c>
      <c r="K74" s="233">
        <f>Dat_01!J146</f>
        <v>3198.741031</v>
      </c>
      <c r="L74" s="233">
        <f>Dat_01!K146</f>
        <v>2453.2148360000001</v>
      </c>
      <c r="M74" s="233">
        <f>Dat_01!L146</f>
        <v>2129.3124120000002</v>
      </c>
      <c r="N74" s="233">
        <f>Dat_01!M146</f>
        <v>2714.2451850000002</v>
      </c>
      <c r="O74" s="233">
        <f>Dat_01!N146</f>
        <v>3896.510745</v>
      </c>
    </row>
    <row r="75" spans="2:16">
      <c r="B75" s="232" t="s">
        <v>5</v>
      </c>
      <c r="C75" s="233">
        <f>Dat_01!B147</f>
        <v>3264.1514889999999</v>
      </c>
      <c r="D75" s="233">
        <f>Dat_01!C147</f>
        <v>2574.1710560000001</v>
      </c>
      <c r="E75" s="233">
        <f>Dat_01!D147</f>
        <v>2478.6215710000001</v>
      </c>
      <c r="F75" s="233">
        <f>Dat_01!E147</f>
        <v>3066.01685</v>
      </c>
      <c r="G75" s="233">
        <f>Dat_01!F147</f>
        <v>2404.0393210000002</v>
      </c>
      <c r="H75" s="233">
        <f>Dat_01!G147</f>
        <v>4297.171472</v>
      </c>
      <c r="I75" s="233">
        <f>Dat_01!H147</f>
        <v>4525.9497069999998</v>
      </c>
      <c r="J75" s="233">
        <f>Dat_01!I147</f>
        <v>4319.0411860000004</v>
      </c>
      <c r="K75" s="233">
        <f>Dat_01!J147</f>
        <v>5970.6598999999997</v>
      </c>
      <c r="L75" s="233">
        <f>Dat_01!K147</f>
        <v>3646.4345840000001</v>
      </c>
      <c r="M75" s="233">
        <f>Dat_01!L147</f>
        <v>4823.4316840000001</v>
      </c>
      <c r="N75" s="233">
        <f>Dat_01!M147</f>
        <v>4594.9791249999998</v>
      </c>
      <c r="O75" s="233">
        <f>Dat_01!N147</f>
        <v>4580.5968780000003</v>
      </c>
    </row>
    <row r="76" spans="2:16">
      <c r="B76" s="232" t="s">
        <v>160</v>
      </c>
      <c r="C76" s="233">
        <f>Dat_01!B148</f>
        <v>778.63753499999996</v>
      </c>
      <c r="D76" s="233">
        <f>Dat_01!C148</f>
        <v>780.73612100000003</v>
      </c>
      <c r="E76" s="233">
        <f>Dat_01!D148</f>
        <v>892.04790600000001</v>
      </c>
      <c r="F76" s="233">
        <f>Dat_01!E148</f>
        <v>807.36622299999999</v>
      </c>
      <c r="G76" s="233">
        <f>Dat_01!F148</f>
        <v>686.52648799999997</v>
      </c>
      <c r="H76" s="233">
        <f>Dat_01!G148</f>
        <v>543.23595699999998</v>
      </c>
      <c r="I76" s="233">
        <f>Dat_01!H148</f>
        <v>353.619077</v>
      </c>
      <c r="J76" s="233">
        <f>Dat_01!I148</f>
        <v>404.07867700000003</v>
      </c>
      <c r="K76" s="233">
        <f>Dat_01!J148</f>
        <v>480.728812</v>
      </c>
      <c r="L76" s="233">
        <f>Dat_01!K148</f>
        <v>601.892966</v>
      </c>
      <c r="M76" s="233">
        <f>Dat_01!L148</f>
        <v>768.80490399999996</v>
      </c>
      <c r="N76" s="233">
        <f>Dat_01!M148</f>
        <v>661.66676800000005</v>
      </c>
      <c r="O76" s="233">
        <f>Dat_01!N148</f>
        <v>889.528772</v>
      </c>
    </row>
    <row r="77" spans="2:16">
      <c r="B77" s="232" t="s">
        <v>161</v>
      </c>
      <c r="C77" s="233">
        <f>Dat_01!B149</f>
        <v>477.20963399999999</v>
      </c>
      <c r="D77" s="233">
        <f>Dat_01!C149</f>
        <v>551.29260299999999</v>
      </c>
      <c r="E77" s="233">
        <f>Dat_01!D149</f>
        <v>858.89832999999999</v>
      </c>
      <c r="F77" s="233">
        <f>Dat_01!E149</f>
        <v>688.557997</v>
      </c>
      <c r="G77" s="233">
        <f>Dat_01!F149</f>
        <v>465.63698499999998</v>
      </c>
      <c r="H77" s="233">
        <f>Dat_01!G149</f>
        <v>292.49343099999999</v>
      </c>
      <c r="I77" s="233">
        <f>Dat_01!H149</f>
        <v>78.576116999999996</v>
      </c>
      <c r="J77" s="233">
        <f>Dat_01!I149</f>
        <v>109.57487399999999</v>
      </c>
      <c r="K77" s="233">
        <f>Dat_01!J149</f>
        <v>166.15012899999999</v>
      </c>
      <c r="L77" s="233">
        <f>Dat_01!K149</f>
        <v>261.97860300000002</v>
      </c>
      <c r="M77" s="233">
        <f>Dat_01!L149</f>
        <v>477.92322799999999</v>
      </c>
      <c r="N77" s="233">
        <f>Dat_01!M149</f>
        <v>379.26881700000001</v>
      </c>
      <c r="O77" s="233">
        <f>Dat_01!N149</f>
        <v>740.99772700000005</v>
      </c>
    </row>
    <row r="78" spans="2:16">
      <c r="B78" s="232" t="s">
        <v>9</v>
      </c>
      <c r="C78" s="233">
        <f>Dat_01!B151</f>
        <v>2418.3057220000001</v>
      </c>
      <c r="D78" s="233">
        <f>Dat_01!C151</f>
        <v>2408.224995</v>
      </c>
      <c r="E78" s="233">
        <f>Dat_01!D151</f>
        <v>2441.3647839999999</v>
      </c>
      <c r="F78" s="233">
        <f>Dat_01!E151</f>
        <v>2361.2932569999998</v>
      </c>
      <c r="G78" s="233">
        <f>Dat_01!F151</f>
        <v>2408.1177870000001</v>
      </c>
      <c r="H78" s="233">
        <f>Dat_01!G151</f>
        <v>2520.0123990000002</v>
      </c>
      <c r="I78" s="233">
        <f>Dat_01!H151</f>
        <v>2472.1034989999998</v>
      </c>
      <c r="J78" s="233">
        <f>Dat_01!I151</f>
        <v>2529.9647150000001</v>
      </c>
      <c r="K78" s="233">
        <f>Dat_01!J151</f>
        <v>2656.3842519999998</v>
      </c>
      <c r="L78" s="233">
        <f>Dat_01!K151</f>
        <v>2391.1858710000001</v>
      </c>
      <c r="M78" s="233">
        <f>Dat_01!L151</f>
        <v>2588.9622680000002</v>
      </c>
      <c r="N78" s="233">
        <f>Dat_01!M151</f>
        <v>2488.363464</v>
      </c>
      <c r="O78" s="233">
        <f>Dat_01!N151</f>
        <v>2544.1971939999999</v>
      </c>
    </row>
    <row r="79" spans="2:16">
      <c r="B79" s="232" t="s">
        <v>162</v>
      </c>
      <c r="C79" s="233">
        <f>Dat_01!B152</f>
        <v>137.027331</v>
      </c>
      <c r="D79" s="233">
        <f>Dat_01!C152</f>
        <v>175.41279499999999</v>
      </c>
      <c r="E79" s="233">
        <f>Dat_01!D152</f>
        <v>199.57543200000001</v>
      </c>
      <c r="F79" s="233">
        <f>Dat_01!E152</f>
        <v>194.65527349999999</v>
      </c>
      <c r="G79" s="233">
        <f>Dat_01!F152</f>
        <v>189.02059499999999</v>
      </c>
      <c r="H79" s="233">
        <f>Dat_01!G152</f>
        <v>201.64167599999999</v>
      </c>
      <c r="I79" s="233">
        <f>Dat_01!H152</f>
        <v>191.94905</v>
      </c>
      <c r="J79" s="233">
        <f>Dat_01!I152</f>
        <v>190.76081500000001</v>
      </c>
      <c r="K79" s="233">
        <f>Dat_01!J152</f>
        <v>196.595054</v>
      </c>
      <c r="L79" s="233">
        <f>Dat_01!K152</f>
        <v>180.749244</v>
      </c>
      <c r="M79" s="233">
        <f>Dat_01!L152</f>
        <v>200.77886749999999</v>
      </c>
      <c r="N79" s="233">
        <f>Dat_01!M152</f>
        <v>175.342614</v>
      </c>
      <c r="O79" s="233">
        <f>Dat_01!N152</f>
        <v>154.68218999999999</v>
      </c>
    </row>
    <row r="80" spans="2:16">
      <c r="B80" s="232" t="s">
        <v>163</v>
      </c>
      <c r="C80" s="233">
        <f>Dat_01!B153</f>
        <v>24.344857999999999</v>
      </c>
      <c r="D80" s="233">
        <f>Dat_01!C153</f>
        <v>50.806421</v>
      </c>
      <c r="E80" s="233">
        <f>Dat_01!D153</f>
        <v>64.813796999999994</v>
      </c>
      <c r="F80" s="233">
        <f>Dat_01!E153</f>
        <v>65.755174499999995</v>
      </c>
      <c r="G80" s="233">
        <f>Dat_01!F153</f>
        <v>64.739834999999999</v>
      </c>
      <c r="H80" s="233">
        <f>Dat_01!G153</f>
        <v>66.706254000000001</v>
      </c>
      <c r="I80" s="233">
        <f>Dat_01!H153</f>
        <v>61.593868999999998</v>
      </c>
      <c r="J80" s="233">
        <f>Dat_01!I153</f>
        <v>69.912847999999997</v>
      </c>
      <c r="K80" s="233">
        <f>Dat_01!J153</f>
        <v>63.503646000000003</v>
      </c>
      <c r="L80" s="233">
        <f>Dat_01!K153</f>
        <v>61.891773000000001</v>
      </c>
      <c r="M80" s="233">
        <f>Dat_01!L153</f>
        <v>67.359962499999995</v>
      </c>
      <c r="N80" s="233">
        <f>Dat_01!M153</f>
        <v>64.179035999999996</v>
      </c>
      <c r="O80" s="233">
        <f>Dat_01!N153</f>
        <v>36.450611000000002</v>
      </c>
    </row>
    <row r="81" spans="2:15">
      <c r="B81" s="232" t="s">
        <v>164</v>
      </c>
      <c r="C81" s="233">
        <f>Dat_01!B150</f>
        <v>290.86737199999999</v>
      </c>
      <c r="D81" s="233">
        <f>Dat_01!C150</f>
        <v>304.03843599999999</v>
      </c>
      <c r="E81" s="233">
        <f>Dat_01!D150</f>
        <v>323.38476400000002</v>
      </c>
      <c r="F81" s="233">
        <f>Dat_01!E150</f>
        <v>316.43947400000002</v>
      </c>
      <c r="G81" s="233">
        <f>Dat_01!F150</f>
        <v>319.40942899999999</v>
      </c>
      <c r="H81" s="233">
        <f>Dat_01!G150</f>
        <v>296.78028399999999</v>
      </c>
      <c r="I81" s="233">
        <f>Dat_01!H150</f>
        <v>292.56805100000003</v>
      </c>
      <c r="J81" s="233">
        <f>Dat_01!I150</f>
        <v>299.14763599999998</v>
      </c>
      <c r="K81" s="233">
        <f>Dat_01!J150</f>
        <v>303.393978</v>
      </c>
      <c r="L81" s="233">
        <f>Dat_01!K150</f>
        <v>284.70844699999998</v>
      </c>
      <c r="M81" s="233">
        <f>Dat_01!L150</f>
        <v>309.30230799999998</v>
      </c>
      <c r="N81" s="233">
        <f>Dat_01!M150</f>
        <v>273.97149899999999</v>
      </c>
      <c r="O81" s="233">
        <f>Dat_01!N150</f>
        <v>282.06007699999998</v>
      </c>
    </row>
    <row r="82" spans="2:15">
      <c r="B82" s="232" t="s">
        <v>165</v>
      </c>
      <c r="C82" s="233">
        <f>Dat_01!B154</f>
        <v>19018.097825000004</v>
      </c>
      <c r="D82" s="233">
        <f>Dat_01!C154</f>
        <v>18660.07645</v>
      </c>
      <c r="E82" s="233">
        <f>Dat_01!D154</f>
        <v>20507.541360000003</v>
      </c>
      <c r="F82" s="233">
        <f>Dat_01!E154</f>
        <v>20959.071771999999</v>
      </c>
      <c r="G82" s="233">
        <f>Dat_01!F154</f>
        <v>19770.507886000003</v>
      </c>
      <c r="H82" s="233">
        <f>Dat_01!G154</f>
        <v>20912.256206000002</v>
      </c>
      <c r="I82" s="233">
        <f>Dat_01!H154</f>
        <v>21146.266267999999</v>
      </c>
      <c r="J82" s="233">
        <f>Dat_01!I154</f>
        <v>20571.739999000005</v>
      </c>
      <c r="K82" s="233">
        <f>Dat_01!J154</f>
        <v>23445.308578000004</v>
      </c>
      <c r="L82" s="233">
        <f>Dat_01!K154</f>
        <v>19567.156166000001</v>
      </c>
      <c r="M82" s="233">
        <f>Dat_01!L154</f>
        <v>19785.960112999997</v>
      </c>
      <c r="N82" s="233">
        <f>Dat_01!M154</f>
        <v>18749.884407000005</v>
      </c>
      <c r="O82" s="233">
        <f>Dat_01!N154</f>
        <v>19505.540204000001</v>
      </c>
    </row>
    <row r="83" spans="2:15">
      <c r="B83" s="232" t="s">
        <v>166</v>
      </c>
      <c r="C83" s="233"/>
      <c r="D83" s="233"/>
      <c r="E83" s="233"/>
      <c r="F83" s="233"/>
      <c r="G83" s="233"/>
      <c r="H83" s="233"/>
      <c r="I83" s="233"/>
      <c r="J83" s="233"/>
      <c r="K83" s="233"/>
      <c r="L83" s="233"/>
      <c r="M83" s="233"/>
      <c r="N83" s="233"/>
      <c r="O83" s="233"/>
    </row>
    <row r="84" spans="2:15">
      <c r="B84" s="232" t="s">
        <v>167</v>
      </c>
      <c r="C84" s="233"/>
      <c r="D84" s="233"/>
      <c r="E84" s="233"/>
      <c r="F84" s="233"/>
      <c r="G84" s="233"/>
      <c r="H84" s="233"/>
      <c r="I84" s="233"/>
      <c r="J84" s="233"/>
      <c r="K84" s="233"/>
      <c r="L84" s="233"/>
      <c r="M84" s="233"/>
      <c r="N84" s="233"/>
      <c r="O84" s="233"/>
    </row>
    <row r="85" spans="2:15">
      <c r="B85" s="232" t="s">
        <v>168</v>
      </c>
      <c r="C85" s="233"/>
      <c r="D85" s="233"/>
      <c r="E85" s="233"/>
      <c r="F85" s="233"/>
      <c r="G85" s="233"/>
      <c r="H85" s="233"/>
      <c r="I85" s="233"/>
      <c r="J85" s="233"/>
      <c r="K85" s="233"/>
      <c r="L85" s="233"/>
      <c r="M85" s="233"/>
      <c r="N85" s="233"/>
      <c r="O85" s="233"/>
    </row>
    <row r="86" spans="2:15">
      <c r="B86" s="234" t="s">
        <v>169</v>
      </c>
      <c r="C86" s="235"/>
      <c r="D86" s="235"/>
      <c r="E86" s="235"/>
      <c r="F86" s="235"/>
      <c r="G86" s="235"/>
      <c r="H86" s="235"/>
      <c r="I86" s="235"/>
      <c r="J86" s="235"/>
      <c r="K86" s="235"/>
      <c r="L86" s="235"/>
      <c r="M86" s="235"/>
      <c r="N86" s="235"/>
      <c r="O86" s="235"/>
    </row>
    <row r="88" spans="2:15">
      <c r="B88" s="236" t="s">
        <v>17</v>
      </c>
      <c r="C88" s="237">
        <f t="shared" ref="C88:O88" si="2">SUM(C69,C75:C77,C80:C81)</f>
        <v>8358.071005324</v>
      </c>
      <c r="D88" s="237">
        <f t="shared" si="2"/>
        <v>7972.3468575839997</v>
      </c>
      <c r="E88" s="237">
        <f t="shared" si="2"/>
        <v>7643.4020825859998</v>
      </c>
      <c r="F88" s="237">
        <f t="shared" si="2"/>
        <v>7048.4979083919998</v>
      </c>
      <c r="G88" s="237">
        <f t="shared" si="2"/>
        <v>5866.8072597620012</v>
      </c>
      <c r="H88" s="237">
        <f t="shared" si="2"/>
        <v>6958.2765503279998</v>
      </c>
      <c r="I88" s="237">
        <f t="shared" si="2"/>
        <v>7473.2507658140003</v>
      </c>
      <c r="J88" s="237">
        <f t="shared" si="2"/>
        <v>7687.6296716440002</v>
      </c>
      <c r="K88" s="237">
        <f t="shared" si="2"/>
        <v>9111.0704192559988</v>
      </c>
      <c r="L88" s="237">
        <f t="shared" si="2"/>
        <v>7339.6074415720013</v>
      </c>
      <c r="M88" s="237">
        <f t="shared" si="2"/>
        <v>8578.2462204520016</v>
      </c>
      <c r="N88" s="237">
        <f t="shared" si="2"/>
        <v>7897.0252881879996</v>
      </c>
      <c r="O88" s="237">
        <f t="shared" si="2"/>
        <v>8462.6613717759992</v>
      </c>
    </row>
    <row r="89" spans="2:15">
      <c r="B89" s="234" t="s">
        <v>16</v>
      </c>
      <c r="C89" s="235">
        <f t="shared" ref="C89:O89" si="3">SUM(C70:C74,C78:C79)</f>
        <v>10660.026819675999</v>
      </c>
      <c r="D89" s="235">
        <f t="shared" si="3"/>
        <v>10687.729592416001</v>
      </c>
      <c r="E89" s="235">
        <f t="shared" si="3"/>
        <v>12864.139277413999</v>
      </c>
      <c r="F89" s="235">
        <f t="shared" si="3"/>
        <v>13910.573863607999</v>
      </c>
      <c r="G89" s="235">
        <f t="shared" si="3"/>
        <v>13903.700626238</v>
      </c>
      <c r="H89" s="235">
        <f t="shared" si="3"/>
        <v>13953.979655671999</v>
      </c>
      <c r="I89" s="235">
        <f t="shared" si="3"/>
        <v>13673.015502186001</v>
      </c>
      <c r="J89" s="235">
        <f t="shared" si="3"/>
        <v>12884.110327356</v>
      </c>
      <c r="K89" s="235">
        <f t="shared" si="3"/>
        <v>14334.238158743998</v>
      </c>
      <c r="L89" s="235">
        <f t="shared" si="3"/>
        <v>12227.548724428001</v>
      </c>
      <c r="M89" s="235">
        <f t="shared" si="3"/>
        <v>11207.713892547998</v>
      </c>
      <c r="N89" s="235">
        <f t="shared" si="3"/>
        <v>10852.859118812001</v>
      </c>
      <c r="O89" s="235">
        <f t="shared" si="3"/>
        <v>11042.878832224</v>
      </c>
    </row>
    <row r="91" spans="2:15">
      <c r="B91" s="236" t="s">
        <v>17</v>
      </c>
      <c r="C91" s="238">
        <f>SUM(ROUND(C69/SUM(C88:C89)*100,1),ROUND(C75/SUM(C88:C89)*100,1),ROUND(C76/SUM(C88:C89)*100,1),ROUND(C77/SUM(C88:C89)*100,1),ROUND(C80/SUM(C88:C89)*100,1),ROUND(C81/SUM(C88:C89)*100,1))</f>
        <v>43.900000000000006</v>
      </c>
      <c r="D91" s="238">
        <f t="shared" ref="D91:N91" si="4">SUM(ROUND(D69/SUM(D88:D89)*100,1),ROUND(D75/SUM(D88:D89)*100,1),ROUND(D76/SUM(D88:D89)*100,1),ROUND(D77/SUM(D88:D89)*100,1),ROUND(D80/SUM(D88:D89)*100,1),ROUND(D81/SUM(D88:D89)*100,1))</f>
        <v>42.800000000000004</v>
      </c>
      <c r="E91" s="238">
        <f t="shared" si="4"/>
        <v>37.299999999999997</v>
      </c>
      <c r="F91" s="238">
        <f t="shared" si="4"/>
        <v>33.6</v>
      </c>
      <c r="G91" s="238">
        <f t="shared" si="4"/>
        <v>29.7</v>
      </c>
      <c r="H91" s="238">
        <f t="shared" si="4"/>
        <v>33.200000000000003</v>
      </c>
      <c r="I91" s="238">
        <f t="shared" si="4"/>
        <v>35.399999999999991</v>
      </c>
      <c r="J91" s="238">
        <f t="shared" si="4"/>
        <v>37.4</v>
      </c>
      <c r="K91" s="238">
        <f t="shared" si="4"/>
        <v>39</v>
      </c>
      <c r="L91" s="238">
        <f t="shared" si="4"/>
        <v>37.499999999999993</v>
      </c>
      <c r="M91" s="238">
        <f t="shared" si="4"/>
        <v>43.4</v>
      </c>
      <c r="N91" s="238">
        <f t="shared" si="4"/>
        <v>42.099999999999994</v>
      </c>
      <c r="O91" s="238">
        <f>SUM(ROUND(O69/SUM(O88:O89)*100,1),ROUND(O75/SUM(O88:O89)*100,1),ROUND(O76/SUM(O88:O89)*100,1),ROUND(O77/SUM(O88:O89)*100,1),ROUND(O80/SUM(O88:O89)*100,1),ROUND(O81/SUM(O88:O89)*100,1))</f>
        <v>43.4</v>
      </c>
    </row>
    <row r="92" spans="2:15">
      <c r="B92" s="234" t="s">
        <v>16</v>
      </c>
      <c r="C92" s="239">
        <f t="shared" ref="C92:O92" si="5">100-C91</f>
        <v>56.099999999999994</v>
      </c>
      <c r="D92" s="239">
        <f t="shared" si="5"/>
        <v>57.199999999999996</v>
      </c>
      <c r="E92" s="239">
        <f t="shared" si="5"/>
        <v>62.7</v>
      </c>
      <c r="F92" s="239">
        <f t="shared" si="5"/>
        <v>66.400000000000006</v>
      </c>
      <c r="G92" s="239">
        <f t="shared" si="5"/>
        <v>70.3</v>
      </c>
      <c r="H92" s="239">
        <f t="shared" si="5"/>
        <v>66.8</v>
      </c>
      <c r="I92" s="239">
        <f t="shared" si="5"/>
        <v>64.600000000000009</v>
      </c>
      <c r="J92" s="239">
        <f t="shared" si="5"/>
        <v>62.6</v>
      </c>
      <c r="K92" s="239">
        <f t="shared" si="5"/>
        <v>61</v>
      </c>
      <c r="L92" s="239">
        <f t="shared" si="5"/>
        <v>62.500000000000007</v>
      </c>
      <c r="M92" s="239">
        <f t="shared" si="5"/>
        <v>56.6</v>
      </c>
      <c r="N92" s="239">
        <f t="shared" si="5"/>
        <v>57.900000000000006</v>
      </c>
      <c r="O92" s="239">
        <f t="shared" si="5"/>
        <v>56.6</v>
      </c>
    </row>
    <row r="94" spans="2:15">
      <c r="B94" s="177" t="s">
        <v>92</v>
      </c>
    </row>
    <row r="95" spans="2:15">
      <c r="B95" s="177" t="s">
        <v>93</v>
      </c>
    </row>
    <row r="97" spans="2:16">
      <c r="B97" s="157" t="s">
        <v>170</v>
      </c>
      <c r="C97" s="231"/>
      <c r="D97" s="231"/>
      <c r="E97" s="231"/>
      <c r="F97" s="231"/>
      <c r="G97" s="231"/>
      <c r="H97" s="231"/>
      <c r="I97" s="231"/>
      <c r="J97" s="231"/>
      <c r="K97" s="231"/>
      <c r="L97" s="231"/>
      <c r="M97" s="231"/>
      <c r="N97" s="231"/>
      <c r="O97" s="231"/>
      <c r="P97" s="231"/>
    </row>
    <row r="98" spans="2:16">
      <c r="B98" s="229"/>
      <c r="C98" s="230" t="str">
        <f>Dat_01!B140</f>
        <v>M</v>
      </c>
      <c r="D98" s="230" t="str">
        <f>Dat_01!C140</f>
        <v>J</v>
      </c>
      <c r="E98" s="230" t="str">
        <f>Dat_01!D140</f>
        <v>J</v>
      </c>
      <c r="F98" s="230" t="str">
        <f>Dat_01!E140</f>
        <v>A</v>
      </c>
      <c r="G98" s="230" t="str">
        <f>Dat_01!F140</f>
        <v>S</v>
      </c>
      <c r="H98" s="230" t="str">
        <f>Dat_01!G140</f>
        <v>O</v>
      </c>
      <c r="I98" s="230" t="str">
        <f>Dat_01!H140</f>
        <v>N</v>
      </c>
      <c r="J98" s="230" t="str">
        <f>Dat_01!I140</f>
        <v>D</v>
      </c>
      <c r="K98" s="230" t="str">
        <f>Dat_01!J140</f>
        <v>E</v>
      </c>
      <c r="L98" s="230" t="str">
        <f>Dat_01!K140</f>
        <v>F</v>
      </c>
      <c r="M98" s="230" t="str">
        <f>Dat_01!L140</f>
        <v>M</v>
      </c>
      <c r="N98" s="230" t="str">
        <f>Dat_01!M140</f>
        <v>A</v>
      </c>
      <c r="O98" s="230" t="str">
        <f>Dat_01!N140</f>
        <v>M</v>
      </c>
      <c r="P98" s="231"/>
    </row>
    <row r="99" spans="2:16">
      <c r="B99" s="232" t="s">
        <v>2</v>
      </c>
      <c r="C99" s="233">
        <f>C69</f>
        <v>3522.8601173239999</v>
      </c>
      <c r="D99" s="233">
        <f t="shared" ref="D99:O99" si="6">D69</f>
        <v>3711.3022205840002</v>
      </c>
      <c r="E99" s="233">
        <f t="shared" si="6"/>
        <v>3025.6357145860002</v>
      </c>
      <c r="F99" s="233">
        <f t="shared" si="6"/>
        <v>2104.3621898920001</v>
      </c>
      <c r="G99" s="233">
        <f t="shared" si="6"/>
        <v>1926.4552017619999</v>
      </c>
      <c r="H99" s="233">
        <f t="shared" si="6"/>
        <v>1461.8891523279999</v>
      </c>
      <c r="I99" s="233">
        <f t="shared" si="6"/>
        <v>2160.9439448140001</v>
      </c>
      <c r="J99" s="233">
        <f t="shared" si="6"/>
        <v>2485.8744506439998</v>
      </c>
      <c r="K99" s="233">
        <f t="shared" si="6"/>
        <v>2126.6339542559999</v>
      </c>
      <c r="L99" s="233">
        <f t="shared" si="6"/>
        <v>2482.7010685720002</v>
      </c>
      <c r="M99" s="233">
        <f t="shared" si="6"/>
        <v>2131.4241339519999</v>
      </c>
      <c r="N99" s="233">
        <f t="shared" si="6"/>
        <v>1922.9600431880001</v>
      </c>
      <c r="O99" s="233">
        <f t="shared" si="6"/>
        <v>1933.0273067759999</v>
      </c>
    </row>
    <row r="100" spans="2:16">
      <c r="B100" s="232" t="s">
        <v>83</v>
      </c>
      <c r="C100" s="233">
        <f t="shared" ref="C100:O112" si="7">C70</f>
        <v>153.27436067599999</v>
      </c>
      <c r="D100" s="233">
        <f t="shared" si="7"/>
        <v>58.722846416000003</v>
      </c>
      <c r="E100" s="233">
        <f t="shared" si="7"/>
        <v>35.301049413999998</v>
      </c>
      <c r="F100" s="233">
        <f t="shared" si="7"/>
        <v>60.003361108</v>
      </c>
      <c r="G100" s="233">
        <f t="shared" si="7"/>
        <v>40.026753237999998</v>
      </c>
      <c r="H100" s="233">
        <f t="shared" si="7"/>
        <v>215.001508672</v>
      </c>
      <c r="I100" s="233">
        <f t="shared" si="7"/>
        <v>142.90349618600001</v>
      </c>
      <c r="J100" s="233">
        <f t="shared" si="7"/>
        <v>134.66925335600001</v>
      </c>
      <c r="K100" s="233">
        <f t="shared" si="7"/>
        <v>166.107001744</v>
      </c>
      <c r="L100" s="233">
        <f t="shared" si="7"/>
        <v>188.79902042800001</v>
      </c>
      <c r="M100" s="233">
        <f t="shared" si="7"/>
        <v>189.243035048</v>
      </c>
      <c r="N100" s="233">
        <f t="shared" si="7"/>
        <v>130.29129281199999</v>
      </c>
      <c r="O100" s="233">
        <f t="shared" si="7"/>
        <v>127.53405822400001</v>
      </c>
    </row>
    <row r="101" spans="2:16">
      <c r="B101" s="232" t="s">
        <v>3</v>
      </c>
      <c r="C101" s="233">
        <f t="shared" si="7"/>
        <v>3728.6750010000001</v>
      </c>
      <c r="D101" s="233">
        <f t="shared" si="7"/>
        <v>3591.591351</v>
      </c>
      <c r="E101" s="233">
        <f t="shared" si="7"/>
        <v>4471.0236880000002</v>
      </c>
      <c r="F101" s="233">
        <f t="shared" si="7"/>
        <v>5135.7248909999998</v>
      </c>
      <c r="G101" s="233">
        <f t="shared" si="7"/>
        <v>5013.0349210000004</v>
      </c>
      <c r="H101" s="233">
        <f t="shared" si="7"/>
        <v>5150.6718030000002</v>
      </c>
      <c r="I101" s="233">
        <f t="shared" si="7"/>
        <v>3829.983448</v>
      </c>
      <c r="J101" s="233">
        <f t="shared" si="7"/>
        <v>4286.7606750000004</v>
      </c>
      <c r="K101" s="233">
        <f t="shared" si="7"/>
        <v>5041.3669819999996</v>
      </c>
      <c r="L101" s="233">
        <f t="shared" si="7"/>
        <v>4766.7856579999998</v>
      </c>
      <c r="M101" s="233">
        <f t="shared" si="7"/>
        <v>5274.7472820000003</v>
      </c>
      <c r="N101" s="233">
        <f t="shared" si="7"/>
        <v>4621.6629220000004</v>
      </c>
      <c r="O101" s="233">
        <f t="shared" si="7"/>
        <v>3976.917465</v>
      </c>
    </row>
    <row r="102" spans="2:16">
      <c r="B102" s="232" t="s">
        <v>4</v>
      </c>
      <c r="C102" s="233">
        <f t="shared" si="7"/>
        <v>2254.3190730000001</v>
      </c>
      <c r="D102" s="233">
        <f t="shared" si="7"/>
        <v>2273.6508990000002</v>
      </c>
      <c r="E102" s="233">
        <f t="shared" si="7"/>
        <v>3487.5949369999998</v>
      </c>
      <c r="F102" s="233">
        <f t="shared" si="7"/>
        <v>3495.8909399999998</v>
      </c>
      <c r="G102" s="233">
        <f t="shared" si="7"/>
        <v>4104.8410020000001</v>
      </c>
      <c r="H102" s="233">
        <f t="shared" si="7"/>
        <v>3364.8328780000002</v>
      </c>
      <c r="I102" s="233">
        <f t="shared" si="7"/>
        <v>3875.2184769999999</v>
      </c>
      <c r="J102" s="233">
        <f t="shared" si="7"/>
        <v>2845.2639509999999</v>
      </c>
      <c r="K102" s="233">
        <f t="shared" si="7"/>
        <v>3075.0438380000001</v>
      </c>
      <c r="L102" s="233">
        <f t="shared" si="7"/>
        <v>2246.8140950000002</v>
      </c>
      <c r="M102" s="233">
        <f t="shared" si="7"/>
        <v>824.670028</v>
      </c>
      <c r="N102" s="233">
        <f t="shared" si="7"/>
        <v>722.95364099999995</v>
      </c>
      <c r="O102" s="233">
        <f t="shared" si="7"/>
        <v>343.03717999999998</v>
      </c>
    </row>
    <row r="103" spans="2:16">
      <c r="B103" s="232" t="s">
        <v>158</v>
      </c>
      <c r="C103" s="233">
        <f t="shared" si="7"/>
        <v>0</v>
      </c>
      <c r="D103" s="233">
        <f t="shared" si="7"/>
        <v>0</v>
      </c>
      <c r="E103" s="233">
        <f t="shared" si="7"/>
        <v>0</v>
      </c>
      <c r="F103" s="233">
        <f t="shared" si="7"/>
        <v>0</v>
      </c>
      <c r="G103" s="233">
        <f t="shared" si="7"/>
        <v>0</v>
      </c>
      <c r="H103" s="233">
        <f t="shared" si="7"/>
        <v>0</v>
      </c>
      <c r="I103" s="233">
        <f t="shared" si="7"/>
        <v>0</v>
      </c>
      <c r="J103" s="233">
        <f t="shared" si="7"/>
        <v>0</v>
      </c>
      <c r="K103" s="233">
        <f t="shared" si="7"/>
        <v>0</v>
      </c>
      <c r="L103" s="233">
        <f t="shared" si="7"/>
        <v>0</v>
      </c>
      <c r="M103" s="233">
        <f t="shared" si="7"/>
        <v>0</v>
      </c>
      <c r="N103" s="233">
        <f t="shared" si="7"/>
        <v>0</v>
      </c>
      <c r="O103" s="233">
        <f t="shared" si="7"/>
        <v>0</v>
      </c>
    </row>
    <row r="104" spans="2:16">
      <c r="B104" s="232" t="s">
        <v>159</v>
      </c>
      <c r="C104" s="233">
        <f t="shared" si="7"/>
        <v>1968.425332</v>
      </c>
      <c r="D104" s="233">
        <f t="shared" si="7"/>
        <v>2180.126706</v>
      </c>
      <c r="E104" s="233">
        <f t="shared" si="7"/>
        <v>2229.279387</v>
      </c>
      <c r="F104" s="233">
        <f t="shared" si="7"/>
        <v>2663.0061409999998</v>
      </c>
      <c r="G104" s="233">
        <f t="shared" si="7"/>
        <v>2148.659568</v>
      </c>
      <c r="H104" s="233">
        <f t="shared" si="7"/>
        <v>2501.819391</v>
      </c>
      <c r="I104" s="233">
        <f t="shared" si="7"/>
        <v>3160.857532</v>
      </c>
      <c r="J104" s="233">
        <f t="shared" si="7"/>
        <v>2896.6909179999998</v>
      </c>
      <c r="K104" s="233">
        <f t="shared" si="7"/>
        <v>3198.741031</v>
      </c>
      <c r="L104" s="233">
        <f t="shared" si="7"/>
        <v>2453.2148360000001</v>
      </c>
      <c r="M104" s="233">
        <f t="shared" si="7"/>
        <v>2129.3124120000002</v>
      </c>
      <c r="N104" s="233">
        <f t="shared" si="7"/>
        <v>2714.2451850000002</v>
      </c>
      <c r="O104" s="233">
        <f t="shared" si="7"/>
        <v>3896.510745</v>
      </c>
    </row>
    <row r="105" spans="2:16">
      <c r="B105" s="232" t="s">
        <v>5</v>
      </c>
      <c r="C105" s="233">
        <f t="shared" si="7"/>
        <v>3264.1514889999999</v>
      </c>
      <c r="D105" s="233">
        <f t="shared" si="7"/>
        <v>2574.1710560000001</v>
      </c>
      <c r="E105" s="233">
        <f t="shared" si="7"/>
        <v>2478.6215710000001</v>
      </c>
      <c r="F105" s="233">
        <f t="shared" si="7"/>
        <v>3066.01685</v>
      </c>
      <c r="G105" s="233">
        <f t="shared" si="7"/>
        <v>2404.0393210000002</v>
      </c>
      <c r="H105" s="233">
        <f t="shared" si="7"/>
        <v>4297.171472</v>
      </c>
      <c r="I105" s="233">
        <f t="shared" si="7"/>
        <v>4525.9497069999998</v>
      </c>
      <c r="J105" s="233">
        <f t="shared" si="7"/>
        <v>4319.0411860000004</v>
      </c>
      <c r="K105" s="233">
        <f t="shared" si="7"/>
        <v>5970.6598999999997</v>
      </c>
      <c r="L105" s="233">
        <f t="shared" si="7"/>
        <v>3646.4345840000001</v>
      </c>
      <c r="M105" s="233">
        <f t="shared" si="7"/>
        <v>4823.4316840000001</v>
      </c>
      <c r="N105" s="233">
        <f t="shared" si="7"/>
        <v>4594.9791249999998</v>
      </c>
      <c r="O105" s="233">
        <f t="shared" si="7"/>
        <v>4580.5968780000003</v>
      </c>
    </row>
    <row r="106" spans="2:16">
      <c r="B106" s="232" t="s">
        <v>160</v>
      </c>
      <c r="C106" s="233">
        <f t="shared" si="7"/>
        <v>778.63753499999996</v>
      </c>
      <c r="D106" s="233">
        <f t="shared" si="7"/>
        <v>780.73612100000003</v>
      </c>
      <c r="E106" s="233">
        <f t="shared" si="7"/>
        <v>892.04790600000001</v>
      </c>
      <c r="F106" s="233">
        <f t="shared" si="7"/>
        <v>807.36622299999999</v>
      </c>
      <c r="G106" s="233">
        <f t="shared" si="7"/>
        <v>686.52648799999997</v>
      </c>
      <c r="H106" s="233">
        <f t="shared" si="7"/>
        <v>543.23595699999998</v>
      </c>
      <c r="I106" s="233">
        <f t="shared" si="7"/>
        <v>353.619077</v>
      </c>
      <c r="J106" s="233">
        <f t="shared" si="7"/>
        <v>404.07867700000003</v>
      </c>
      <c r="K106" s="233">
        <f t="shared" si="7"/>
        <v>480.728812</v>
      </c>
      <c r="L106" s="233">
        <f t="shared" si="7"/>
        <v>601.892966</v>
      </c>
      <c r="M106" s="233">
        <f t="shared" si="7"/>
        <v>768.80490399999996</v>
      </c>
      <c r="N106" s="233">
        <f t="shared" si="7"/>
        <v>661.66676800000005</v>
      </c>
      <c r="O106" s="233">
        <f t="shared" si="7"/>
        <v>889.528772</v>
      </c>
    </row>
    <row r="107" spans="2:16">
      <c r="B107" s="232" t="s">
        <v>161</v>
      </c>
      <c r="C107" s="233">
        <f t="shared" si="7"/>
        <v>477.20963399999999</v>
      </c>
      <c r="D107" s="233">
        <f t="shared" si="7"/>
        <v>551.29260299999999</v>
      </c>
      <c r="E107" s="233">
        <f t="shared" si="7"/>
        <v>858.89832999999999</v>
      </c>
      <c r="F107" s="233">
        <f t="shared" si="7"/>
        <v>688.557997</v>
      </c>
      <c r="G107" s="233">
        <f t="shared" si="7"/>
        <v>465.63698499999998</v>
      </c>
      <c r="H107" s="233">
        <f t="shared" si="7"/>
        <v>292.49343099999999</v>
      </c>
      <c r="I107" s="233">
        <f t="shared" si="7"/>
        <v>78.576116999999996</v>
      </c>
      <c r="J107" s="233">
        <f t="shared" si="7"/>
        <v>109.57487399999999</v>
      </c>
      <c r="K107" s="233">
        <f t="shared" si="7"/>
        <v>166.15012899999999</v>
      </c>
      <c r="L107" s="233">
        <f t="shared" si="7"/>
        <v>261.97860300000002</v>
      </c>
      <c r="M107" s="233">
        <f t="shared" si="7"/>
        <v>477.92322799999999</v>
      </c>
      <c r="N107" s="233">
        <f t="shared" si="7"/>
        <v>379.26881700000001</v>
      </c>
      <c r="O107" s="233">
        <f t="shared" si="7"/>
        <v>740.99772700000005</v>
      </c>
    </row>
    <row r="108" spans="2:16">
      <c r="B108" s="232" t="s">
        <v>9</v>
      </c>
      <c r="C108" s="233">
        <f t="shared" si="7"/>
        <v>2418.3057220000001</v>
      </c>
      <c r="D108" s="233">
        <f t="shared" si="7"/>
        <v>2408.224995</v>
      </c>
      <c r="E108" s="233">
        <f t="shared" si="7"/>
        <v>2441.3647839999999</v>
      </c>
      <c r="F108" s="233">
        <f t="shared" si="7"/>
        <v>2361.2932569999998</v>
      </c>
      <c r="G108" s="233">
        <f t="shared" si="7"/>
        <v>2408.1177870000001</v>
      </c>
      <c r="H108" s="233">
        <f t="shared" si="7"/>
        <v>2520.0123990000002</v>
      </c>
      <c r="I108" s="233">
        <f t="shared" si="7"/>
        <v>2472.1034989999998</v>
      </c>
      <c r="J108" s="233">
        <f t="shared" si="7"/>
        <v>2529.9647150000001</v>
      </c>
      <c r="K108" s="233">
        <f t="shared" si="7"/>
        <v>2656.3842519999998</v>
      </c>
      <c r="L108" s="233">
        <f t="shared" si="7"/>
        <v>2391.1858710000001</v>
      </c>
      <c r="M108" s="233">
        <f t="shared" si="7"/>
        <v>2588.9622680000002</v>
      </c>
      <c r="N108" s="233">
        <f t="shared" si="7"/>
        <v>2488.363464</v>
      </c>
      <c r="O108" s="233">
        <f t="shared" si="7"/>
        <v>2544.1971939999999</v>
      </c>
    </row>
    <row r="109" spans="2:16">
      <c r="B109" s="232" t="s">
        <v>162</v>
      </c>
      <c r="C109" s="233">
        <f t="shared" si="7"/>
        <v>137.027331</v>
      </c>
      <c r="D109" s="233">
        <f t="shared" si="7"/>
        <v>175.41279499999999</v>
      </c>
      <c r="E109" s="233">
        <f t="shared" si="7"/>
        <v>199.57543200000001</v>
      </c>
      <c r="F109" s="233">
        <f t="shared" si="7"/>
        <v>194.65527349999999</v>
      </c>
      <c r="G109" s="233">
        <f t="shared" si="7"/>
        <v>189.02059499999999</v>
      </c>
      <c r="H109" s="233">
        <f t="shared" si="7"/>
        <v>201.64167599999999</v>
      </c>
      <c r="I109" s="233">
        <f t="shared" si="7"/>
        <v>191.94905</v>
      </c>
      <c r="J109" s="233">
        <f t="shared" si="7"/>
        <v>190.76081500000001</v>
      </c>
      <c r="K109" s="233">
        <f t="shared" si="7"/>
        <v>196.595054</v>
      </c>
      <c r="L109" s="233">
        <f t="shared" si="7"/>
        <v>180.749244</v>
      </c>
      <c r="M109" s="233">
        <f t="shared" si="7"/>
        <v>200.77886749999999</v>
      </c>
      <c r="N109" s="233">
        <f t="shared" si="7"/>
        <v>175.342614</v>
      </c>
      <c r="O109" s="233">
        <f t="shared" si="7"/>
        <v>154.68218999999999</v>
      </c>
    </row>
    <row r="110" spans="2:16">
      <c r="B110" s="232" t="s">
        <v>163</v>
      </c>
      <c r="C110" s="233">
        <f t="shared" si="7"/>
        <v>24.344857999999999</v>
      </c>
      <c r="D110" s="233">
        <f t="shared" si="7"/>
        <v>50.806421</v>
      </c>
      <c r="E110" s="233">
        <f t="shared" si="7"/>
        <v>64.813796999999994</v>
      </c>
      <c r="F110" s="233">
        <f t="shared" si="7"/>
        <v>65.755174499999995</v>
      </c>
      <c r="G110" s="233">
        <f t="shared" si="7"/>
        <v>64.739834999999999</v>
      </c>
      <c r="H110" s="233">
        <f t="shared" si="7"/>
        <v>66.706254000000001</v>
      </c>
      <c r="I110" s="233">
        <f t="shared" si="7"/>
        <v>61.593868999999998</v>
      </c>
      <c r="J110" s="233">
        <f t="shared" si="7"/>
        <v>69.912847999999997</v>
      </c>
      <c r="K110" s="233">
        <f t="shared" si="7"/>
        <v>63.503646000000003</v>
      </c>
      <c r="L110" s="233">
        <f t="shared" si="7"/>
        <v>61.891773000000001</v>
      </c>
      <c r="M110" s="233">
        <f t="shared" si="7"/>
        <v>67.359962499999995</v>
      </c>
      <c r="N110" s="233">
        <f t="shared" si="7"/>
        <v>64.179035999999996</v>
      </c>
      <c r="O110" s="233">
        <f t="shared" si="7"/>
        <v>36.450611000000002</v>
      </c>
    </row>
    <row r="111" spans="2:16">
      <c r="B111" s="232" t="s">
        <v>164</v>
      </c>
      <c r="C111" s="233">
        <f t="shared" si="7"/>
        <v>290.86737199999999</v>
      </c>
      <c r="D111" s="233">
        <f t="shared" si="7"/>
        <v>304.03843599999999</v>
      </c>
      <c r="E111" s="233">
        <f t="shared" si="7"/>
        <v>323.38476400000002</v>
      </c>
      <c r="F111" s="233">
        <f t="shared" si="7"/>
        <v>316.43947400000002</v>
      </c>
      <c r="G111" s="233">
        <f t="shared" si="7"/>
        <v>319.40942899999999</v>
      </c>
      <c r="H111" s="233">
        <f t="shared" si="7"/>
        <v>296.78028399999999</v>
      </c>
      <c r="I111" s="233">
        <f t="shared" si="7"/>
        <v>292.56805100000003</v>
      </c>
      <c r="J111" s="233">
        <f t="shared" si="7"/>
        <v>299.14763599999998</v>
      </c>
      <c r="K111" s="233">
        <f t="shared" si="7"/>
        <v>303.393978</v>
      </c>
      <c r="L111" s="233">
        <f t="shared" si="7"/>
        <v>284.70844699999998</v>
      </c>
      <c r="M111" s="233">
        <f t="shared" si="7"/>
        <v>309.30230799999998</v>
      </c>
      <c r="N111" s="233">
        <f t="shared" si="7"/>
        <v>273.97149899999999</v>
      </c>
      <c r="O111" s="233">
        <f t="shared" si="7"/>
        <v>282.06007699999998</v>
      </c>
    </row>
    <row r="112" spans="2:16">
      <c r="B112" s="232" t="s">
        <v>165</v>
      </c>
      <c r="C112" s="233">
        <f t="shared" si="7"/>
        <v>19018.097825000004</v>
      </c>
      <c r="D112" s="233">
        <f t="shared" si="7"/>
        <v>18660.07645</v>
      </c>
      <c r="E112" s="233">
        <f t="shared" si="7"/>
        <v>20507.541360000003</v>
      </c>
      <c r="F112" s="233">
        <f t="shared" si="7"/>
        <v>20959.071771999999</v>
      </c>
      <c r="G112" s="233">
        <f t="shared" si="7"/>
        <v>19770.507886000003</v>
      </c>
      <c r="H112" s="233">
        <f t="shared" si="7"/>
        <v>20912.256206000002</v>
      </c>
      <c r="I112" s="233">
        <f t="shared" si="7"/>
        <v>21146.266267999999</v>
      </c>
      <c r="J112" s="233">
        <f t="shared" si="7"/>
        <v>20571.739999000005</v>
      </c>
      <c r="K112" s="233">
        <f t="shared" si="7"/>
        <v>23445.308578000004</v>
      </c>
      <c r="L112" s="233">
        <f t="shared" si="7"/>
        <v>19567.156166000001</v>
      </c>
      <c r="M112" s="233">
        <f t="shared" si="7"/>
        <v>19785.960112999997</v>
      </c>
      <c r="N112" s="233">
        <f t="shared" si="7"/>
        <v>18749.884407000005</v>
      </c>
      <c r="O112" s="233">
        <f t="shared" si="7"/>
        <v>19505.540204000001</v>
      </c>
    </row>
    <row r="113" spans="2:18">
      <c r="B113" s="232" t="s">
        <v>166</v>
      </c>
      <c r="C113" s="233"/>
      <c r="D113" s="233"/>
      <c r="E113" s="233"/>
      <c r="F113" s="233"/>
      <c r="G113" s="233"/>
      <c r="H113" s="233"/>
      <c r="I113" s="233"/>
      <c r="J113" s="233"/>
      <c r="K113" s="233"/>
      <c r="L113" s="233"/>
      <c r="M113" s="233"/>
      <c r="N113" s="233"/>
      <c r="O113" s="233"/>
    </row>
    <row r="114" spans="2:18">
      <c r="B114" s="232" t="s">
        <v>167</v>
      </c>
      <c r="C114" s="233"/>
      <c r="D114" s="233"/>
      <c r="E114" s="233"/>
      <c r="F114" s="233"/>
      <c r="G114" s="233"/>
      <c r="H114" s="233"/>
      <c r="I114" s="233"/>
      <c r="J114" s="233"/>
      <c r="K114" s="233"/>
      <c r="L114" s="233"/>
      <c r="M114" s="233"/>
      <c r="N114" s="233"/>
      <c r="O114" s="233"/>
    </row>
    <row r="115" spans="2:18">
      <c r="B115" s="232" t="s">
        <v>168</v>
      </c>
      <c r="C115" s="233"/>
      <c r="D115" s="233"/>
      <c r="E115" s="233"/>
      <c r="F115" s="233"/>
      <c r="G115" s="233"/>
      <c r="H115" s="233"/>
      <c r="I115" s="233"/>
      <c r="J115" s="233"/>
      <c r="K115" s="233"/>
      <c r="L115" s="233"/>
      <c r="M115" s="233"/>
      <c r="N115" s="233"/>
      <c r="O115" s="233"/>
    </row>
    <row r="116" spans="2:18">
      <c r="B116" s="234" t="s">
        <v>169</v>
      </c>
      <c r="C116" s="235"/>
      <c r="D116" s="235"/>
      <c r="E116" s="235"/>
      <c r="F116" s="235"/>
      <c r="G116" s="235"/>
      <c r="H116" s="235"/>
      <c r="I116" s="235"/>
      <c r="J116" s="235"/>
      <c r="K116" s="235"/>
      <c r="L116" s="235"/>
      <c r="M116" s="235"/>
      <c r="N116" s="235"/>
      <c r="O116" s="235"/>
    </row>
    <row r="118" spans="2:18">
      <c r="B118" s="236" t="s">
        <v>19</v>
      </c>
      <c r="C118" s="237">
        <f>SUM(C99:C101,C105:C107,C110:C111)</f>
        <v>12240.020367000001</v>
      </c>
      <c r="D118" s="237">
        <f t="shared" ref="D118:O118" si="8">SUM(D99:D101,D105:D107,D110:D111)</f>
        <v>11622.661055</v>
      </c>
      <c r="E118" s="237">
        <f t="shared" si="8"/>
        <v>12149.726820000002</v>
      </c>
      <c r="F118" s="237">
        <f t="shared" si="8"/>
        <v>12244.226160500002</v>
      </c>
      <c r="G118" s="237">
        <f t="shared" si="8"/>
        <v>10919.868934</v>
      </c>
      <c r="H118" s="237">
        <f t="shared" si="8"/>
        <v>12323.949862000003</v>
      </c>
      <c r="I118" s="237">
        <f t="shared" si="8"/>
        <v>11446.137710000001</v>
      </c>
      <c r="J118" s="237">
        <f t="shared" si="8"/>
        <v>12109.059599999999</v>
      </c>
      <c r="K118" s="237">
        <f t="shared" si="8"/>
        <v>14318.544402999998</v>
      </c>
      <c r="L118" s="237">
        <f t="shared" si="8"/>
        <v>12295.19212</v>
      </c>
      <c r="M118" s="237">
        <f t="shared" si="8"/>
        <v>14042.236537500001</v>
      </c>
      <c r="N118" s="237">
        <f t="shared" si="8"/>
        <v>12648.979503</v>
      </c>
      <c r="O118" s="237">
        <f t="shared" si="8"/>
        <v>12567.112895</v>
      </c>
    </row>
    <row r="119" spans="2:18">
      <c r="B119" s="234" t="s">
        <v>20</v>
      </c>
      <c r="C119" s="235">
        <f>SUM(C102:C104,C108:C109)</f>
        <v>6778.0774580000007</v>
      </c>
      <c r="D119" s="235">
        <f t="shared" ref="D119:O119" si="9">SUM(D102:D104,D108:D109)</f>
        <v>7037.415395</v>
      </c>
      <c r="E119" s="235">
        <f t="shared" si="9"/>
        <v>8357.8145399999994</v>
      </c>
      <c r="F119" s="235">
        <f t="shared" si="9"/>
        <v>8714.845611499999</v>
      </c>
      <c r="G119" s="235">
        <f t="shared" si="9"/>
        <v>8850.6389519999993</v>
      </c>
      <c r="H119" s="235">
        <f t="shared" si="9"/>
        <v>8588.3063440000005</v>
      </c>
      <c r="I119" s="235">
        <f t="shared" si="9"/>
        <v>9700.1285580000003</v>
      </c>
      <c r="J119" s="235">
        <f t="shared" si="9"/>
        <v>8462.6803989999989</v>
      </c>
      <c r="K119" s="235">
        <f t="shared" si="9"/>
        <v>9126.7641749999984</v>
      </c>
      <c r="L119" s="235">
        <f t="shared" si="9"/>
        <v>7271.9640460000001</v>
      </c>
      <c r="M119" s="235">
        <f t="shared" si="9"/>
        <v>5743.7235755000011</v>
      </c>
      <c r="N119" s="235">
        <f t="shared" si="9"/>
        <v>6100.904904</v>
      </c>
      <c r="O119" s="235">
        <f t="shared" si="9"/>
        <v>6938.4273089999988</v>
      </c>
      <c r="R119" s="240"/>
    </row>
    <row r="121" spans="2:18">
      <c r="B121" s="236" t="s">
        <v>171</v>
      </c>
      <c r="C121" s="238">
        <f>SUM(ROUND(C99/SUM(C118:C119)*100,1),ROUND(C100/SUM(C118:C119)*100,1),ROUND(C101/SUM(C118:C119)*100,1),ROUND(C105/SUM(C118:C119)*100,1),ROUND(C106/SUM(C118:C119)*100,1),ROUND(C107/SUM(C118:C119)*100,1),ROUND(C111/SUM(C118:C119)*100,1),ROUND(C110/SUM(C118:C119)*100,1))</f>
        <v>64.300000000000011</v>
      </c>
      <c r="D121" s="238">
        <f t="shared" ref="D121:O121" si="10">SUM(ROUND(D99/SUM(D118:D119)*100,1),ROUND(D100/SUM(D118:D119)*100,1),ROUND(D101/SUM(D118:D119)*100,1),ROUND(D105/SUM(D118:D119)*100,1),ROUND(D106/SUM(D118:D119)*100,1),ROUND(D107/SUM(D118:D119)*100,1),ROUND(D111/SUM(D118:D119)*100,1),ROUND(D110/SUM(D118:D119)*100,1))</f>
        <v>62.300000000000004</v>
      </c>
      <c r="E121" s="238">
        <f t="shared" si="10"/>
        <v>59.3</v>
      </c>
      <c r="F121" s="238">
        <f t="shared" si="10"/>
        <v>58.399999999999991</v>
      </c>
      <c r="G121" s="238">
        <f t="shared" si="10"/>
        <v>55.3</v>
      </c>
      <c r="H121" s="238">
        <f t="shared" si="10"/>
        <v>58.8</v>
      </c>
      <c r="I121" s="238">
        <f t="shared" si="10"/>
        <v>54.199999999999996</v>
      </c>
      <c r="J121" s="238">
        <f t="shared" si="10"/>
        <v>58.9</v>
      </c>
      <c r="K121" s="238">
        <f t="shared" si="10"/>
        <v>61.199999999999996</v>
      </c>
      <c r="L121" s="238">
        <f t="shared" si="10"/>
        <v>62.899999999999991</v>
      </c>
      <c r="M121" s="238">
        <f t="shared" si="10"/>
        <v>71.099999999999994</v>
      </c>
      <c r="N121" s="238">
        <f t="shared" si="10"/>
        <v>67.399999999999991</v>
      </c>
      <c r="O121" s="238">
        <f t="shared" si="10"/>
        <v>64.5</v>
      </c>
    </row>
    <row r="122" spans="2:18">
      <c r="B122" s="234" t="s">
        <v>172</v>
      </c>
      <c r="C122" s="239">
        <f>100-C121</f>
        <v>35.699999999999989</v>
      </c>
      <c r="D122" s="239">
        <f t="shared" ref="D122:O122" si="11">100-D121</f>
        <v>37.699999999999996</v>
      </c>
      <c r="E122" s="239">
        <f t="shared" si="11"/>
        <v>40.700000000000003</v>
      </c>
      <c r="F122" s="239">
        <f t="shared" si="11"/>
        <v>41.600000000000009</v>
      </c>
      <c r="G122" s="239">
        <f t="shared" si="11"/>
        <v>44.7</v>
      </c>
      <c r="H122" s="239">
        <f t="shared" si="11"/>
        <v>41.2</v>
      </c>
      <c r="I122" s="239">
        <f t="shared" si="11"/>
        <v>45.800000000000004</v>
      </c>
      <c r="J122" s="239">
        <f t="shared" si="11"/>
        <v>41.1</v>
      </c>
      <c r="K122" s="239">
        <f t="shared" si="11"/>
        <v>38.800000000000004</v>
      </c>
      <c r="L122" s="239">
        <f t="shared" si="11"/>
        <v>37.100000000000009</v>
      </c>
      <c r="M122" s="239">
        <f t="shared" si="11"/>
        <v>28.900000000000006</v>
      </c>
      <c r="N122" s="239">
        <f t="shared" si="11"/>
        <v>32.600000000000009</v>
      </c>
      <c r="O122" s="239">
        <f t="shared" si="11"/>
        <v>35.5</v>
      </c>
    </row>
    <row r="124" spans="2:18">
      <c r="B124" s="157" t="s">
        <v>173</v>
      </c>
      <c r="C124" s="241"/>
      <c r="D124" s="241"/>
      <c r="E124" s="241"/>
      <c r="F124" s="241"/>
      <c r="G124" s="241"/>
      <c r="H124" s="241"/>
      <c r="I124" s="241"/>
      <c r="J124" s="241"/>
      <c r="K124" s="241"/>
      <c r="L124" s="241"/>
      <c r="M124" s="241"/>
      <c r="N124" s="241"/>
      <c r="O124" s="241"/>
    </row>
    <row r="125" spans="2:18">
      <c r="B125" s="229"/>
      <c r="C125" s="230" t="str">
        <f>Dat_01!B140</f>
        <v>M</v>
      </c>
      <c r="D125" s="230" t="str">
        <f>Dat_01!C140</f>
        <v>J</v>
      </c>
      <c r="E125" s="230" t="str">
        <f>Dat_01!D140</f>
        <v>J</v>
      </c>
      <c r="F125" s="230" t="str">
        <f>Dat_01!E140</f>
        <v>A</v>
      </c>
      <c r="G125" s="230" t="str">
        <f>Dat_01!F140</f>
        <v>S</v>
      </c>
      <c r="H125" s="230" t="str">
        <f>Dat_01!G140</f>
        <v>O</v>
      </c>
      <c r="I125" s="230" t="str">
        <f>Dat_01!H140</f>
        <v>N</v>
      </c>
      <c r="J125" s="230" t="str">
        <f>Dat_01!I140</f>
        <v>D</v>
      </c>
      <c r="K125" s="230" t="str">
        <f>Dat_01!J140</f>
        <v>E</v>
      </c>
      <c r="L125" s="230" t="str">
        <f>Dat_01!K140</f>
        <v>F</v>
      </c>
      <c r="M125" s="230" t="str">
        <f>Dat_01!L140</f>
        <v>M</v>
      </c>
      <c r="N125" s="230" t="str">
        <f>Dat_01!M140</f>
        <v>A</v>
      </c>
      <c r="O125" s="230" t="str">
        <f>Dat_01!N140</f>
        <v>M</v>
      </c>
    </row>
    <row r="126" spans="2:18">
      <c r="B126" s="232" t="s">
        <v>2</v>
      </c>
      <c r="C126" s="233">
        <f>C69</f>
        <v>3522.8601173239999</v>
      </c>
      <c r="D126" s="233">
        <f t="shared" ref="D126:O126" si="12">D69</f>
        <v>3711.3022205840002</v>
      </c>
      <c r="E126" s="233">
        <f t="shared" si="12"/>
        <v>3025.6357145860002</v>
      </c>
      <c r="F126" s="233">
        <f t="shared" si="12"/>
        <v>2104.3621898920001</v>
      </c>
      <c r="G126" s="233">
        <f t="shared" si="12"/>
        <v>1926.4552017619999</v>
      </c>
      <c r="H126" s="233">
        <f t="shared" si="12"/>
        <v>1461.8891523279999</v>
      </c>
      <c r="I126" s="233">
        <f t="shared" si="12"/>
        <v>2160.9439448140001</v>
      </c>
      <c r="J126" s="233">
        <f t="shared" si="12"/>
        <v>2485.8744506439998</v>
      </c>
      <c r="K126" s="233">
        <f t="shared" si="12"/>
        <v>2126.6339542559999</v>
      </c>
      <c r="L126" s="233">
        <f t="shared" si="12"/>
        <v>2482.7010685720002</v>
      </c>
      <c r="M126" s="233">
        <f t="shared" si="12"/>
        <v>2131.4241339519999</v>
      </c>
      <c r="N126" s="233">
        <f t="shared" si="12"/>
        <v>1922.9600431880001</v>
      </c>
      <c r="O126" s="233">
        <f t="shared" si="12"/>
        <v>1933.0273067759999</v>
      </c>
      <c r="P126" s="242"/>
    </row>
    <row r="127" spans="2:18">
      <c r="B127" s="232" t="s">
        <v>83</v>
      </c>
      <c r="C127" s="233">
        <f t="shared" ref="C127:O139" si="13">C70</f>
        <v>153.27436067599999</v>
      </c>
      <c r="D127" s="233">
        <f t="shared" si="13"/>
        <v>58.722846416000003</v>
      </c>
      <c r="E127" s="233">
        <f t="shared" si="13"/>
        <v>35.301049413999998</v>
      </c>
      <c r="F127" s="233">
        <f t="shared" si="13"/>
        <v>60.003361108</v>
      </c>
      <c r="G127" s="233">
        <f t="shared" si="13"/>
        <v>40.026753237999998</v>
      </c>
      <c r="H127" s="233">
        <f t="shared" si="13"/>
        <v>215.001508672</v>
      </c>
      <c r="I127" s="233">
        <f t="shared" si="13"/>
        <v>142.90349618600001</v>
      </c>
      <c r="J127" s="233">
        <f t="shared" si="13"/>
        <v>134.66925335600001</v>
      </c>
      <c r="K127" s="233">
        <f t="shared" si="13"/>
        <v>166.107001744</v>
      </c>
      <c r="L127" s="233">
        <f t="shared" si="13"/>
        <v>188.79902042800001</v>
      </c>
      <c r="M127" s="233">
        <f t="shared" si="13"/>
        <v>189.243035048</v>
      </c>
      <c r="N127" s="233">
        <f t="shared" si="13"/>
        <v>130.29129281199999</v>
      </c>
      <c r="O127" s="233">
        <f t="shared" si="13"/>
        <v>127.53405822400001</v>
      </c>
    </row>
    <row r="128" spans="2:18">
      <c r="B128" s="232" t="s">
        <v>3</v>
      </c>
      <c r="C128" s="233">
        <f t="shared" si="13"/>
        <v>3728.6750010000001</v>
      </c>
      <c r="D128" s="233">
        <f t="shared" si="13"/>
        <v>3591.591351</v>
      </c>
      <c r="E128" s="233">
        <f t="shared" si="13"/>
        <v>4471.0236880000002</v>
      </c>
      <c r="F128" s="233">
        <f t="shared" si="13"/>
        <v>5135.7248909999998</v>
      </c>
      <c r="G128" s="233">
        <f t="shared" si="13"/>
        <v>5013.0349210000004</v>
      </c>
      <c r="H128" s="233">
        <f t="shared" si="13"/>
        <v>5150.6718030000002</v>
      </c>
      <c r="I128" s="233">
        <f t="shared" si="13"/>
        <v>3829.983448</v>
      </c>
      <c r="J128" s="233">
        <f t="shared" si="13"/>
        <v>4286.7606750000004</v>
      </c>
      <c r="K128" s="233">
        <f t="shared" si="13"/>
        <v>5041.3669819999996</v>
      </c>
      <c r="L128" s="233">
        <f t="shared" si="13"/>
        <v>4766.7856579999998</v>
      </c>
      <c r="M128" s="233">
        <f t="shared" si="13"/>
        <v>5274.7472820000003</v>
      </c>
      <c r="N128" s="233">
        <f t="shared" si="13"/>
        <v>4621.6629220000004</v>
      </c>
      <c r="O128" s="233">
        <f t="shared" si="13"/>
        <v>3976.917465</v>
      </c>
    </row>
    <row r="129" spans="2:15">
      <c r="B129" s="232" t="s">
        <v>4</v>
      </c>
      <c r="C129" s="233">
        <f t="shared" si="13"/>
        <v>2254.3190730000001</v>
      </c>
      <c r="D129" s="233">
        <f t="shared" si="13"/>
        <v>2273.6508990000002</v>
      </c>
      <c r="E129" s="233">
        <f t="shared" si="13"/>
        <v>3487.5949369999998</v>
      </c>
      <c r="F129" s="233">
        <f t="shared" si="13"/>
        <v>3495.8909399999998</v>
      </c>
      <c r="G129" s="233">
        <f t="shared" si="13"/>
        <v>4104.8410020000001</v>
      </c>
      <c r="H129" s="233">
        <f t="shared" si="13"/>
        <v>3364.8328780000002</v>
      </c>
      <c r="I129" s="233">
        <f t="shared" si="13"/>
        <v>3875.2184769999999</v>
      </c>
      <c r="J129" s="233">
        <f t="shared" si="13"/>
        <v>2845.2639509999999</v>
      </c>
      <c r="K129" s="233">
        <f t="shared" si="13"/>
        <v>3075.0438380000001</v>
      </c>
      <c r="L129" s="233">
        <f t="shared" si="13"/>
        <v>2246.8140950000002</v>
      </c>
      <c r="M129" s="233">
        <f t="shared" si="13"/>
        <v>824.670028</v>
      </c>
      <c r="N129" s="233">
        <f t="shared" si="13"/>
        <v>722.95364099999995</v>
      </c>
      <c r="O129" s="233">
        <f t="shared" si="13"/>
        <v>343.03717999999998</v>
      </c>
    </row>
    <row r="130" spans="2:15">
      <c r="B130" s="232" t="s">
        <v>158</v>
      </c>
      <c r="C130" s="233">
        <f t="shared" si="13"/>
        <v>0</v>
      </c>
      <c r="D130" s="233">
        <f t="shared" si="13"/>
        <v>0</v>
      </c>
      <c r="E130" s="233">
        <f t="shared" si="13"/>
        <v>0</v>
      </c>
      <c r="F130" s="233">
        <f t="shared" si="13"/>
        <v>0</v>
      </c>
      <c r="G130" s="233">
        <f t="shared" si="13"/>
        <v>0</v>
      </c>
      <c r="H130" s="233">
        <f t="shared" si="13"/>
        <v>0</v>
      </c>
      <c r="I130" s="233">
        <f t="shared" si="13"/>
        <v>0</v>
      </c>
      <c r="J130" s="233">
        <f t="shared" si="13"/>
        <v>0</v>
      </c>
      <c r="K130" s="233">
        <f t="shared" si="13"/>
        <v>0</v>
      </c>
      <c r="L130" s="233">
        <f t="shared" si="13"/>
        <v>0</v>
      </c>
      <c r="M130" s="233">
        <f t="shared" si="13"/>
        <v>0</v>
      </c>
      <c r="N130" s="233">
        <f t="shared" si="13"/>
        <v>0</v>
      </c>
      <c r="O130" s="233">
        <f t="shared" si="13"/>
        <v>0</v>
      </c>
    </row>
    <row r="131" spans="2:15">
      <c r="B131" s="232" t="s">
        <v>159</v>
      </c>
      <c r="C131" s="233">
        <f t="shared" si="13"/>
        <v>1968.425332</v>
      </c>
      <c r="D131" s="233">
        <f t="shared" si="13"/>
        <v>2180.126706</v>
      </c>
      <c r="E131" s="233">
        <f t="shared" si="13"/>
        <v>2229.279387</v>
      </c>
      <c r="F131" s="233">
        <f t="shared" si="13"/>
        <v>2663.0061409999998</v>
      </c>
      <c r="G131" s="233">
        <f t="shared" si="13"/>
        <v>2148.659568</v>
      </c>
      <c r="H131" s="233">
        <f t="shared" si="13"/>
        <v>2501.819391</v>
      </c>
      <c r="I131" s="233">
        <f t="shared" si="13"/>
        <v>3160.857532</v>
      </c>
      <c r="J131" s="233">
        <f t="shared" si="13"/>
        <v>2896.6909179999998</v>
      </c>
      <c r="K131" s="233">
        <f t="shared" si="13"/>
        <v>3198.741031</v>
      </c>
      <c r="L131" s="233">
        <f t="shared" si="13"/>
        <v>2453.2148360000001</v>
      </c>
      <c r="M131" s="233">
        <f t="shared" si="13"/>
        <v>2129.3124120000002</v>
      </c>
      <c r="N131" s="233">
        <f t="shared" si="13"/>
        <v>2714.2451850000002</v>
      </c>
      <c r="O131" s="233">
        <f t="shared" si="13"/>
        <v>3896.510745</v>
      </c>
    </row>
    <row r="132" spans="2:15">
      <c r="B132" s="232" t="s">
        <v>5</v>
      </c>
      <c r="C132" s="233">
        <f t="shared" si="13"/>
        <v>3264.1514889999999</v>
      </c>
      <c r="D132" s="233">
        <f t="shared" si="13"/>
        <v>2574.1710560000001</v>
      </c>
      <c r="E132" s="233">
        <f t="shared" si="13"/>
        <v>2478.6215710000001</v>
      </c>
      <c r="F132" s="233">
        <f t="shared" si="13"/>
        <v>3066.01685</v>
      </c>
      <c r="G132" s="233">
        <f t="shared" si="13"/>
        <v>2404.0393210000002</v>
      </c>
      <c r="H132" s="233">
        <f t="shared" si="13"/>
        <v>4297.171472</v>
      </c>
      <c r="I132" s="233">
        <f t="shared" si="13"/>
        <v>4525.9497069999998</v>
      </c>
      <c r="J132" s="233">
        <f t="shared" si="13"/>
        <v>4319.0411860000004</v>
      </c>
      <c r="K132" s="233">
        <f t="shared" si="13"/>
        <v>5970.6598999999997</v>
      </c>
      <c r="L132" s="233">
        <f t="shared" si="13"/>
        <v>3646.4345840000001</v>
      </c>
      <c r="M132" s="233">
        <f t="shared" si="13"/>
        <v>4823.4316840000001</v>
      </c>
      <c r="N132" s="233">
        <f t="shared" si="13"/>
        <v>4594.9791249999998</v>
      </c>
      <c r="O132" s="233">
        <f t="shared" si="13"/>
        <v>4580.5968780000003</v>
      </c>
    </row>
    <row r="133" spans="2:15">
      <c r="B133" s="232" t="s">
        <v>160</v>
      </c>
      <c r="C133" s="233">
        <f t="shared" si="13"/>
        <v>778.63753499999996</v>
      </c>
      <c r="D133" s="233">
        <f t="shared" si="13"/>
        <v>780.73612100000003</v>
      </c>
      <c r="E133" s="233">
        <f t="shared" si="13"/>
        <v>892.04790600000001</v>
      </c>
      <c r="F133" s="233">
        <f t="shared" si="13"/>
        <v>807.36622299999999</v>
      </c>
      <c r="G133" s="233">
        <f t="shared" si="13"/>
        <v>686.52648799999997</v>
      </c>
      <c r="H133" s="233">
        <f t="shared" si="13"/>
        <v>543.23595699999998</v>
      </c>
      <c r="I133" s="233">
        <f t="shared" si="13"/>
        <v>353.619077</v>
      </c>
      <c r="J133" s="233">
        <f t="shared" si="13"/>
        <v>404.07867700000003</v>
      </c>
      <c r="K133" s="233">
        <f t="shared" si="13"/>
        <v>480.728812</v>
      </c>
      <c r="L133" s="233">
        <f t="shared" si="13"/>
        <v>601.892966</v>
      </c>
      <c r="M133" s="233">
        <f t="shared" si="13"/>
        <v>768.80490399999996</v>
      </c>
      <c r="N133" s="233">
        <f t="shared" si="13"/>
        <v>661.66676800000005</v>
      </c>
      <c r="O133" s="233">
        <f t="shared" si="13"/>
        <v>889.528772</v>
      </c>
    </row>
    <row r="134" spans="2:15">
      <c r="B134" s="232" t="s">
        <v>161</v>
      </c>
      <c r="C134" s="233">
        <f t="shared" si="13"/>
        <v>477.20963399999999</v>
      </c>
      <c r="D134" s="233">
        <f t="shared" si="13"/>
        <v>551.29260299999999</v>
      </c>
      <c r="E134" s="233">
        <f t="shared" si="13"/>
        <v>858.89832999999999</v>
      </c>
      <c r="F134" s="233">
        <f t="shared" si="13"/>
        <v>688.557997</v>
      </c>
      <c r="G134" s="233">
        <f t="shared" si="13"/>
        <v>465.63698499999998</v>
      </c>
      <c r="H134" s="233">
        <f t="shared" si="13"/>
        <v>292.49343099999999</v>
      </c>
      <c r="I134" s="233">
        <f t="shared" si="13"/>
        <v>78.576116999999996</v>
      </c>
      <c r="J134" s="233">
        <f t="shared" si="13"/>
        <v>109.57487399999999</v>
      </c>
      <c r="K134" s="233">
        <f t="shared" si="13"/>
        <v>166.15012899999999</v>
      </c>
      <c r="L134" s="233">
        <f t="shared" si="13"/>
        <v>261.97860300000002</v>
      </c>
      <c r="M134" s="233">
        <f t="shared" si="13"/>
        <v>477.92322799999999</v>
      </c>
      <c r="N134" s="233">
        <f t="shared" si="13"/>
        <v>379.26881700000001</v>
      </c>
      <c r="O134" s="233">
        <f t="shared" si="13"/>
        <v>740.99772700000005</v>
      </c>
    </row>
    <row r="135" spans="2:15">
      <c r="B135" s="232" t="s">
        <v>9</v>
      </c>
      <c r="C135" s="233">
        <f t="shared" si="13"/>
        <v>2418.3057220000001</v>
      </c>
      <c r="D135" s="233">
        <f t="shared" si="13"/>
        <v>2408.224995</v>
      </c>
      <c r="E135" s="233">
        <f t="shared" si="13"/>
        <v>2441.3647839999999</v>
      </c>
      <c r="F135" s="233">
        <f t="shared" si="13"/>
        <v>2361.2932569999998</v>
      </c>
      <c r="G135" s="233">
        <f t="shared" si="13"/>
        <v>2408.1177870000001</v>
      </c>
      <c r="H135" s="233">
        <f t="shared" si="13"/>
        <v>2520.0123990000002</v>
      </c>
      <c r="I135" s="233">
        <f t="shared" si="13"/>
        <v>2472.1034989999998</v>
      </c>
      <c r="J135" s="233">
        <f t="shared" si="13"/>
        <v>2529.9647150000001</v>
      </c>
      <c r="K135" s="233">
        <f t="shared" si="13"/>
        <v>2656.3842519999998</v>
      </c>
      <c r="L135" s="233">
        <f t="shared" si="13"/>
        <v>2391.1858710000001</v>
      </c>
      <c r="M135" s="233">
        <f t="shared" si="13"/>
        <v>2588.9622680000002</v>
      </c>
      <c r="N135" s="233">
        <f t="shared" si="13"/>
        <v>2488.363464</v>
      </c>
      <c r="O135" s="233">
        <f t="shared" si="13"/>
        <v>2544.1971939999999</v>
      </c>
    </row>
    <row r="136" spans="2:15">
      <c r="B136" s="232" t="s">
        <v>162</v>
      </c>
      <c r="C136" s="233">
        <f t="shared" si="13"/>
        <v>137.027331</v>
      </c>
      <c r="D136" s="233">
        <f t="shared" si="13"/>
        <v>175.41279499999999</v>
      </c>
      <c r="E136" s="233">
        <f t="shared" si="13"/>
        <v>199.57543200000001</v>
      </c>
      <c r="F136" s="233">
        <f t="shared" si="13"/>
        <v>194.65527349999999</v>
      </c>
      <c r="G136" s="233">
        <f t="shared" si="13"/>
        <v>189.02059499999999</v>
      </c>
      <c r="H136" s="233">
        <f t="shared" si="13"/>
        <v>201.64167599999999</v>
      </c>
      <c r="I136" s="233">
        <f t="shared" si="13"/>
        <v>191.94905</v>
      </c>
      <c r="J136" s="233">
        <f t="shared" si="13"/>
        <v>190.76081500000001</v>
      </c>
      <c r="K136" s="233">
        <f t="shared" si="13"/>
        <v>196.595054</v>
      </c>
      <c r="L136" s="233">
        <f t="shared" si="13"/>
        <v>180.749244</v>
      </c>
      <c r="M136" s="233">
        <f t="shared" si="13"/>
        <v>200.77886749999999</v>
      </c>
      <c r="N136" s="233">
        <f t="shared" si="13"/>
        <v>175.342614</v>
      </c>
      <c r="O136" s="233">
        <f t="shared" si="13"/>
        <v>154.68218999999999</v>
      </c>
    </row>
    <row r="137" spans="2:15">
      <c r="B137" s="232" t="s">
        <v>163</v>
      </c>
      <c r="C137" s="233">
        <f t="shared" si="13"/>
        <v>24.344857999999999</v>
      </c>
      <c r="D137" s="233">
        <f t="shared" si="13"/>
        <v>50.806421</v>
      </c>
      <c r="E137" s="233">
        <f t="shared" si="13"/>
        <v>64.813796999999994</v>
      </c>
      <c r="F137" s="233">
        <f t="shared" si="13"/>
        <v>65.755174499999995</v>
      </c>
      <c r="G137" s="233">
        <f t="shared" si="13"/>
        <v>64.739834999999999</v>
      </c>
      <c r="H137" s="233">
        <f t="shared" si="13"/>
        <v>66.706254000000001</v>
      </c>
      <c r="I137" s="233">
        <f t="shared" si="13"/>
        <v>61.593868999999998</v>
      </c>
      <c r="J137" s="233">
        <f t="shared" si="13"/>
        <v>69.912847999999997</v>
      </c>
      <c r="K137" s="233">
        <f t="shared" si="13"/>
        <v>63.503646000000003</v>
      </c>
      <c r="L137" s="233">
        <f t="shared" si="13"/>
        <v>61.891773000000001</v>
      </c>
      <c r="M137" s="233">
        <f t="shared" si="13"/>
        <v>67.359962499999995</v>
      </c>
      <c r="N137" s="233">
        <f t="shared" si="13"/>
        <v>64.179035999999996</v>
      </c>
      <c r="O137" s="233">
        <f t="shared" si="13"/>
        <v>36.450611000000002</v>
      </c>
    </row>
    <row r="138" spans="2:15">
      <c r="B138" s="232" t="s">
        <v>164</v>
      </c>
      <c r="C138" s="233">
        <f t="shared" si="13"/>
        <v>290.86737199999999</v>
      </c>
      <c r="D138" s="233">
        <f t="shared" si="13"/>
        <v>304.03843599999999</v>
      </c>
      <c r="E138" s="233">
        <f t="shared" si="13"/>
        <v>323.38476400000002</v>
      </c>
      <c r="F138" s="233">
        <f t="shared" si="13"/>
        <v>316.43947400000002</v>
      </c>
      <c r="G138" s="233">
        <f t="shared" si="13"/>
        <v>319.40942899999999</v>
      </c>
      <c r="H138" s="233">
        <f t="shared" si="13"/>
        <v>296.78028399999999</v>
      </c>
      <c r="I138" s="233">
        <f t="shared" si="13"/>
        <v>292.56805100000003</v>
      </c>
      <c r="J138" s="233">
        <f t="shared" si="13"/>
        <v>299.14763599999998</v>
      </c>
      <c r="K138" s="233">
        <f t="shared" si="13"/>
        <v>303.393978</v>
      </c>
      <c r="L138" s="233">
        <f t="shared" si="13"/>
        <v>284.70844699999998</v>
      </c>
      <c r="M138" s="233">
        <f t="shared" si="13"/>
        <v>309.30230799999998</v>
      </c>
      <c r="N138" s="233">
        <f t="shared" si="13"/>
        <v>273.97149899999999</v>
      </c>
      <c r="O138" s="233">
        <f t="shared" si="13"/>
        <v>282.06007699999998</v>
      </c>
    </row>
    <row r="139" spans="2:15">
      <c r="B139" s="232" t="s">
        <v>165</v>
      </c>
      <c r="C139" s="233">
        <f t="shared" si="13"/>
        <v>19018.097825000004</v>
      </c>
      <c r="D139" s="233">
        <f t="shared" si="13"/>
        <v>18660.07645</v>
      </c>
      <c r="E139" s="233">
        <f t="shared" si="13"/>
        <v>20507.541360000003</v>
      </c>
      <c r="F139" s="233">
        <f t="shared" si="13"/>
        <v>20959.071771999999</v>
      </c>
      <c r="G139" s="233">
        <f t="shared" si="13"/>
        <v>19770.507886000003</v>
      </c>
      <c r="H139" s="233">
        <f t="shared" si="13"/>
        <v>20912.256206000002</v>
      </c>
      <c r="I139" s="233">
        <f t="shared" si="13"/>
        <v>21146.266267999999</v>
      </c>
      <c r="J139" s="233">
        <f t="shared" si="13"/>
        <v>20571.739999000005</v>
      </c>
      <c r="K139" s="233">
        <f t="shared" si="13"/>
        <v>23445.308578000004</v>
      </c>
      <c r="L139" s="233">
        <f t="shared" si="13"/>
        <v>19567.156166000001</v>
      </c>
      <c r="M139" s="233">
        <f t="shared" si="13"/>
        <v>19785.960112999997</v>
      </c>
      <c r="N139" s="233">
        <f t="shared" si="13"/>
        <v>18749.884407000005</v>
      </c>
      <c r="O139" s="233">
        <f t="shared" si="13"/>
        <v>19505.540204000001</v>
      </c>
    </row>
    <row r="140" spans="2:15">
      <c r="B140" s="232" t="s">
        <v>166</v>
      </c>
      <c r="C140" s="233"/>
      <c r="D140" s="233"/>
      <c r="E140" s="233"/>
      <c r="F140" s="233"/>
      <c r="G140" s="233"/>
      <c r="H140" s="233"/>
      <c r="I140" s="233"/>
      <c r="J140" s="233"/>
      <c r="K140" s="233"/>
      <c r="L140" s="233"/>
      <c r="M140" s="233"/>
      <c r="N140" s="233"/>
      <c r="O140" s="233"/>
    </row>
    <row r="141" spans="2:15">
      <c r="B141" s="232" t="s">
        <v>167</v>
      </c>
      <c r="C141" s="233"/>
      <c r="D141" s="233"/>
      <c r="E141" s="233"/>
      <c r="F141" s="233"/>
      <c r="G141" s="233"/>
      <c r="H141" s="233"/>
      <c r="I141" s="233"/>
      <c r="J141" s="233"/>
      <c r="K141" s="233"/>
      <c r="L141" s="233"/>
      <c r="M141" s="233"/>
      <c r="N141" s="233"/>
      <c r="O141" s="233"/>
    </row>
    <row r="142" spans="2:15">
      <c r="B142" s="232" t="s">
        <v>168</v>
      </c>
      <c r="C142" s="233"/>
      <c r="D142" s="233"/>
      <c r="E142" s="233"/>
      <c r="F142" s="233"/>
      <c r="G142" s="233"/>
      <c r="H142" s="233"/>
      <c r="I142" s="233"/>
      <c r="J142" s="233"/>
      <c r="K142" s="233"/>
      <c r="L142" s="233"/>
      <c r="M142" s="233"/>
      <c r="N142" s="233"/>
      <c r="O142" s="233"/>
    </row>
    <row r="143" spans="2:15">
      <c r="B143" s="234" t="s">
        <v>169</v>
      </c>
      <c r="C143" s="235"/>
      <c r="D143" s="235"/>
      <c r="E143" s="235"/>
      <c r="F143" s="235"/>
      <c r="G143" s="235"/>
      <c r="H143" s="235"/>
      <c r="I143" s="235"/>
      <c r="J143" s="235"/>
      <c r="K143" s="235"/>
      <c r="L143" s="235"/>
      <c r="M143" s="235"/>
      <c r="N143" s="235"/>
      <c r="O143" s="235"/>
    </row>
    <row r="145" spans="2:15">
      <c r="B145" s="236" t="s">
        <v>17</v>
      </c>
      <c r="C145" s="237">
        <f>SUM(C126,C132:C134,C137:C138)</f>
        <v>8358.071005324</v>
      </c>
      <c r="D145" s="237">
        <f t="shared" ref="D145:N145" si="14">SUM(D126,D132:D134,D137:D138)</f>
        <v>7972.3468575839997</v>
      </c>
      <c r="E145" s="237">
        <f t="shared" si="14"/>
        <v>7643.4020825859998</v>
      </c>
      <c r="F145" s="237">
        <f t="shared" si="14"/>
        <v>7048.4979083919998</v>
      </c>
      <c r="G145" s="237">
        <f t="shared" si="14"/>
        <v>5866.8072597620012</v>
      </c>
      <c r="H145" s="237">
        <f t="shared" si="14"/>
        <v>6958.2765503279998</v>
      </c>
      <c r="I145" s="237">
        <f t="shared" si="14"/>
        <v>7473.2507658140003</v>
      </c>
      <c r="J145" s="237">
        <f t="shared" si="14"/>
        <v>7687.6296716440002</v>
      </c>
      <c r="K145" s="237">
        <f t="shared" si="14"/>
        <v>9111.0704192559988</v>
      </c>
      <c r="L145" s="237">
        <f t="shared" si="14"/>
        <v>7339.6074415720013</v>
      </c>
      <c r="M145" s="237">
        <f t="shared" si="14"/>
        <v>8578.2462204520016</v>
      </c>
      <c r="N145" s="237">
        <f t="shared" si="14"/>
        <v>7897.0252881879996</v>
      </c>
      <c r="O145" s="237">
        <f>SUM(O126,O132:O134,O137:O138)</f>
        <v>8462.6613717759992</v>
      </c>
    </row>
    <row r="146" spans="2:15">
      <c r="B146" s="234" t="s">
        <v>16</v>
      </c>
      <c r="C146" s="235">
        <f>SUM(C127:C131,C135:C136)</f>
        <v>10660.026819675999</v>
      </c>
      <c r="D146" s="235">
        <f t="shared" ref="D146:O146" si="15">SUM(D127:D131,D135:D136)</f>
        <v>10687.729592416001</v>
      </c>
      <c r="E146" s="235">
        <f t="shared" si="15"/>
        <v>12864.139277413999</v>
      </c>
      <c r="F146" s="235">
        <f t="shared" si="15"/>
        <v>13910.573863607999</v>
      </c>
      <c r="G146" s="235">
        <f t="shared" si="15"/>
        <v>13903.700626238</v>
      </c>
      <c r="H146" s="235">
        <f t="shared" si="15"/>
        <v>13953.979655671999</v>
      </c>
      <c r="I146" s="235">
        <f t="shared" si="15"/>
        <v>13673.015502186001</v>
      </c>
      <c r="J146" s="235">
        <f t="shared" si="15"/>
        <v>12884.110327356</v>
      </c>
      <c r="K146" s="235">
        <f t="shared" si="15"/>
        <v>14334.238158743998</v>
      </c>
      <c r="L146" s="235">
        <f t="shared" si="15"/>
        <v>12227.548724428001</v>
      </c>
      <c r="M146" s="235">
        <f t="shared" si="15"/>
        <v>11207.713892547998</v>
      </c>
      <c r="N146" s="235">
        <f t="shared" si="15"/>
        <v>10852.859118812001</v>
      </c>
      <c r="O146" s="235">
        <f t="shared" si="15"/>
        <v>11042.878832224</v>
      </c>
    </row>
    <row r="148" spans="2:15">
      <c r="B148" s="236" t="s">
        <v>17</v>
      </c>
      <c r="C148" s="238">
        <f t="shared" ref="C148:N148" si="16">SUM(ROUND(C126/SUM(C145:C146)*100,1),ROUND(C132/SUM(C145:C146)*100,1),ROUND(C133/SUM(C145:C146)*100,1),ROUND(C134/SUM(C145:C146)*100,1),ROUND(C137/SUM(C145:C146)*100,1),ROUND(C138/SUM(C145:C146)*100,1))</f>
        <v>43.900000000000006</v>
      </c>
      <c r="D148" s="238">
        <f t="shared" si="16"/>
        <v>42.800000000000004</v>
      </c>
      <c r="E148" s="238">
        <f t="shared" si="16"/>
        <v>37.299999999999997</v>
      </c>
      <c r="F148" s="238">
        <f t="shared" si="16"/>
        <v>33.6</v>
      </c>
      <c r="G148" s="238">
        <f t="shared" si="16"/>
        <v>29.7</v>
      </c>
      <c r="H148" s="238">
        <f t="shared" si="16"/>
        <v>33.200000000000003</v>
      </c>
      <c r="I148" s="238">
        <f t="shared" si="16"/>
        <v>35.399999999999991</v>
      </c>
      <c r="J148" s="238">
        <f t="shared" si="16"/>
        <v>37.4</v>
      </c>
      <c r="K148" s="238">
        <f t="shared" si="16"/>
        <v>39</v>
      </c>
      <c r="L148" s="238">
        <f t="shared" si="16"/>
        <v>37.499999999999993</v>
      </c>
      <c r="M148" s="238">
        <f t="shared" si="16"/>
        <v>43.4</v>
      </c>
      <c r="N148" s="238">
        <f t="shared" si="16"/>
        <v>42.099999999999994</v>
      </c>
      <c r="O148" s="238">
        <f>SUM(ROUND(O126/SUM(O145:O146)*100,1),ROUND(O132/SUM(O145:O146)*100,1),ROUND(O133/SUM(O145:O146)*100,1),ROUND(O134/SUM(O145:O146)*100,1),ROUND(O137/SUM(O145:O146)*100,1),ROUND(O138/SUM(O145:O146)*100,1))</f>
        <v>43.4</v>
      </c>
    </row>
    <row r="149" spans="2:15">
      <c r="B149" s="234" t="s">
        <v>16</v>
      </c>
      <c r="C149" s="239">
        <f t="shared" ref="C149:N149" si="17">100-C148</f>
        <v>56.099999999999994</v>
      </c>
      <c r="D149" s="239">
        <f t="shared" si="17"/>
        <v>57.199999999999996</v>
      </c>
      <c r="E149" s="239">
        <f t="shared" si="17"/>
        <v>62.7</v>
      </c>
      <c r="F149" s="239">
        <f t="shared" si="17"/>
        <v>66.400000000000006</v>
      </c>
      <c r="G149" s="239">
        <f t="shared" si="17"/>
        <v>70.3</v>
      </c>
      <c r="H149" s="239">
        <f t="shared" si="17"/>
        <v>66.8</v>
      </c>
      <c r="I149" s="239">
        <f t="shared" si="17"/>
        <v>64.600000000000009</v>
      </c>
      <c r="J149" s="239">
        <f t="shared" si="17"/>
        <v>62.6</v>
      </c>
      <c r="K149" s="239">
        <f t="shared" si="17"/>
        <v>61</v>
      </c>
      <c r="L149" s="239">
        <f t="shared" si="17"/>
        <v>62.500000000000007</v>
      </c>
      <c r="M149" s="239">
        <f t="shared" si="17"/>
        <v>56.6</v>
      </c>
      <c r="N149" s="239">
        <f t="shared" si="17"/>
        <v>57.900000000000006</v>
      </c>
      <c r="O149" s="239">
        <f>100-O148</f>
        <v>56.6</v>
      </c>
    </row>
    <row r="153" spans="2:15">
      <c r="B153" s="157" t="s">
        <v>24</v>
      </c>
    </row>
    <row r="154" spans="2:15">
      <c r="B154" s="236"/>
      <c r="C154" s="236"/>
      <c r="D154" s="315" t="s">
        <v>22</v>
      </c>
      <c r="E154" s="315" t="s">
        <v>23</v>
      </c>
    </row>
    <row r="155" spans="2:15">
      <c r="B155" s="234" t="s">
        <v>174</v>
      </c>
      <c r="C155" s="234" t="s">
        <v>175</v>
      </c>
      <c r="D155" s="316"/>
      <c r="E155" s="316"/>
    </row>
    <row r="156" spans="2:15">
      <c r="B156" s="243">
        <f>DATE(YEAR(Dat_01!B$2),MONTH(Dat_01!B$2),Dat_01!A180)</f>
        <v>43586</v>
      </c>
      <c r="C156" s="232">
        <f>Dat_01!A180</f>
        <v>1</v>
      </c>
      <c r="D156" s="244">
        <f>Dat_01!W180</f>
        <v>113.443163</v>
      </c>
      <c r="E156" s="245">
        <f>Dat_01!V180</f>
        <v>20.382038220908459</v>
      </c>
    </row>
    <row r="157" spans="2:15">
      <c r="B157" s="243">
        <f>DATE(YEAR(Dat_01!B$2),MONTH(Dat_01!B$2),Dat_01!A181)</f>
        <v>43587</v>
      </c>
      <c r="C157" s="232">
        <f>Dat_01!A181</f>
        <v>2</v>
      </c>
      <c r="D157" s="244">
        <f>Dat_01!W181</f>
        <v>194.80897399999998</v>
      </c>
      <c r="E157" s="245">
        <f>Dat_01!V181</f>
        <v>30.184329205684758</v>
      </c>
    </row>
    <row r="158" spans="2:15">
      <c r="B158" s="243">
        <f>DATE(YEAR(Dat_01!B$2),MONTH(Dat_01!B$2),Dat_01!A182)</f>
        <v>43588</v>
      </c>
      <c r="C158" s="232">
        <f>Dat_01!A182</f>
        <v>3</v>
      </c>
      <c r="D158" s="244">
        <f>Dat_01!W182</f>
        <v>165.68459899999999</v>
      </c>
      <c r="E158" s="245">
        <f>Dat_01!V182</f>
        <v>25.675950337005236</v>
      </c>
    </row>
    <row r="159" spans="2:15">
      <c r="B159" s="243">
        <f>DATE(YEAR(Dat_01!B$2),MONTH(Dat_01!B$2),Dat_01!A183)</f>
        <v>43589</v>
      </c>
      <c r="C159" s="232">
        <f>Dat_01!A183</f>
        <v>4</v>
      </c>
      <c r="D159" s="244">
        <f>Dat_01!W183</f>
        <v>157.027287</v>
      </c>
      <c r="E159" s="245">
        <f>Dat_01!V183</f>
        <v>26.034709614288644</v>
      </c>
    </row>
    <row r="160" spans="2:15">
      <c r="B160" s="243">
        <f>DATE(YEAR(Dat_01!B$2),MONTH(Dat_01!B$2),Dat_01!A184)</f>
        <v>43590</v>
      </c>
      <c r="C160" s="232">
        <f>Dat_01!A184</f>
        <v>5</v>
      </c>
      <c r="D160" s="244">
        <f>Dat_01!W184</f>
        <v>178.43835799999999</v>
      </c>
      <c r="E160" s="245">
        <f>Dat_01!V184</f>
        <v>30.2061875493408</v>
      </c>
    </row>
    <row r="161" spans="2:5">
      <c r="B161" s="243">
        <f>DATE(YEAR(Dat_01!B$2),MONTH(Dat_01!B$2),Dat_01!A185)</f>
        <v>43591</v>
      </c>
      <c r="C161" s="232">
        <f>Dat_01!A185</f>
        <v>6</v>
      </c>
      <c r="D161" s="244">
        <f>Dat_01!W185</f>
        <v>58.183091999999995</v>
      </c>
      <c r="E161" s="245">
        <f>Dat_01!V185</f>
        <v>9.6164662863898478</v>
      </c>
    </row>
    <row r="162" spans="2:5">
      <c r="B162" s="243">
        <f>DATE(YEAR(Dat_01!B$2),MONTH(Dat_01!B$2),Dat_01!A186)</f>
        <v>43592</v>
      </c>
      <c r="C162" s="232">
        <f>Dat_01!A186</f>
        <v>7</v>
      </c>
      <c r="D162" s="244">
        <f>Dat_01!W186</f>
        <v>142.62562899999998</v>
      </c>
      <c r="E162" s="245">
        <f>Dat_01!V186</f>
        <v>21.659356656542052</v>
      </c>
    </row>
    <row r="163" spans="2:5">
      <c r="B163" s="243">
        <f>DATE(YEAR(Dat_01!B$2),MONTH(Dat_01!B$2),Dat_01!A187)</f>
        <v>43593</v>
      </c>
      <c r="C163" s="232">
        <f>Dat_01!A187</f>
        <v>8</v>
      </c>
      <c r="D163" s="244">
        <f>Dat_01!W187</f>
        <v>314.32241700000003</v>
      </c>
      <c r="E163" s="245">
        <f>Dat_01!V187</f>
        <v>45.013506418424548</v>
      </c>
    </row>
    <row r="164" spans="2:5">
      <c r="B164" s="243">
        <f>DATE(YEAR(Dat_01!B$2),MONTH(Dat_01!B$2),Dat_01!A188)</f>
        <v>43594</v>
      </c>
      <c r="C164" s="232">
        <f>Dat_01!A188</f>
        <v>9</v>
      </c>
      <c r="D164" s="244">
        <f>Dat_01!W188</f>
        <v>233.54394699999997</v>
      </c>
      <c r="E164" s="245">
        <f>Dat_01!V188</f>
        <v>34.690896914312162</v>
      </c>
    </row>
    <row r="165" spans="2:5">
      <c r="B165" s="243">
        <f>DATE(YEAR(Dat_01!B$2),MONTH(Dat_01!B$2),Dat_01!A189)</f>
        <v>43595</v>
      </c>
      <c r="C165" s="232">
        <f>Dat_01!A189</f>
        <v>10</v>
      </c>
      <c r="D165" s="244">
        <f>Dat_01!W189</f>
        <v>190.27820300000002</v>
      </c>
      <c r="E165" s="245">
        <f>Dat_01!V189</f>
        <v>29.034819365485149</v>
      </c>
    </row>
    <row r="166" spans="2:5">
      <c r="B166" s="243">
        <f>DATE(YEAR(Dat_01!B$2),MONTH(Dat_01!B$2),Dat_01!A190)</f>
        <v>43596</v>
      </c>
      <c r="C166" s="232">
        <f>Dat_01!A190</f>
        <v>11</v>
      </c>
      <c r="D166" s="244">
        <f>Dat_01!W190</f>
        <v>129.23978</v>
      </c>
      <c r="E166" s="245">
        <f>Dat_01!V190</f>
        <v>21.600343674019641</v>
      </c>
    </row>
    <row r="167" spans="2:5">
      <c r="B167" s="243">
        <f>DATE(YEAR(Dat_01!B$2),MONTH(Dat_01!B$2),Dat_01!A191)</f>
        <v>43597</v>
      </c>
      <c r="C167" s="232">
        <f>Dat_01!A191</f>
        <v>12</v>
      </c>
      <c r="D167" s="244">
        <f>Dat_01!W191</f>
        <v>191.58437000000001</v>
      </c>
      <c r="E167" s="245">
        <f>Dat_01!V191</f>
        <v>32.66793572967098</v>
      </c>
    </row>
    <row r="168" spans="2:5">
      <c r="B168" s="243">
        <f>DATE(YEAR(Dat_01!B$2),MONTH(Dat_01!B$2),Dat_01!A192)</f>
        <v>43598</v>
      </c>
      <c r="C168" s="232">
        <f>Dat_01!A192</f>
        <v>13</v>
      </c>
      <c r="D168" s="244">
        <f>Dat_01!W192</f>
        <v>186.90063500000002</v>
      </c>
      <c r="E168" s="245">
        <f>Dat_01!V192</f>
        <v>28.586342778130497</v>
      </c>
    </row>
    <row r="169" spans="2:5">
      <c r="B169" s="243">
        <f>DATE(YEAR(Dat_01!B$2),MONTH(Dat_01!B$2),Dat_01!A193)</f>
        <v>43599</v>
      </c>
      <c r="C169" s="232">
        <f>Dat_01!A193</f>
        <v>14</v>
      </c>
      <c r="D169" s="244">
        <f>Dat_01!W193</f>
        <v>104.148995</v>
      </c>
      <c r="E169" s="245">
        <f>Dat_01!V193</f>
        <v>16.562837980473979</v>
      </c>
    </row>
    <row r="170" spans="2:5">
      <c r="B170" s="243">
        <f>DATE(YEAR(Dat_01!B$2),MONTH(Dat_01!B$2),Dat_01!A194)</f>
        <v>43600</v>
      </c>
      <c r="C170" s="232">
        <f>Dat_01!A194</f>
        <v>15</v>
      </c>
      <c r="D170" s="244">
        <f>Dat_01!W194</f>
        <v>93.727097999999998</v>
      </c>
      <c r="E170" s="245">
        <f>Dat_01!V194</f>
        <v>14.973213899353762</v>
      </c>
    </row>
    <row r="171" spans="2:5">
      <c r="B171" s="243">
        <f>DATE(YEAR(Dat_01!B$2),MONTH(Dat_01!B$2),Dat_01!A195)</f>
        <v>43601</v>
      </c>
      <c r="C171" s="232">
        <f>Dat_01!A195</f>
        <v>16</v>
      </c>
      <c r="D171" s="244">
        <f>Dat_01!W195</f>
        <v>133.972037</v>
      </c>
      <c r="E171" s="245">
        <f>Dat_01!V195</f>
        <v>21.236344367952853</v>
      </c>
    </row>
    <row r="172" spans="2:5">
      <c r="B172" s="243">
        <f>DATE(YEAR(Dat_01!B$2),MONTH(Dat_01!B$2),Dat_01!A196)</f>
        <v>43602</v>
      </c>
      <c r="C172" s="232">
        <f>Dat_01!A196</f>
        <v>17</v>
      </c>
      <c r="D172" s="244">
        <f>Dat_01!W196</f>
        <v>286.71830299999999</v>
      </c>
      <c r="E172" s="245">
        <f>Dat_01!V196</f>
        <v>40.942334560956155</v>
      </c>
    </row>
    <row r="173" spans="2:5">
      <c r="B173" s="243">
        <f>DATE(YEAR(Dat_01!B$2),MONTH(Dat_01!B$2),Dat_01!A197)</f>
        <v>43603</v>
      </c>
      <c r="C173" s="232">
        <f>Dat_01!A197</f>
        <v>18</v>
      </c>
      <c r="D173" s="244">
        <f>Dat_01!W197</f>
        <v>148.617862</v>
      </c>
      <c r="E173" s="245">
        <f>Dat_01!V197</f>
        <v>24.945716688329679</v>
      </c>
    </row>
    <row r="174" spans="2:5">
      <c r="B174" s="243">
        <f>DATE(YEAR(Dat_01!B$2),MONTH(Dat_01!B$2),Dat_01!A198)</f>
        <v>43604</v>
      </c>
      <c r="C174" s="232">
        <f>Dat_01!A198</f>
        <v>19</v>
      </c>
      <c r="D174" s="244">
        <f>Dat_01!W198</f>
        <v>130.259153</v>
      </c>
      <c r="E174" s="245">
        <f>Dat_01!V198</f>
        <v>22.261123424725177</v>
      </c>
    </row>
    <row r="175" spans="2:5">
      <c r="B175" s="243">
        <f>DATE(YEAR(Dat_01!B$2),MONTH(Dat_01!B$2),Dat_01!A199)</f>
        <v>43605</v>
      </c>
      <c r="C175" s="232">
        <f>Dat_01!A199</f>
        <v>20</v>
      </c>
      <c r="D175" s="244">
        <f>Dat_01!W199</f>
        <v>67.222451000000007</v>
      </c>
      <c r="E175" s="245">
        <f>Dat_01!V199</f>
        <v>11.088587937975275</v>
      </c>
    </row>
    <row r="176" spans="2:5">
      <c r="B176" s="243">
        <f>DATE(YEAR(Dat_01!B$2),MONTH(Dat_01!B$2),Dat_01!A200)</f>
        <v>43606</v>
      </c>
      <c r="C176" s="232">
        <f>Dat_01!A200</f>
        <v>21</v>
      </c>
      <c r="D176" s="244">
        <f>Dat_01!W200</f>
        <v>50.458046000000003</v>
      </c>
      <c r="E176" s="245">
        <f>Dat_01!V200</f>
        <v>8.4383592699175285</v>
      </c>
    </row>
    <row r="177" spans="2:27">
      <c r="B177" s="243">
        <f>DATE(YEAR(Dat_01!B$2),MONTH(Dat_01!B$2),Dat_01!A201)</f>
        <v>43607</v>
      </c>
      <c r="C177" s="232">
        <f>Dat_01!A201</f>
        <v>22</v>
      </c>
      <c r="D177" s="244">
        <f>Dat_01!W201</f>
        <v>41.479620000000004</v>
      </c>
      <c r="E177" s="245">
        <f>Dat_01!V201</f>
        <v>6.7554023054653429</v>
      </c>
    </row>
    <row r="178" spans="2:27">
      <c r="B178" s="243">
        <f>DATE(YEAR(Dat_01!B$2),MONTH(Dat_01!B$2),Dat_01!A202)</f>
        <v>43608</v>
      </c>
      <c r="C178" s="232">
        <f>Dat_01!A202</f>
        <v>23</v>
      </c>
      <c r="D178" s="244">
        <f>Dat_01!W202</f>
        <v>59.658253999999999</v>
      </c>
      <c r="E178" s="245">
        <f>Dat_01!V202</f>
        <v>9.797542813394827</v>
      </c>
    </row>
    <row r="179" spans="2:27">
      <c r="B179" s="243">
        <f>DATE(YEAR(Dat_01!B$2),MONTH(Dat_01!B$2),Dat_01!A203)</f>
        <v>43609</v>
      </c>
      <c r="C179" s="232">
        <f>Dat_01!A203</f>
        <v>24</v>
      </c>
      <c r="D179" s="244">
        <f>Dat_01!W203</f>
        <v>170.46426</v>
      </c>
      <c r="E179" s="245">
        <f>Dat_01!V203</f>
        <v>26.270435508197281</v>
      </c>
    </row>
    <row r="180" spans="2:27">
      <c r="B180" s="243">
        <f>DATE(YEAR(Dat_01!B$2),MONTH(Dat_01!B$2),Dat_01!A204)</f>
        <v>43610</v>
      </c>
      <c r="C180" s="232">
        <f>Dat_01!A204</f>
        <v>25</v>
      </c>
      <c r="D180" s="244">
        <f>Dat_01!W204</f>
        <v>177.05541399999998</v>
      </c>
      <c r="E180" s="245">
        <f>Dat_01!V204</f>
        <v>28.711185255684729</v>
      </c>
    </row>
    <row r="181" spans="2:27">
      <c r="B181" s="243">
        <f>DATE(YEAR(Dat_01!B$2),MONTH(Dat_01!B$2),Dat_01!A205)</f>
        <v>43611</v>
      </c>
      <c r="C181" s="232">
        <f>Dat_01!A205</f>
        <v>26</v>
      </c>
      <c r="D181" s="244">
        <f>Dat_01!W205</f>
        <v>147.45237299999999</v>
      </c>
      <c r="E181" s="245">
        <f>Dat_01!V205</f>
        <v>25.334188825369321</v>
      </c>
    </row>
    <row r="182" spans="2:27">
      <c r="B182" s="243">
        <f>DATE(YEAR(Dat_01!B$2),MONTH(Dat_01!B$2),Dat_01!A206)</f>
        <v>43612</v>
      </c>
      <c r="C182" s="232">
        <f>Dat_01!A206</f>
        <v>27</v>
      </c>
      <c r="D182" s="244">
        <f>Dat_01!W206</f>
        <v>136.96283300000002</v>
      </c>
      <c r="E182" s="245">
        <f>Dat_01!V206</f>
        <v>21.298870373487421</v>
      </c>
    </row>
    <row r="183" spans="2:27">
      <c r="B183" s="243">
        <f>DATE(YEAR(Dat_01!B$2),MONTH(Dat_01!B$2),Dat_01!A207)</f>
        <v>43613</v>
      </c>
      <c r="C183" s="232">
        <f>Dat_01!A207</f>
        <v>28</v>
      </c>
      <c r="D183" s="244">
        <f>Dat_01!W207</f>
        <v>193.76041800000002</v>
      </c>
      <c r="E183" s="245">
        <f>Dat_01!V207</f>
        <v>28.336637166140228</v>
      </c>
    </row>
    <row r="184" spans="2:27">
      <c r="B184" s="243">
        <f>DATE(YEAR(Dat_01!B$2),MONTH(Dat_01!B$2),Dat_01!A208)</f>
        <v>43614</v>
      </c>
      <c r="C184" s="232">
        <f>Dat_01!A208</f>
        <v>29</v>
      </c>
      <c r="D184" s="244">
        <f>Dat_01!W208</f>
        <v>183.587085</v>
      </c>
      <c r="E184" s="245">
        <f>Dat_01!V208</f>
        <v>27.075678327191749</v>
      </c>
    </row>
    <row r="185" spans="2:27">
      <c r="B185" s="243">
        <f>DATE(YEAR(Dat_01!B$2),MONTH(Dat_01!B$2),Dat_01!A209)</f>
        <v>43615</v>
      </c>
      <c r="C185" s="232">
        <f>Dat_01!A209</f>
        <v>30</v>
      </c>
      <c r="D185" s="244">
        <f>Dat_01!W209</f>
        <v>112.74162099999999</v>
      </c>
      <c r="E185" s="245">
        <f>Dat_01!V209</f>
        <v>17.427608588130301</v>
      </c>
    </row>
    <row r="186" spans="2:27">
      <c r="B186" s="280">
        <f>DATE(YEAR(Dat_01!B$2),MONTH(Dat_01!B$2),Dat_01!A210)</f>
        <v>43616</v>
      </c>
      <c r="C186" s="281">
        <f>Dat_01!A210</f>
        <v>31</v>
      </c>
      <c r="D186" s="282">
        <f>Dat_01!W210</f>
        <v>86.230600999999993</v>
      </c>
      <c r="E186" s="283">
        <f>Dat_01!V210</f>
        <v>13.430183349055449</v>
      </c>
    </row>
    <row r="187" spans="2:27">
      <c r="B187" s="246"/>
      <c r="C187" s="232"/>
      <c r="D187" s="244"/>
      <c r="E187" s="244"/>
    </row>
    <row r="188" spans="2:27">
      <c r="B188" s="232"/>
      <c r="C188" s="232"/>
      <c r="D188" s="232"/>
      <c r="E188" s="232"/>
    </row>
    <row r="189" spans="2:27">
      <c r="B189" s="234" t="s">
        <v>176</v>
      </c>
      <c r="C189" s="234"/>
      <c r="D189" s="247">
        <f>MAX(D156:D186)</f>
        <v>314.32241700000003</v>
      </c>
      <c r="E189" s="248">
        <f>VLOOKUP(D189,D156:E186,2)</f>
        <v>13.430183349055449</v>
      </c>
    </row>
    <row r="191" spans="2:27">
      <c r="B191" s="157" t="s">
        <v>177</v>
      </c>
    </row>
    <row r="192" spans="2:27">
      <c r="B192" s="249"/>
      <c r="C192" s="250">
        <v>1</v>
      </c>
      <c r="D192" s="250">
        <v>2</v>
      </c>
      <c r="E192" s="250">
        <v>3</v>
      </c>
      <c r="F192" s="250">
        <v>4</v>
      </c>
      <c r="G192" s="250">
        <v>5</v>
      </c>
      <c r="H192" s="250">
        <v>6</v>
      </c>
      <c r="I192" s="250">
        <v>7</v>
      </c>
      <c r="J192" s="250">
        <v>8</v>
      </c>
      <c r="K192" s="250">
        <v>9</v>
      </c>
      <c r="L192" s="250">
        <v>10</v>
      </c>
      <c r="M192" s="250">
        <v>11</v>
      </c>
      <c r="N192" s="250">
        <v>12</v>
      </c>
      <c r="O192" s="250">
        <v>13</v>
      </c>
      <c r="P192" s="250">
        <v>14</v>
      </c>
      <c r="Q192" s="250">
        <v>15</v>
      </c>
      <c r="R192" s="250">
        <v>16</v>
      </c>
      <c r="S192" s="250">
        <v>17</v>
      </c>
      <c r="T192" s="250">
        <v>18</v>
      </c>
      <c r="U192" s="250">
        <v>19</v>
      </c>
      <c r="V192" s="250">
        <v>20</v>
      </c>
      <c r="W192" s="250">
        <v>21</v>
      </c>
      <c r="X192" s="250">
        <v>22</v>
      </c>
      <c r="Y192" s="250">
        <v>23</v>
      </c>
      <c r="Z192" s="250">
        <v>24</v>
      </c>
      <c r="AA192" s="251" t="s">
        <v>15</v>
      </c>
    </row>
    <row r="193" spans="2:27">
      <c r="B193" s="232" t="s">
        <v>5</v>
      </c>
      <c r="C193" s="233">
        <v>9.1643000000000008</v>
      </c>
      <c r="D193" s="233">
        <v>8.7952999999999992</v>
      </c>
      <c r="E193" s="233">
        <v>8.8308</v>
      </c>
      <c r="F193" s="233">
        <v>8.5412999999999997</v>
      </c>
      <c r="G193" s="233">
        <v>8.3774999999999995</v>
      </c>
      <c r="H193" s="233">
        <v>8.2622</v>
      </c>
      <c r="I193" s="233">
        <v>8.3582999999999998</v>
      </c>
      <c r="J193" s="233">
        <v>8.2825000000000006</v>
      </c>
      <c r="K193" s="233">
        <v>7.7236000000000002</v>
      </c>
      <c r="L193" s="233">
        <v>7.4927000000000001</v>
      </c>
      <c r="M193" s="233">
        <v>7.0507</v>
      </c>
      <c r="N193" s="233">
        <v>6.7298999999999998</v>
      </c>
      <c r="O193" s="233">
        <v>5.7401</v>
      </c>
      <c r="P193" s="233">
        <v>5.3799000000000001</v>
      </c>
      <c r="Q193" s="233">
        <v>4.9191000000000003</v>
      </c>
      <c r="R193" s="233">
        <v>5.3954000000000004</v>
      </c>
      <c r="S193" s="233">
        <v>5.3757000000000001</v>
      </c>
      <c r="T193" s="233">
        <v>5.6306000000000003</v>
      </c>
      <c r="U193" s="233">
        <v>5.8331</v>
      </c>
      <c r="V193" s="233">
        <v>6.3666999999999998</v>
      </c>
      <c r="W193" s="233">
        <v>6.7653999999999996</v>
      </c>
      <c r="X193" s="233">
        <v>6.9931999999999999</v>
      </c>
      <c r="Y193" s="233">
        <v>7.2034000000000002</v>
      </c>
      <c r="Z193" s="233">
        <v>7.3064</v>
      </c>
      <c r="AA193" s="233">
        <f>SUM(C193:Z193)</f>
        <v>170.5181</v>
      </c>
    </row>
    <row r="194" spans="2:27">
      <c r="B194" s="232" t="s">
        <v>10</v>
      </c>
      <c r="C194" s="233">
        <v>25.1279</v>
      </c>
      <c r="D194" s="233">
        <v>24.4297</v>
      </c>
      <c r="E194" s="233">
        <v>23.810600000000001</v>
      </c>
      <c r="F194" s="233">
        <v>23.1861</v>
      </c>
      <c r="G194" s="233">
        <v>22.812899999999999</v>
      </c>
      <c r="H194" s="233">
        <v>22.671399999999998</v>
      </c>
      <c r="I194" s="233">
        <v>22.881699999999999</v>
      </c>
      <c r="J194" s="233">
        <v>22.9634</v>
      </c>
      <c r="K194" s="233">
        <v>23.478000000000002</v>
      </c>
      <c r="L194" s="233">
        <v>24.83</v>
      </c>
      <c r="M194" s="233">
        <v>25.264600000000002</v>
      </c>
      <c r="N194" s="233">
        <v>26.226400000000002</v>
      </c>
      <c r="O194" s="233">
        <v>26.419699999999999</v>
      </c>
      <c r="P194" s="233">
        <v>26.6785</v>
      </c>
      <c r="Q194" s="233">
        <v>26.776900000000001</v>
      </c>
      <c r="R194" s="233">
        <v>26.777999999999999</v>
      </c>
      <c r="S194" s="233">
        <v>26.0596</v>
      </c>
      <c r="T194" s="233">
        <v>25.779599999999999</v>
      </c>
      <c r="U194" s="233">
        <v>26.1708</v>
      </c>
      <c r="V194" s="233">
        <v>27.240100000000002</v>
      </c>
      <c r="W194" s="233">
        <v>27.512499999999999</v>
      </c>
      <c r="X194" s="233">
        <v>27.726400000000002</v>
      </c>
      <c r="Y194" s="233">
        <v>27.232600000000001</v>
      </c>
      <c r="Z194" s="233">
        <v>25.386600000000001</v>
      </c>
      <c r="AA194" s="233">
        <f>SUM(C194:Z194)</f>
        <v>607.44400000000019</v>
      </c>
    </row>
    <row r="195" spans="2:27">
      <c r="B195" s="232"/>
      <c r="C195" s="232"/>
      <c r="D195" s="232"/>
      <c r="E195" s="232"/>
      <c r="F195" s="232"/>
      <c r="G195" s="232"/>
      <c r="H195" s="232"/>
      <c r="I195" s="232"/>
      <c r="J195" s="232"/>
      <c r="K195" s="232"/>
      <c r="L195" s="232"/>
      <c r="M195" s="232"/>
      <c r="N195" s="232"/>
      <c r="O195" s="232"/>
      <c r="P195" s="232"/>
      <c r="Q195" s="232"/>
      <c r="R195" s="232"/>
      <c r="S195" s="232"/>
      <c r="T195" s="232"/>
      <c r="U195" s="232"/>
      <c r="V195" s="232"/>
      <c r="W195" s="232"/>
      <c r="X195" s="232"/>
      <c r="Y195" s="232"/>
      <c r="Z195" s="232"/>
      <c r="AA195" s="232"/>
    </row>
    <row r="196" spans="2:27">
      <c r="B196" s="232"/>
      <c r="C196" s="232"/>
      <c r="D196" s="232"/>
      <c r="E196" s="232"/>
      <c r="F196" s="232"/>
      <c r="G196" s="232"/>
      <c r="H196" s="232"/>
      <c r="I196" s="232"/>
      <c r="J196" s="232"/>
      <c r="K196" s="232"/>
      <c r="L196" s="232"/>
      <c r="M196" s="232"/>
      <c r="N196" s="232"/>
      <c r="O196" s="232"/>
      <c r="P196" s="232"/>
      <c r="Q196" s="232"/>
      <c r="R196" s="232"/>
      <c r="S196" s="232"/>
      <c r="T196" s="232"/>
      <c r="U196" s="232"/>
      <c r="V196" s="232"/>
      <c r="W196" s="232"/>
      <c r="X196" s="232"/>
      <c r="Y196" s="232"/>
      <c r="Z196" s="232"/>
      <c r="AA196" s="232"/>
    </row>
    <row r="197" spans="2:27">
      <c r="B197" s="234" t="s">
        <v>153</v>
      </c>
      <c r="C197" s="252">
        <f>C193/C194*100</f>
        <v>36.470616326871728</v>
      </c>
      <c r="D197" s="252">
        <f t="shared" ref="D197:AA197" si="18">D193/D194*100</f>
        <v>36.002488773910443</v>
      </c>
      <c r="E197" s="252">
        <f t="shared" si="18"/>
        <v>37.087683636699623</v>
      </c>
      <c r="F197" s="252">
        <f t="shared" si="18"/>
        <v>36.838019330547176</v>
      </c>
      <c r="G197" s="252">
        <f t="shared" si="18"/>
        <v>36.722643767342163</v>
      </c>
      <c r="H197" s="252">
        <f t="shared" si="18"/>
        <v>36.443272140229546</v>
      </c>
      <c r="I197" s="252">
        <f t="shared" si="18"/>
        <v>36.528317389005188</v>
      </c>
      <c r="J197" s="252">
        <f t="shared" si="18"/>
        <v>36.068265152372909</v>
      </c>
      <c r="K197" s="252">
        <f t="shared" si="18"/>
        <v>32.897180339040801</v>
      </c>
      <c r="L197" s="252">
        <f t="shared" si="18"/>
        <v>30.175996778091026</v>
      </c>
      <c r="M197" s="252">
        <f t="shared" si="18"/>
        <v>27.90742778433064</v>
      </c>
      <c r="N197" s="252">
        <f t="shared" si="18"/>
        <v>25.660784552969524</v>
      </c>
      <c r="O197" s="252">
        <f t="shared" si="18"/>
        <v>21.726590385204979</v>
      </c>
      <c r="P197" s="252">
        <f t="shared" si="18"/>
        <v>20.165676481061528</v>
      </c>
      <c r="Q197" s="252">
        <f t="shared" si="18"/>
        <v>18.370685180136611</v>
      </c>
      <c r="R197" s="252">
        <f t="shared" si="18"/>
        <v>20.148629471954592</v>
      </c>
      <c r="S197" s="252">
        <f t="shared" si="18"/>
        <v>20.62848240187877</v>
      </c>
      <c r="T197" s="252">
        <f t="shared" si="18"/>
        <v>21.841300873558943</v>
      </c>
      <c r="U197" s="252">
        <f t="shared" si="18"/>
        <v>22.288581166796583</v>
      </c>
      <c r="V197" s="252">
        <f t="shared" si="18"/>
        <v>23.372528000998528</v>
      </c>
      <c r="W197" s="252">
        <f t="shared" si="18"/>
        <v>24.590277146751475</v>
      </c>
      <c r="X197" s="252">
        <f t="shared" si="18"/>
        <v>25.222170927347221</v>
      </c>
      <c r="Y197" s="252">
        <f t="shared" si="18"/>
        <v>26.451385471824214</v>
      </c>
      <c r="Z197" s="252">
        <f t="shared" si="18"/>
        <v>28.780537764017232</v>
      </c>
      <c r="AA197" s="252">
        <f t="shared" si="18"/>
        <v>28.071410697940873</v>
      </c>
    </row>
  </sheetData>
  <mergeCells count="2">
    <mergeCell ref="D154:D155"/>
    <mergeCell ref="E154:E155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8"/>
  <dimension ref="A1:G1209"/>
  <sheetViews>
    <sheetView workbookViewId="0">
      <selection activeCell="B3" sqref="B3"/>
    </sheetView>
  </sheetViews>
  <sheetFormatPr baseColWidth="10" defaultRowHeight="12.75"/>
  <cols>
    <col min="2" max="2" width="14.7109375" customWidth="1"/>
    <col min="3" max="5" width="17.5703125" customWidth="1"/>
    <col min="6" max="6" width="7.7109375" style="219" customWidth="1"/>
    <col min="7" max="7" width="7.7109375" style="220" customWidth="1"/>
  </cols>
  <sheetData>
    <row r="1" spans="1:6">
      <c r="C1" s="223" t="s">
        <v>32</v>
      </c>
      <c r="D1" s="223" t="s">
        <v>33</v>
      </c>
      <c r="E1" s="223" t="s">
        <v>34</v>
      </c>
    </row>
    <row r="2" spans="1:6">
      <c r="C2" s="317" t="s">
        <v>154</v>
      </c>
      <c r="D2" s="318"/>
      <c r="E2" s="318"/>
    </row>
    <row r="3" spans="1:6">
      <c r="A3">
        <v>0</v>
      </c>
      <c r="B3" s="46">
        <v>43221</v>
      </c>
      <c r="C3" s="190">
        <v>161.72530520799984</v>
      </c>
      <c r="D3" s="190">
        <v>106.79032108965163</v>
      </c>
      <c r="E3" s="190">
        <f>IF(C3&lt;D3,C3,D3)</f>
        <v>106.79032108965163</v>
      </c>
      <c r="F3" s="219" t="str">
        <f>IF(DAY(B3)=15,IF(MONTH(B3)=1,"E",IF(MONTH(B3)=2,"F",IF(MONTH(B3)=3,"M",IF(MONTH(B3)=4,"A",IF(MONTH(B3)=5,"M",IF(MONTH(B3)=6,"J",IF(MONTH(B3)=7,"J",IF(MONTH(B3)=8,"A",IF(MONTH(B3)=9,"S",IF(MONTH(B3)=10,"O",IF(MONTH(B3)=11,"N",IF(MONTH(B3)=12,"D","")))))))))))),"")</f>
        <v/>
      </c>
    </row>
    <row r="4" spans="1:6">
      <c r="A4">
        <v>1</v>
      </c>
      <c r="B4" s="46">
        <v>43222</v>
      </c>
      <c r="C4" s="190">
        <v>128.14030725199848</v>
      </c>
      <c r="D4" s="190">
        <v>106.79032108965163</v>
      </c>
      <c r="E4" s="190">
        <f t="shared" ref="E4:E67" si="0">IF(C4&lt;D4,C4,D4)</f>
        <v>106.79032108965163</v>
      </c>
      <c r="F4" s="219" t="str">
        <f t="shared" ref="F4:F67" si="1">IF(DAY(B4)=15,IF(MONTH(B4)=1,"E",IF(MONTH(B4)=2,"F",IF(MONTH(B4)=3,"M",IF(MONTH(B4)=4,"A",IF(MONTH(B4)=5,"M",IF(MONTH(B4)=6,"J",IF(MONTH(B4)=7,"J",IF(MONTH(B4)=8,"A",IF(MONTH(B4)=9,"S",IF(MONTH(B4)=10,"O",IF(MONTH(B4)=11,"N",IF(MONTH(B4)=12,"D","")))))))))))),"")</f>
        <v/>
      </c>
    </row>
    <row r="5" spans="1:6">
      <c r="A5">
        <v>2</v>
      </c>
      <c r="B5" s="46">
        <v>43223</v>
      </c>
      <c r="C5" s="190">
        <v>130.10232026000128</v>
      </c>
      <c r="D5" s="190">
        <v>106.79032108965163</v>
      </c>
      <c r="E5" s="190">
        <f t="shared" si="0"/>
        <v>106.79032108965163</v>
      </c>
      <c r="F5" s="219" t="str">
        <f t="shared" si="1"/>
        <v/>
      </c>
    </row>
    <row r="6" spans="1:6">
      <c r="A6">
        <v>3</v>
      </c>
      <c r="B6" s="46">
        <v>43224</v>
      </c>
      <c r="C6" s="190">
        <v>132.97824705199886</v>
      </c>
      <c r="D6" s="190">
        <v>106.79032108965163</v>
      </c>
      <c r="E6" s="190">
        <f t="shared" si="0"/>
        <v>106.79032108965163</v>
      </c>
      <c r="F6" s="219" t="str">
        <f t="shared" si="1"/>
        <v/>
      </c>
    </row>
    <row r="7" spans="1:6">
      <c r="A7">
        <v>4</v>
      </c>
      <c r="B7" s="46">
        <v>43225</v>
      </c>
      <c r="C7" s="190">
        <v>121.63721203200132</v>
      </c>
      <c r="D7" s="190">
        <v>106.79032108965163</v>
      </c>
      <c r="E7" s="190">
        <f t="shared" si="0"/>
        <v>106.79032108965163</v>
      </c>
      <c r="F7" s="219" t="str">
        <f t="shared" si="1"/>
        <v/>
      </c>
    </row>
    <row r="8" spans="1:6">
      <c r="A8">
        <v>5</v>
      </c>
      <c r="B8" s="46">
        <v>43226</v>
      </c>
      <c r="C8" s="190">
        <v>137.34454470200009</v>
      </c>
      <c r="D8" s="190">
        <v>106.79032108965163</v>
      </c>
      <c r="E8" s="190">
        <f t="shared" si="0"/>
        <v>106.79032108965163</v>
      </c>
      <c r="F8" s="219" t="str">
        <f t="shared" si="1"/>
        <v/>
      </c>
    </row>
    <row r="9" spans="1:6">
      <c r="A9">
        <v>6</v>
      </c>
      <c r="B9" s="46">
        <v>43227</v>
      </c>
      <c r="C9" s="190">
        <v>105.71225961999892</v>
      </c>
      <c r="D9" s="190">
        <v>106.79032108965163</v>
      </c>
      <c r="E9" s="190">
        <f t="shared" si="0"/>
        <v>105.71225961999892</v>
      </c>
      <c r="F9" s="219" t="str">
        <f t="shared" si="1"/>
        <v/>
      </c>
    </row>
    <row r="10" spans="1:6">
      <c r="A10">
        <v>7</v>
      </c>
      <c r="B10" s="46">
        <v>43228</v>
      </c>
      <c r="C10" s="190">
        <v>145.71779165999999</v>
      </c>
      <c r="D10" s="190">
        <v>106.79032108965163</v>
      </c>
      <c r="E10" s="190">
        <f t="shared" si="0"/>
        <v>106.79032108965163</v>
      </c>
      <c r="F10" s="219" t="str">
        <f t="shared" si="1"/>
        <v/>
      </c>
    </row>
    <row r="11" spans="1:6">
      <c r="A11">
        <v>8</v>
      </c>
      <c r="B11" s="46">
        <v>43229</v>
      </c>
      <c r="C11" s="190">
        <v>132.12742509399988</v>
      </c>
      <c r="D11" s="190">
        <v>106.79032108965163</v>
      </c>
      <c r="E11" s="190">
        <f t="shared" si="0"/>
        <v>106.79032108965163</v>
      </c>
      <c r="F11" s="219" t="str">
        <f t="shared" si="1"/>
        <v/>
      </c>
    </row>
    <row r="12" spans="1:6">
      <c r="A12">
        <v>9</v>
      </c>
      <c r="B12" s="46">
        <v>43230</v>
      </c>
      <c r="C12" s="190">
        <v>120.99884701200124</v>
      </c>
      <c r="D12" s="190">
        <v>106.79032108965163</v>
      </c>
      <c r="E12" s="190">
        <f t="shared" si="0"/>
        <v>106.79032108965163</v>
      </c>
      <c r="F12" s="219" t="str">
        <f t="shared" si="1"/>
        <v/>
      </c>
    </row>
    <row r="13" spans="1:6">
      <c r="A13">
        <v>10</v>
      </c>
      <c r="B13" s="46">
        <v>43231</v>
      </c>
      <c r="C13" s="190">
        <v>102.25985699999903</v>
      </c>
      <c r="D13" s="190">
        <v>106.79032108965163</v>
      </c>
      <c r="E13" s="190">
        <f t="shared" si="0"/>
        <v>102.25985699999903</v>
      </c>
      <c r="F13" s="219" t="str">
        <f t="shared" si="1"/>
        <v/>
      </c>
    </row>
    <row r="14" spans="1:6">
      <c r="A14">
        <v>11</v>
      </c>
      <c r="B14" s="46">
        <v>43232</v>
      </c>
      <c r="C14" s="190">
        <v>136.62566195999943</v>
      </c>
      <c r="D14" s="190">
        <v>106.79032108965163</v>
      </c>
      <c r="E14" s="190">
        <f t="shared" si="0"/>
        <v>106.79032108965163</v>
      </c>
      <c r="F14" s="219" t="str">
        <f t="shared" si="1"/>
        <v/>
      </c>
    </row>
    <row r="15" spans="1:6">
      <c r="A15">
        <v>12</v>
      </c>
      <c r="B15" s="46">
        <v>43233</v>
      </c>
      <c r="C15" s="190">
        <v>128.66054245799978</v>
      </c>
      <c r="D15" s="190">
        <v>106.79032108965163</v>
      </c>
      <c r="E15" s="190">
        <f t="shared" si="0"/>
        <v>106.79032108965163</v>
      </c>
      <c r="F15" s="219" t="str">
        <f t="shared" si="1"/>
        <v/>
      </c>
    </row>
    <row r="16" spans="1:6">
      <c r="A16">
        <v>13</v>
      </c>
      <c r="B16" s="46">
        <v>43234</v>
      </c>
      <c r="C16" s="190">
        <v>130.08930832800002</v>
      </c>
      <c r="D16" s="190">
        <v>106.79032108965163</v>
      </c>
      <c r="E16" s="190">
        <f t="shared" si="0"/>
        <v>106.79032108965163</v>
      </c>
      <c r="F16" s="219" t="str">
        <f t="shared" si="1"/>
        <v/>
      </c>
    </row>
    <row r="17" spans="1:7">
      <c r="A17">
        <v>14</v>
      </c>
      <c r="B17" s="46">
        <v>43235</v>
      </c>
      <c r="C17" s="190">
        <v>99.303679692001751</v>
      </c>
      <c r="D17" s="190">
        <v>106.79032108965163</v>
      </c>
      <c r="E17" s="190">
        <f t="shared" si="0"/>
        <v>99.303679692001751</v>
      </c>
      <c r="F17" s="219" t="str">
        <f t="shared" si="1"/>
        <v>M</v>
      </c>
      <c r="G17" s="220">
        <f t="shared" ref="G17:G48" si="2">IF(DAY(B17)=15,D17,"")</f>
        <v>106.79032108965163</v>
      </c>
    </row>
    <row r="18" spans="1:7">
      <c r="A18">
        <v>15</v>
      </c>
      <c r="B18" s="46">
        <v>43236</v>
      </c>
      <c r="C18" s="190">
        <v>88.95340967199833</v>
      </c>
      <c r="D18" s="190">
        <v>106.79032108965163</v>
      </c>
      <c r="E18" s="190">
        <f t="shared" si="0"/>
        <v>88.95340967199833</v>
      </c>
      <c r="F18" s="219" t="str">
        <f t="shared" si="1"/>
        <v/>
      </c>
    </row>
    <row r="19" spans="1:7">
      <c r="A19">
        <v>16</v>
      </c>
      <c r="B19" s="46">
        <v>43237</v>
      </c>
      <c r="C19" s="190">
        <v>87.102957502001004</v>
      </c>
      <c r="D19" s="190">
        <v>106.79032108965163</v>
      </c>
      <c r="E19" s="190">
        <f t="shared" si="0"/>
        <v>87.102957502001004</v>
      </c>
      <c r="F19" s="219" t="str">
        <f t="shared" si="1"/>
        <v/>
      </c>
    </row>
    <row r="20" spans="1:7">
      <c r="A20">
        <v>17</v>
      </c>
      <c r="B20" s="46">
        <v>43238</v>
      </c>
      <c r="C20" s="190">
        <v>84.90524368799916</v>
      </c>
      <c r="D20" s="190">
        <v>106.79032108965163</v>
      </c>
      <c r="E20" s="190">
        <f t="shared" si="0"/>
        <v>84.90524368799916</v>
      </c>
      <c r="F20" s="219" t="str">
        <f t="shared" si="1"/>
        <v/>
      </c>
    </row>
    <row r="21" spans="1:7">
      <c r="A21">
        <v>18</v>
      </c>
      <c r="B21" s="46">
        <v>43239</v>
      </c>
      <c r="C21" s="190">
        <v>106.68403058400047</v>
      </c>
      <c r="D21" s="190">
        <v>106.79032108965163</v>
      </c>
      <c r="E21" s="190">
        <f t="shared" si="0"/>
        <v>106.68403058400047</v>
      </c>
      <c r="F21" s="219" t="str">
        <f t="shared" si="1"/>
        <v/>
      </c>
    </row>
    <row r="22" spans="1:7">
      <c r="A22">
        <v>19</v>
      </c>
      <c r="B22" s="46">
        <v>43240</v>
      </c>
      <c r="C22" s="190">
        <v>94.50606752400013</v>
      </c>
      <c r="D22" s="190">
        <v>106.79032108965163</v>
      </c>
      <c r="E22" s="190">
        <f t="shared" si="0"/>
        <v>94.50606752400013</v>
      </c>
      <c r="F22" s="219" t="str">
        <f t="shared" si="1"/>
        <v/>
      </c>
    </row>
    <row r="23" spans="1:7">
      <c r="A23">
        <v>20</v>
      </c>
      <c r="B23" s="46">
        <v>43241</v>
      </c>
      <c r="C23" s="190">
        <v>111.65829537600005</v>
      </c>
      <c r="D23" s="190">
        <v>106.79032108965163</v>
      </c>
      <c r="E23" s="190">
        <f t="shared" si="0"/>
        <v>106.79032108965163</v>
      </c>
      <c r="F23" s="219" t="str">
        <f t="shared" si="1"/>
        <v/>
      </c>
    </row>
    <row r="24" spans="1:7">
      <c r="A24">
        <v>21</v>
      </c>
      <c r="B24" s="46">
        <v>43242</v>
      </c>
      <c r="C24" s="190">
        <v>106.2375112060008</v>
      </c>
      <c r="D24" s="190">
        <v>106.79032108965163</v>
      </c>
      <c r="E24" s="190">
        <f t="shared" si="0"/>
        <v>106.2375112060008</v>
      </c>
      <c r="F24" s="219" t="str">
        <f t="shared" si="1"/>
        <v/>
      </c>
    </row>
    <row r="25" spans="1:7">
      <c r="A25">
        <v>22</v>
      </c>
      <c r="B25" s="46">
        <v>43243</v>
      </c>
      <c r="C25" s="190">
        <v>88.031645835999271</v>
      </c>
      <c r="D25" s="190">
        <v>106.79032108965163</v>
      </c>
      <c r="E25" s="190">
        <f t="shared" si="0"/>
        <v>88.031645835999271</v>
      </c>
      <c r="F25" s="219" t="str">
        <f t="shared" si="1"/>
        <v/>
      </c>
    </row>
    <row r="26" spans="1:7">
      <c r="A26">
        <v>23</v>
      </c>
      <c r="B26" s="46">
        <v>43244</v>
      </c>
      <c r="C26" s="190">
        <v>114.12441026600068</v>
      </c>
      <c r="D26" s="190">
        <v>106.79032108965163</v>
      </c>
      <c r="E26" s="190">
        <f t="shared" si="0"/>
        <v>106.79032108965163</v>
      </c>
      <c r="F26" s="219" t="str">
        <f t="shared" si="1"/>
        <v/>
      </c>
    </row>
    <row r="27" spans="1:7">
      <c r="A27">
        <v>24</v>
      </c>
      <c r="B27" s="46">
        <v>43245</v>
      </c>
      <c r="C27" s="190">
        <v>107.27422800799881</v>
      </c>
      <c r="D27" s="190">
        <v>106.79032108965163</v>
      </c>
      <c r="E27" s="190">
        <f t="shared" si="0"/>
        <v>106.79032108965163</v>
      </c>
      <c r="F27" s="219" t="str">
        <f t="shared" si="1"/>
        <v/>
      </c>
    </row>
    <row r="28" spans="1:7">
      <c r="A28">
        <v>25</v>
      </c>
      <c r="B28" s="46">
        <v>43246</v>
      </c>
      <c r="C28" s="190">
        <v>136.31577750000025</v>
      </c>
      <c r="D28" s="190">
        <v>106.79032108965163</v>
      </c>
      <c r="E28" s="190">
        <f t="shared" si="0"/>
        <v>106.79032108965163</v>
      </c>
      <c r="F28" s="219" t="str">
        <f t="shared" si="1"/>
        <v/>
      </c>
    </row>
    <row r="29" spans="1:7">
      <c r="A29">
        <v>26</v>
      </c>
      <c r="B29" s="46">
        <v>43247</v>
      </c>
      <c r="C29" s="190">
        <v>113.51445925200046</v>
      </c>
      <c r="D29" s="190">
        <v>106.79032108965163</v>
      </c>
      <c r="E29" s="190">
        <f t="shared" si="0"/>
        <v>106.79032108965163</v>
      </c>
      <c r="F29" s="219" t="str">
        <f t="shared" si="1"/>
        <v/>
      </c>
    </row>
    <row r="30" spans="1:7">
      <c r="A30">
        <v>27</v>
      </c>
      <c r="B30" s="46">
        <v>43248</v>
      </c>
      <c r="C30" s="190">
        <v>133.85437754600059</v>
      </c>
      <c r="D30" s="190">
        <v>106.79032108965163</v>
      </c>
      <c r="E30" s="190">
        <f t="shared" si="0"/>
        <v>106.79032108965163</v>
      </c>
      <c r="F30" s="219" t="str">
        <f t="shared" si="1"/>
        <v/>
      </c>
    </row>
    <row r="31" spans="1:7">
      <c r="A31">
        <v>28</v>
      </c>
      <c r="B31" s="46">
        <v>43249</v>
      </c>
      <c r="C31" s="190">
        <v>196.8115773079987</v>
      </c>
      <c r="D31" s="190">
        <v>106.79032108965163</v>
      </c>
      <c r="E31" s="190">
        <f t="shared" si="0"/>
        <v>106.79032108965163</v>
      </c>
      <c r="F31" s="219" t="str">
        <f t="shared" si="1"/>
        <v/>
      </c>
    </row>
    <row r="32" spans="1:7">
      <c r="A32">
        <v>29</v>
      </c>
      <c r="B32" s="46">
        <v>43250</v>
      </c>
      <c r="C32" s="190">
        <v>102.41424729200045</v>
      </c>
      <c r="D32" s="190">
        <v>106.79032108965163</v>
      </c>
      <c r="E32" s="190">
        <f t="shared" si="0"/>
        <v>102.41424729200045</v>
      </c>
      <c r="F32" s="219" t="str">
        <f t="shared" si="1"/>
        <v/>
      </c>
    </row>
    <row r="33" spans="1:7">
      <c r="A33">
        <v>30</v>
      </c>
      <c r="B33" s="46">
        <v>43251</v>
      </c>
      <c r="C33" s="190">
        <v>135.24416343399946</v>
      </c>
      <c r="D33" s="190">
        <v>106.79032108965163</v>
      </c>
      <c r="E33" s="190">
        <f t="shared" si="0"/>
        <v>106.79032108965163</v>
      </c>
      <c r="F33" s="219" t="str">
        <f t="shared" si="1"/>
        <v/>
      </c>
    </row>
    <row r="34" spans="1:7">
      <c r="A34">
        <v>31</v>
      </c>
      <c r="B34" s="46">
        <v>43252</v>
      </c>
      <c r="C34" s="190">
        <v>133.4193510379998</v>
      </c>
      <c r="D34" s="190">
        <v>64.364342968573325</v>
      </c>
      <c r="E34" s="190">
        <f t="shared" si="0"/>
        <v>64.364342968573325</v>
      </c>
      <c r="F34" s="219" t="str">
        <f t="shared" si="1"/>
        <v/>
      </c>
    </row>
    <row r="35" spans="1:7">
      <c r="A35">
        <v>32</v>
      </c>
      <c r="B35" s="46">
        <v>43253</v>
      </c>
      <c r="C35" s="190">
        <v>110.18032657600038</v>
      </c>
      <c r="D35" s="190">
        <v>64.364342968573325</v>
      </c>
      <c r="E35" s="190">
        <f t="shared" si="0"/>
        <v>64.364342968573325</v>
      </c>
      <c r="F35" s="219" t="str">
        <f t="shared" si="1"/>
        <v/>
      </c>
    </row>
    <row r="36" spans="1:7">
      <c r="A36">
        <v>33</v>
      </c>
      <c r="B36" s="46">
        <v>43254</v>
      </c>
      <c r="C36" s="190">
        <v>133.15294642200035</v>
      </c>
      <c r="D36" s="190">
        <v>64.364342968573325</v>
      </c>
      <c r="E36" s="190">
        <f t="shared" si="0"/>
        <v>64.364342968573325</v>
      </c>
      <c r="F36" s="219" t="str">
        <f t="shared" si="1"/>
        <v/>
      </c>
    </row>
    <row r="37" spans="1:7">
      <c r="A37">
        <v>34</v>
      </c>
      <c r="B37" s="46">
        <v>43255</v>
      </c>
      <c r="C37" s="190">
        <v>125.17872412600038</v>
      </c>
      <c r="D37" s="190">
        <v>64.364342968573325</v>
      </c>
      <c r="E37" s="190">
        <f t="shared" si="0"/>
        <v>64.364342968573325</v>
      </c>
      <c r="F37" s="219" t="str">
        <f t="shared" si="1"/>
        <v/>
      </c>
    </row>
    <row r="38" spans="1:7">
      <c r="A38">
        <v>35</v>
      </c>
      <c r="B38" s="46">
        <v>43256</v>
      </c>
      <c r="C38" s="190">
        <v>108.23437664799874</v>
      </c>
      <c r="D38" s="190">
        <v>64.364342968573325</v>
      </c>
      <c r="E38" s="190">
        <f t="shared" si="0"/>
        <v>64.364342968573325</v>
      </c>
      <c r="F38" s="219" t="str">
        <f t="shared" si="1"/>
        <v/>
      </c>
    </row>
    <row r="39" spans="1:7">
      <c r="A39">
        <v>36</v>
      </c>
      <c r="B39" s="46">
        <v>43257</v>
      </c>
      <c r="C39" s="190">
        <v>152.09634927200131</v>
      </c>
      <c r="D39" s="190">
        <v>64.364342968573325</v>
      </c>
      <c r="E39" s="190">
        <f t="shared" si="0"/>
        <v>64.364342968573325</v>
      </c>
      <c r="F39" s="219" t="str">
        <f t="shared" si="1"/>
        <v/>
      </c>
    </row>
    <row r="40" spans="1:7">
      <c r="A40">
        <v>37</v>
      </c>
      <c r="B40" s="46">
        <v>43258</v>
      </c>
      <c r="C40" s="190">
        <v>122.25881915199908</v>
      </c>
      <c r="D40" s="190">
        <v>64.364342968573325</v>
      </c>
      <c r="E40" s="190">
        <f t="shared" si="0"/>
        <v>64.364342968573325</v>
      </c>
      <c r="F40" s="219" t="str">
        <f t="shared" si="1"/>
        <v/>
      </c>
    </row>
    <row r="41" spans="1:7">
      <c r="A41">
        <v>38</v>
      </c>
      <c r="B41" s="46">
        <v>43259</v>
      </c>
      <c r="C41" s="190">
        <v>155.68748897000077</v>
      </c>
      <c r="D41" s="190">
        <v>64.364342968573325</v>
      </c>
      <c r="E41" s="190">
        <f t="shared" si="0"/>
        <v>64.364342968573325</v>
      </c>
      <c r="F41" s="219" t="str">
        <f t="shared" si="1"/>
        <v/>
      </c>
    </row>
    <row r="42" spans="1:7">
      <c r="A42">
        <v>39</v>
      </c>
      <c r="B42" s="46">
        <v>43260</v>
      </c>
      <c r="C42" s="190">
        <v>156.4325545899992</v>
      </c>
      <c r="D42" s="190">
        <v>64.364342968573325</v>
      </c>
      <c r="E42" s="190">
        <f t="shared" si="0"/>
        <v>64.364342968573325</v>
      </c>
      <c r="F42" s="219" t="str">
        <f t="shared" si="1"/>
        <v/>
      </c>
    </row>
    <row r="43" spans="1:7">
      <c r="A43">
        <v>40</v>
      </c>
      <c r="B43" s="46">
        <v>43261</v>
      </c>
      <c r="C43" s="190">
        <v>160.33901424999965</v>
      </c>
      <c r="D43" s="190">
        <v>64.364342968573325</v>
      </c>
      <c r="E43" s="190">
        <f t="shared" si="0"/>
        <v>64.364342968573325</v>
      </c>
      <c r="F43" s="219" t="str">
        <f t="shared" si="1"/>
        <v/>
      </c>
    </row>
    <row r="44" spans="1:7">
      <c r="A44">
        <v>41</v>
      </c>
      <c r="B44" s="46">
        <v>43262</v>
      </c>
      <c r="C44" s="190">
        <v>172.07760785200099</v>
      </c>
      <c r="D44" s="190">
        <v>64.364342968573325</v>
      </c>
      <c r="E44" s="190">
        <f t="shared" si="0"/>
        <v>64.364342968573325</v>
      </c>
      <c r="F44" s="219" t="str">
        <f t="shared" si="1"/>
        <v/>
      </c>
    </row>
    <row r="45" spans="1:7">
      <c r="A45">
        <v>42</v>
      </c>
      <c r="B45" s="46">
        <v>43263</v>
      </c>
      <c r="C45" s="190">
        <v>141.57988600799985</v>
      </c>
      <c r="D45" s="190">
        <v>64.364342968573325</v>
      </c>
      <c r="E45" s="190">
        <f t="shared" si="0"/>
        <v>64.364342968573325</v>
      </c>
      <c r="F45" s="219" t="str">
        <f t="shared" si="1"/>
        <v/>
      </c>
    </row>
    <row r="46" spans="1:7">
      <c r="A46">
        <v>43</v>
      </c>
      <c r="B46" s="46">
        <v>43264</v>
      </c>
      <c r="C46" s="190">
        <v>134.07056026200041</v>
      </c>
      <c r="D46" s="190">
        <v>64.364342968573325</v>
      </c>
      <c r="E46" s="190">
        <f t="shared" si="0"/>
        <v>64.364342968573325</v>
      </c>
      <c r="F46" s="219" t="str">
        <f t="shared" si="1"/>
        <v/>
      </c>
    </row>
    <row r="47" spans="1:7">
      <c r="A47">
        <v>44</v>
      </c>
      <c r="B47" s="46">
        <v>43265</v>
      </c>
      <c r="C47" s="190">
        <v>154.59246782799877</v>
      </c>
      <c r="D47" s="190">
        <v>64.364342968573325</v>
      </c>
      <c r="E47" s="190">
        <f t="shared" si="0"/>
        <v>64.364342968573325</v>
      </c>
      <c r="F47" s="219" t="str">
        <f t="shared" si="1"/>
        <v/>
      </c>
    </row>
    <row r="48" spans="1:7">
      <c r="A48">
        <v>45</v>
      </c>
      <c r="B48" s="46">
        <v>43266</v>
      </c>
      <c r="C48" s="190">
        <v>125.90825040400162</v>
      </c>
      <c r="D48" s="190">
        <v>64.364342968573325</v>
      </c>
      <c r="E48" s="190">
        <f t="shared" si="0"/>
        <v>64.364342968573325</v>
      </c>
      <c r="F48" s="219" t="str">
        <f t="shared" si="1"/>
        <v>J</v>
      </c>
      <c r="G48" s="220">
        <f t="shared" si="2"/>
        <v>64.364342968573325</v>
      </c>
    </row>
    <row r="49" spans="1:6">
      <c r="A49">
        <v>46</v>
      </c>
      <c r="B49" s="46">
        <v>43267</v>
      </c>
      <c r="C49" s="190">
        <v>133.9081081279995</v>
      </c>
      <c r="D49" s="190">
        <v>64.364342968573325</v>
      </c>
      <c r="E49" s="190">
        <f t="shared" si="0"/>
        <v>64.364342968573325</v>
      </c>
      <c r="F49" s="219" t="str">
        <f t="shared" si="1"/>
        <v/>
      </c>
    </row>
    <row r="50" spans="1:6">
      <c r="A50">
        <v>47</v>
      </c>
      <c r="B50" s="46">
        <v>43268</v>
      </c>
      <c r="C50" s="190">
        <v>101.51889465599892</v>
      </c>
      <c r="D50" s="190">
        <v>64.364342968573325</v>
      </c>
      <c r="E50" s="190">
        <f t="shared" si="0"/>
        <v>64.364342968573325</v>
      </c>
      <c r="F50" s="219" t="str">
        <f t="shared" si="1"/>
        <v/>
      </c>
    </row>
    <row r="51" spans="1:6">
      <c r="A51">
        <v>48</v>
      </c>
      <c r="B51" s="46">
        <v>43269</v>
      </c>
      <c r="C51" s="190">
        <v>131.62562380799994</v>
      </c>
      <c r="D51" s="190">
        <v>64.364342968573325</v>
      </c>
      <c r="E51" s="190">
        <f t="shared" si="0"/>
        <v>64.364342968573325</v>
      </c>
      <c r="F51" s="219" t="str">
        <f t="shared" si="1"/>
        <v/>
      </c>
    </row>
    <row r="52" spans="1:6">
      <c r="A52">
        <v>49</v>
      </c>
      <c r="B52" s="46">
        <v>43270</v>
      </c>
      <c r="C52" s="190">
        <v>94.112740128000382</v>
      </c>
      <c r="D52" s="190">
        <v>64.364342968573325</v>
      </c>
      <c r="E52" s="190">
        <f t="shared" si="0"/>
        <v>64.364342968573325</v>
      </c>
      <c r="F52" s="219" t="str">
        <f t="shared" si="1"/>
        <v/>
      </c>
    </row>
    <row r="53" spans="1:6">
      <c r="A53">
        <v>50</v>
      </c>
      <c r="B53" s="46">
        <v>43271</v>
      </c>
      <c r="C53" s="190">
        <v>98.465471891999769</v>
      </c>
      <c r="D53" s="190">
        <v>64.364342968573325</v>
      </c>
      <c r="E53" s="190">
        <f t="shared" si="0"/>
        <v>64.364342968573325</v>
      </c>
      <c r="F53" s="219" t="str">
        <f t="shared" si="1"/>
        <v/>
      </c>
    </row>
    <row r="54" spans="1:6">
      <c r="A54">
        <v>51</v>
      </c>
      <c r="B54" s="46">
        <v>43272</v>
      </c>
      <c r="C54" s="190">
        <v>94.196145864000982</v>
      </c>
      <c r="D54" s="190">
        <v>64.364342968573325</v>
      </c>
      <c r="E54" s="190">
        <f t="shared" si="0"/>
        <v>64.364342968573325</v>
      </c>
      <c r="F54" s="219" t="str">
        <f t="shared" si="1"/>
        <v/>
      </c>
    </row>
    <row r="55" spans="1:6">
      <c r="A55">
        <v>52</v>
      </c>
      <c r="B55" s="46">
        <v>43273</v>
      </c>
      <c r="C55" s="190">
        <v>97.591259735998847</v>
      </c>
      <c r="D55" s="190">
        <v>64.364342968573325</v>
      </c>
      <c r="E55" s="190">
        <f t="shared" si="0"/>
        <v>64.364342968573325</v>
      </c>
      <c r="F55" s="219" t="str">
        <f t="shared" si="1"/>
        <v/>
      </c>
    </row>
    <row r="56" spans="1:6">
      <c r="A56">
        <v>53</v>
      </c>
      <c r="B56" s="46">
        <v>43274</v>
      </c>
      <c r="C56" s="190">
        <v>69.968979008001455</v>
      </c>
      <c r="D56" s="190">
        <v>64.364342968573325</v>
      </c>
      <c r="E56" s="190">
        <f t="shared" si="0"/>
        <v>64.364342968573325</v>
      </c>
      <c r="F56" s="219" t="str">
        <f t="shared" si="1"/>
        <v/>
      </c>
    </row>
    <row r="57" spans="1:6">
      <c r="A57">
        <v>54</v>
      </c>
      <c r="B57" s="46">
        <v>43275</v>
      </c>
      <c r="C57" s="190">
        <v>80.501374501998754</v>
      </c>
      <c r="D57" s="190">
        <v>64.364342968573325</v>
      </c>
      <c r="E57" s="190">
        <f t="shared" si="0"/>
        <v>64.364342968573325</v>
      </c>
      <c r="F57" s="219" t="str">
        <f t="shared" si="1"/>
        <v/>
      </c>
    </row>
    <row r="58" spans="1:6">
      <c r="A58">
        <v>55</v>
      </c>
      <c r="B58" s="46">
        <v>43276</v>
      </c>
      <c r="C58" s="190">
        <v>98.954845599999828</v>
      </c>
      <c r="D58" s="190">
        <v>64.364342968573325</v>
      </c>
      <c r="E58" s="190">
        <f t="shared" si="0"/>
        <v>64.364342968573325</v>
      </c>
      <c r="F58" s="219" t="str">
        <f t="shared" si="1"/>
        <v/>
      </c>
    </row>
    <row r="59" spans="1:6">
      <c r="A59">
        <v>56</v>
      </c>
      <c r="B59" s="46">
        <v>43277</v>
      </c>
      <c r="C59" s="190">
        <v>80.246829246000971</v>
      </c>
      <c r="D59" s="190">
        <v>64.364342968573325</v>
      </c>
      <c r="E59" s="190">
        <f t="shared" si="0"/>
        <v>64.364342968573325</v>
      </c>
      <c r="F59" s="219" t="str">
        <f t="shared" si="1"/>
        <v/>
      </c>
    </row>
    <row r="60" spans="1:6">
      <c r="A60">
        <v>57</v>
      </c>
      <c r="B60" s="46">
        <v>43278</v>
      </c>
      <c r="C60" s="190">
        <v>70.490488656000196</v>
      </c>
      <c r="D60" s="190">
        <v>64.364342968573325</v>
      </c>
      <c r="E60" s="190">
        <f t="shared" si="0"/>
        <v>64.364342968573325</v>
      </c>
      <c r="F60" s="219" t="str">
        <f t="shared" si="1"/>
        <v/>
      </c>
    </row>
    <row r="61" spans="1:6">
      <c r="A61">
        <v>58</v>
      </c>
      <c r="B61" s="46">
        <v>43279</v>
      </c>
      <c r="C61" s="190">
        <v>76.580155204000334</v>
      </c>
      <c r="D61" s="190">
        <v>64.364342968573325</v>
      </c>
      <c r="E61" s="190">
        <f t="shared" si="0"/>
        <v>64.364342968573325</v>
      </c>
      <c r="F61" s="219" t="str">
        <f t="shared" si="1"/>
        <v/>
      </c>
    </row>
    <row r="62" spans="1:6">
      <c r="A62">
        <v>59</v>
      </c>
      <c r="B62" s="46">
        <v>43280</v>
      </c>
      <c r="C62" s="190">
        <v>84.080646497999098</v>
      </c>
      <c r="D62" s="190">
        <v>64.364342968573325</v>
      </c>
      <c r="E62" s="190">
        <f t="shared" si="0"/>
        <v>64.364342968573325</v>
      </c>
      <c r="F62" s="219" t="str">
        <f t="shared" si="1"/>
        <v/>
      </c>
    </row>
    <row r="63" spans="1:6">
      <c r="A63">
        <v>60</v>
      </c>
      <c r="B63" s="46">
        <v>43281</v>
      </c>
      <c r="C63" s="190">
        <v>94.433545259999349</v>
      </c>
      <c r="D63" s="190">
        <v>64.364342968573325</v>
      </c>
      <c r="E63" s="190">
        <f t="shared" si="0"/>
        <v>64.364342968573325</v>
      </c>
      <c r="F63" s="219" t="str">
        <f t="shared" si="1"/>
        <v/>
      </c>
    </row>
    <row r="64" spans="1:6">
      <c r="A64">
        <v>61</v>
      </c>
      <c r="B64" s="46">
        <v>43282</v>
      </c>
      <c r="C64" s="190">
        <v>83.330001070001217</v>
      </c>
      <c r="D64" s="190">
        <v>28.016997662909688</v>
      </c>
      <c r="E64" s="190">
        <f t="shared" si="0"/>
        <v>28.016997662909688</v>
      </c>
      <c r="F64" s="219" t="str">
        <f t="shared" si="1"/>
        <v/>
      </c>
    </row>
    <row r="65" spans="1:7">
      <c r="A65">
        <v>62</v>
      </c>
      <c r="B65" s="46">
        <v>43283</v>
      </c>
      <c r="C65" s="190">
        <v>87.416896355998901</v>
      </c>
      <c r="D65" s="190">
        <v>28.016997662909688</v>
      </c>
      <c r="E65" s="190">
        <f t="shared" si="0"/>
        <v>28.016997662909688</v>
      </c>
      <c r="F65" s="219" t="str">
        <f t="shared" si="1"/>
        <v/>
      </c>
    </row>
    <row r="66" spans="1:7">
      <c r="A66">
        <v>63</v>
      </c>
      <c r="B66" s="46">
        <v>43284</v>
      </c>
      <c r="C66" s="190">
        <v>84.809404732000431</v>
      </c>
      <c r="D66" s="190">
        <v>28.016997662909688</v>
      </c>
      <c r="E66" s="190">
        <f t="shared" si="0"/>
        <v>28.016997662909688</v>
      </c>
      <c r="F66" s="219" t="str">
        <f t="shared" si="1"/>
        <v/>
      </c>
    </row>
    <row r="67" spans="1:7">
      <c r="A67">
        <v>64</v>
      </c>
      <c r="B67" s="46">
        <v>43285</v>
      </c>
      <c r="C67" s="190">
        <v>85.798804398000115</v>
      </c>
      <c r="D67" s="190">
        <v>28.016997662909688</v>
      </c>
      <c r="E67" s="190">
        <f t="shared" si="0"/>
        <v>28.016997662909688</v>
      </c>
      <c r="F67" s="219" t="str">
        <f t="shared" si="1"/>
        <v/>
      </c>
    </row>
    <row r="68" spans="1:7">
      <c r="A68">
        <v>65</v>
      </c>
      <c r="B68" s="46">
        <v>43286</v>
      </c>
      <c r="C68" s="190">
        <v>69.064277566000456</v>
      </c>
      <c r="D68" s="190">
        <v>28.016997662909688</v>
      </c>
      <c r="E68" s="190">
        <f t="shared" ref="E68:E131" si="3">IF(C68&lt;D68,C68,D68)</f>
        <v>28.016997662909688</v>
      </c>
      <c r="F68" s="219" t="str">
        <f t="shared" ref="F68:F131" si="4">IF(DAY(B68)=15,IF(MONTH(B68)=1,"E",IF(MONTH(B68)=2,"F",IF(MONTH(B68)=3,"M",IF(MONTH(B68)=4,"A",IF(MONTH(B68)=5,"M",IF(MONTH(B68)=6,"J",IF(MONTH(B68)=7,"J",IF(MONTH(B68)=8,"A",IF(MONTH(B68)=9,"S",IF(MONTH(B68)=10,"O",IF(MONTH(B68)=11,"N",IF(MONTH(B68)=12,"D","")))))))))))),"")</f>
        <v/>
      </c>
    </row>
    <row r="69" spans="1:7">
      <c r="A69">
        <v>66</v>
      </c>
      <c r="B69" s="46">
        <v>43287</v>
      </c>
      <c r="C69" s="190">
        <v>83.773244238000345</v>
      </c>
      <c r="D69" s="190">
        <v>28.016997662909688</v>
      </c>
      <c r="E69" s="190">
        <f t="shared" si="3"/>
        <v>28.016997662909688</v>
      </c>
      <c r="F69" s="219" t="str">
        <f t="shared" si="4"/>
        <v/>
      </c>
    </row>
    <row r="70" spans="1:7">
      <c r="A70">
        <v>67</v>
      </c>
      <c r="B70" s="46">
        <v>43288</v>
      </c>
      <c r="C70" s="190">
        <v>62.496441319999867</v>
      </c>
      <c r="D70" s="190">
        <v>28.016997662909688</v>
      </c>
      <c r="E70" s="190">
        <f t="shared" si="3"/>
        <v>28.016997662909688</v>
      </c>
      <c r="F70" s="219" t="str">
        <f t="shared" si="4"/>
        <v/>
      </c>
    </row>
    <row r="71" spans="1:7">
      <c r="A71">
        <v>68</v>
      </c>
      <c r="B71" s="46">
        <v>43289</v>
      </c>
      <c r="C71" s="190">
        <v>45.635574867999559</v>
      </c>
      <c r="D71" s="190">
        <v>28.016997662909688</v>
      </c>
      <c r="E71" s="190">
        <f t="shared" si="3"/>
        <v>28.016997662909688</v>
      </c>
      <c r="F71" s="219" t="str">
        <f t="shared" si="4"/>
        <v/>
      </c>
    </row>
    <row r="72" spans="1:7">
      <c r="A72">
        <v>69</v>
      </c>
      <c r="B72" s="46">
        <v>43290</v>
      </c>
      <c r="C72" s="190">
        <v>73.313492030000404</v>
      </c>
      <c r="D72" s="190">
        <v>28.016997662909688</v>
      </c>
      <c r="E72" s="190">
        <f t="shared" si="3"/>
        <v>28.016997662909688</v>
      </c>
      <c r="F72" s="219" t="str">
        <f t="shared" si="4"/>
        <v/>
      </c>
    </row>
    <row r="73" spans="1:7">
      <c r="A73">
        <v>70</v>
      </c>
      <c r="B73" s="46">
        <v>43291</v>
      </c>
      <c r="C73" s="190">
        <v>71.796023876000206</v>
      </c>
      <c r="D73" s="190">
        <v>28.016997662909688</v>
      </c>
      <c r="E73" s="190">
        <f t="shared" si="3"/>
        <v>28.016997662909688</v>
      </c>
      <c r="F73" s="219" t="str">
        <f t="shared" si="4"/>
        <v/>
      </c>
    </row>
    <row r="74" spans="1:7">
      <c r="A74">
        <v>71</v>
      </c>
      <c r="B74" s="46">
        <v>43292</v>
      </c>
      <c r="C74" s="190">
        <v>57.793894144000298</v>
      </c>
      <c r="D74" s="190">
        <v>28.016997662909688</v>
      </c>
      <c r="E74" s="190">
        <f t="shared" si="3"/>
        <v>28.016997662909688</v>
      </c>
      <c r="F74" s="219" t="str">
        <f t="shared" si="4"/>
        <v/>
      </c>
    </row>
    <row r="75" spans="1:7">
      <c r="A75">
        <v>72</v>
      </c>
      <c r="B75" s="46">
        <v>43293</v>
      </c>
      <c r="C75" s="190">
        <v>67.746303909999796</v>
      </c>
      <c r="D75" s="190">
        <v>28.016997662909688</v>
      </c>
      <c r="E75" s="190">
        <f t="shared" si="3"/>
        <v>28.016997662909688</v>
      </c>
      <c r="F75" s="219" t="str">
        <f t="shared" si="4"/>
        <v/>
      </c>
    </row>
    <row r="76" spans="1:7">
      <c r="A76">
        <v>73</v>
      </c>
      <c r="B76" s="46">
        <v>43294</v>
      </c>
      <c r="C76" s="190">
        <v>37.334130595998765</v>
      </c>
      <c r="D76" s="190">
        <v>28.016997662909688</v>
      </c>
      <c r="E76" s="190">
        <f t="shared" si="3"/>
        <v>28.016997662909688</v>
      </c>
      <c r="F76" s="219" t="str">
        <f t="shared" si="4"/>
        <v/>
      </c>
    </row>
    <row r="77" spans="1:7">
      <c r="A77">
        <v>74</v>
      </c>
      <c r="B77" s="46">
        <v>43295</v>
      </c>
      <c r="C77" s="190">
        <v>22.40733153000058</v>
      </c>
      <c r="D77" s="190">
        <v>28.016997662909688</v>
      </c>
      <c r="E77" s="190">
        <f t="shared" si="3"/>
        <v>22.40733153000058</v>
      </c>
      <c r="F77" s="219" t="str">
        <f t="shared" si="4"/>
        <v/>
      </c>
    </row>
    <row r="78" spans="1:7">
      <c r="A78">
        <v>75</v>
      </c>
      <c r="B78" s="46">
        <v>43296</v>
      </c>
      <c r="C78" s="190">
        <v>6.4566618000008456</v>
      </c>
      <c r="D78" s="190">
        <v>28.016997662909688</v>
      </c>
      <c r="E78" s="190">
        <f t="shared" si="3"/>
        <v>6.4566618000008456</v>
      </c>
      <c r="F78" s="219" t="str">
        <f t="shared" si="4"/>
        <v>J</v>
      </c>
      <c r="G78" s="220">
        <f t="shared" ref="G78:G109" si="5">IF(DAY(B78)=15,D78,"")</f>
        <v>28.016997662909688</v>
      </c>
    </row>
    <row r="79" spans="1:7">
      <c r="A79">
        <v>76</v>
      </c>
      <c r="B79" s="46">
        <v>43297</v>
      </c>
      <c r="C79" s="190">
        <v>7.0879540679984059</v>
      </c>
      <c r="D79" s="190">
        <v>28.016997662909688</v>
      </c>
      <c r="E79" s="190">
        <f t="shared" si="3"/>
        <v>7.0879540679984059</v>
      </c>
      <c r="F79" s="219" t="str">
        <f t="shared" si="4"/>
        <v/>
      </c>
    </row>
    <row r="80" spans="1:7">
      <c r="A80">
        <v>77</v>
      </c>
      <c r="B80" s="46">
        <v>43298</v>
      </c>
      <c r="C80" s="190">
        <v>5.5422092060000434</v>
      </c>
      <c r="D80" s="190">
        <v>28.016997662909688</v>
      </c>
      <c r="E80" s="190">
        <f t="shared" si="3"/>
        <v>5.5422092060000434</v>
      </c>
      <c r="F80" s="219" t="str">
        <f t="shared" si="4"/>
        <v/>
      </c>
    </row>
    <row r="81" spans="1:6">
      <c r="A81">
        <v>78</v>
      </c>
      <c r="B81" s="46">
        <v>43299</v>
      </c>
      <c r="C81" s="190">
        <v>6.9238963500000974</v>
      </c>
      <c r="D81" s="190">
        <v>28.016997662909688</v>
      </c>
      <c r="E81" s="190">
        <f t="shared" si="3"/>
        <v>6.9238963500000974</v>
      </c>
      <c r="F81" s="219" t="str">
        <f t="shared" si="4"/>
        <v/>
      </c>
    </row>
    <row r="82" spans="1:6">
      <c r="A82">
        <v>79</v>
      </c>
      <c r="B82" s="46">
        <v>43300</v>
      </c>
      <c r="C82" s="190">
        <v>8.0067131500002144</v>
      </c>
      <c r="D82" s="190">
        <v>28.016997662909688</v>
      </c>
      <c r="E82" s="190">
        <f t="shared" si="3"/>
        <v>8.0067131500002144</v>
      </c>
      <c r="F82" s="219" t="str">
        <f t="shared" si="4"/>
        <v/>
      </c>
    </row>
    <row r="83" spans="1:6">
      <c r="A83">
        <v>80</v>
      </c>
      <c r="B83" s="46">
        <v>43301</v>
      </c>
      <c r="C83" s="190">
        <v>5.3031052739994777</v>
      </c>
      <c r="D83" s="190">
        <v>28.016997662909688</v>
      </c>
      <c r="E83" s="190">
        <f t="shared" si="3"/>
        <v>5.3031052739994777</v>
      </c>
      <c r="F83" s="219" t="str">
        <f t="shared" si="4"/>
        <v/>
      </c>
    </row>
    <row r="84" spans="1:6">
      <c r="A84">
        <v>81</v>
      </c>
      <c r="B84" s="46">
        <v>43302</v>
      </c>
      <c r="C84" s="190">
        <v>4.3046902700016796</v>
      </c>
      <c r="D84" s="190">
        <v>28.016997662909688</v>
      </c>
      <c r="E84" s="190">
        <f t="shared" si="3"/>
        <v>4.3046902700016796</v>
      </c>
      <c r="F84" s="219" t="str">
        <f t="shared" si="4"/>
        <v/>
      </c>
    </row>
    <row r="85" spans="1:6">
      <c r="A85">
        <v>82</v>
      </c>
      <c r="B85" s="46">
        <v>43303</v>
      </c>
      <c r="C85" s="190">
        <v>3.1078996419999458</v>
      </c>
      <c r="D85" s="190">
        <v>28.016997662909688</v>
      </c>
      <c r="E85" s="190">
        <f t="shared" si="3"/>
        <v>3.1078996419999458</v>
      </c>
      <c r="F85" s="219" t="str">
        <f t="shared" si="4"/>
        <v/>
      </c>
    </row>
    <row r="86" spans="1:6">
      <c r="A86">
        <v>83</v>
      </c>
      <c r="B86" s="46">
        <v>43304</v>
      </c>
      <c r="C86" s="190">
        <v>61.243426533999852</v>
      </c>
      <c r="D86" s="190">
        <v>28.016997662909688</v>
      </c>
      <c r="E86" s="190">
        <f t="shared" si="3"/>
        <v>28.016997662909688</v>
      </c>
      <c r="F86" s="219" t="str">
        <f t="shared" si="4"/>
        <v/>
      </c>
    </row>
    <row r="87" spans="1:6">
      <c r="A87">
        <v>84</v>
      </c>
      <c r="B87" s="46">
        <v>43305</v>
      </c>
      <c r="C87" s="190">
        <v>54.403870888000235</v>
      </c>
      <c r="D87" s="190">
        <v>28.016997662909688</v>
      </c>
      <c r="E87" s="190">
        <f t="shared" si="3"/>
        <v>28.016997662909688</v>
      </c>
      <c r="F87" s="219" t="str">
        <f t="shared" si="4"/>
        <v/>
      </c>
    </row>
    <row r="88" spans="1:6">
      <c r="A88">
        <v>85</v>
      </c>
      <c r="B88" s="46">
        <v>43306</v>
      </c>
      <c r="C88" s="190">
        <v>48.696425289998736</v>
      </c>
      <c r="D88" s="190">
        <v>28.016997662909688</v>
      </c>
      <c r="E88" s="190">
        <f t="shared" si="3"/>
        <v>28.016997662909688</v>
      </c>
      <c r="F88" s="219" t="str">
        <f t="shared" si="4"/>
        <v/>
      </c>
    </row>
    <row r="89" spans="1:6">
      <c r="A89">
        <v>86</v>
      </c>
      <c r="B89" s="46">
        <v>43307</v>
      </c>
      <c r="C89" s="190">
        <v>48.202042548000477</v>
      </c>
      <c r="D89" s="190">
        <v>28.016997662909688</v>
      </c>
      <c r="E89" s="190">
        <f t="shared" si="3"/>
        <v>28.016997662909688</v>
      </c>
      <c r="F89" s="219" t="str">
        <f t="shared" si="4"/>
        <v/>
      </c>
    </row>
    <row r="90" spans="1:6">
      <c r="A90">
        <v>87</v>
      </c>
      <c r="B90" s="46">
        <v>43308</v>
      </c>
      <c r="C90" s="190">
        <v>48.637679313999165</v>
      </c>
      <c r="D90" s="190">
        <v>28.016997662909688</v>
      </c>
      <c r="E90" s="190">
        <f t="shared" si="3"/>
        <v>28.016997662909688</v>
      </c>
      <c r="F90" s="219" t="str">
        <f t="shared" si="4"/>
        <v/>
      </c>
    </row>
    <row r="91" spans="1:6">
      <c r="A91">
        <v>88</v>
      </c>
      <c r="B91" s="46">
        <v>43309</v>
      </c>
      <c r="C91" s="190">
        <v>41.126988298001699</v>
      </c>
      <c r="D91" s="190">
        <v>28.016997662909688</v>
      </c>
      <c r="E91" s="190">
        <f t="shared" si="3"/>
        <v>28.016997662909688</v>
      </c>
      <c r="F91" s="219" t="str">
        <f t="shared" si="4"/>
        <v/>
      </c>
    </row>
    <row r="92" spans="1:6">
      <c r="A92">
        <v>89</v>
      </c>
      <c r="B92" s="46">
        <v>43310</v>
      </c>
      <c r="C92" s="190">
        <v>36.661641007999229</v>
      </c>
      <c r="D92" s="190">
        <v>28.016997662909688</v>
      </c>
      <c r="E92" s="190">
        <f t="shared" si="3"/>
        <v>28.016997662909688</v>
      </c>
      <c r="F92" s="219" t="str">
        <f t="shared" si="4"/>
        <v/>
      </c>
    </row>
    <row r="93" spans="1:6">
      <c r="A93">
        <v>90</v>
      </c>
      <c r="B93" s="46">
        <v>43311</v>
      </c>
      <c r="C93" s="190">
        <v>42.795573232000386</v>
      </c>
      <c r="D93" s="190">
        <v>28.016997662909688</v>
      </c>
      <c r="E93" s="190">
        <f t="shared" si="3"/>
        <v>28.016997662909688</v>
      </c>
      <c r="F93" s="219" t="str">
        <f t="shared" si="4"/>
        <v/>
      </c>
    </row>
    <row r="94" spans="1:6">
      <c r="A94">
        <v>91</v>
      </c>
      <c r="B94" s="46">
        <v>43312</v>
      </c>
      <c r="C94" s="190">
        <v>34.617167079999312</v>
      </c>
      <c r="D94" s="190">
        <v>28.016997662909688</v>
      </c>
      <c r="E94" s="190">
        <f t="shared" si="3"/>
        <v>28.016997662909688</v>
      </c>
      <c r="F94" s="219" t="str">
        <f t="shared" si="4"/>
        <v/>
      </c>
    </row>
    <row r="95" spans="1:6">
      <c r="A95">
        <v>92</v>
      </c>
      <c r="B95" s="46">
        <v>43313</v>
      </c>
      <c r="C95" s="190">
        <v>50.117297983210477</v>
      </c>
      <c r="D95" s="190">
        <v>16.99706947525484</v>
      </c>
      <c r="E95" s="190">
        <f t="shared" si="3"/>
        <v>16.99706947525484</v>
      </c>
      <c r="F95" s="219" t="str">
        <f t="shared" si="4"/>
        <v/>
      </c>
    </row>
    <row r="96" spans="1:6">
      <c r="A96">
        <v>93</v>
      </c>
      <c r="B96" s="46">
        <v>43314</v>
      </c>
      <c r="C96" s="190">
        <v>61.398725113210475</v>
      </c>
      <c r="D96" s="190">
        <v>16.99706947525484</v>
      </c>
      <c r="E96" s="190">
        <f t="shared" si="3"/>
        <v>16.99706947525484</v>
      </c>
      <c r="F96" s="219" t="str">
        <f t="shared" si="4"/>
        <v/>
      </c>
    </row>
    <row r="97" spans="1:7">
      <c r="A97">
        <v>94</v>
      </c>
      <c r="B97" s="46">
        <v>43315</v>
      </c>
      <c r="C97" s="190">
        <v>72.914481039210472</v>
      </c>
      <c r="D97" s="190">
        <v>16.99706947525484</v>
      </c>
      <c r="E97" s="190">
        <f t="shared" si="3"/>
        <v>16.99706947525484</v>
      </c>
      <c r="F97" s="219" t="str">
        <f t="shared" si="4"/>
        <v/>
      </c>
    </row>
    <row r="98" spans="1:7">
      <c r="A98">
        <v>95</v>
      </c>
      <c r="B98" s="46">
        <v>43316</v>
      </c>
      <c r="C98" s="190">
        <v>47.732188181210468</v>
      </c>
      <c r="D98" s="190">
        <v>16.99706947525484</v>
      </c>
      <c r="E98" s="190">
        <f t="shared" si="3"/>
        <v>16.99706947525484</v>
      </c>
      <c r="F98" s="219" t="str">
        <f t="shared" si="4"/>
        <v/>
      </c>
    </row>
    <row r="99" spans="1:7">
      <c r="A99">
        <v>96</v>
      </c>
      <c r="B99" s="46">
        <v>43317</v>
      </c>
      <c r="C99" s="190">
        <v>38.136530667210479</v>
      </c>
      <c r="D99" s="190">
        <v>16.99706947525484</v>
      </c>
      <c r="E99" s="190">
        <f t="shared" si="3"/>
        <v>16.99706947525484</v>
      </c>
      <c r="F99" s="219" t="str">
        <f t="shared" si="4"/>
        <v/>
      </c>
    </row>
    <row r="100" spans="1:7">
      <c r="A100">
        <v>97</v>
      </c>
      <c r="B100" s="46">
        <v>43318</v>
      </c>
      <c r="C100" s="190">
        <v>54.820534509208606</v>
      </c>
      <c r="D100" s="190">
        <v>16.99706947525484</v>
      </c>
      <c r="E100" s="190">
        <f t="shared" si="3"/>
        <v>16.99706947525484</v>
      </c>
      <c r="F100" s="219" t="str">
        <f t="shared" si="4"/>
        <v/>
      </c>
    </row>
    <row r="101" spans="1:7">
      <c r="A101">
        <v>98</v>
      </c>
      <c r="B101" s="46">
        <v>43319</v>
      </c>
      <c r="C101" s="190">
        <v>41.030135483212334</v>
      </c>
      <c r="D101" s="190">
        <v>16.99706947525484</v>
      </c>
      <c r="E101" s="190">
        <f t="shared" si="3"/>
        <v>16.99706947525484</v>
      </c>
      <c r="F101" s="219" t="str">
        <f t="shared" si="4"/>
        <v/>
      </c>
    </row>
    <row r="102" spans="1:7">
      <c r="A102">
        <v>99</v>
      </c>
      <c r="B102" s="46">
        <v>43320</v>
      </c>
      <c r="C102" s="190">
        <v>40.920904410027099</v>
      </c>
      <c r="D102" s="190">
        <v>16.99706947525484</v>
      </c>
      <c r="E102" s="190">
        <f t="shared" si="3"/>
        <v>16.99706947525484</v>
      </c>
      <c r="F102" s="219" t="str">
        <f t="shared" si="4"/>
        <v/>
      </c>
    </row>
    <row r="103" spans="1:7">
      <c r="A103">
        <v>100</v>
      </c>
      <c r="B103" s="46">
        <v>43321</v>
      </c>
      <c r="C103" s="190">
        <v>35.865252946025237</v>
      </c>
      <c r="D103" s="190">
        <v>16.99706947525484</v>
      </c>
      <c r="E103" s="190">
        <f t="shared" si="3"/>
        <v>16.99706947525484</v>
      </c>
      <c r="F103" s="219" t="str">
        <f t="shared" si="4"/>
        <v/>
      </c>
    </row>
    <row r="104" spans="1:7">
      <c r="A104">
        <v>101</v>
      </c>
      <c r="B104" s="46">
        <v>43322</v>
      </c>
      <c r="C104" s="190">
        <v>27.261782104027102</v>
      </c>
      <c r="D104" s="190">
        <v>16.99706947525484</v>
      </c>
      <c r="E104" s="190">
        <f t="shared" si="3"/>
        <v>16.99706947525484</v>
      </c>
      <c r="F104" s="219" t="str">
        <f t="shared" si="4"/>
        <v/>
      </c>
    </row>
    <row r="105" spans="1:7">
      <c r="A105">
        <v>102</v>
      </c>
      <c r="B105" s="46">
        <v>43323</v>
      </c>
      <c r="C105" s="190">
        <v>38.508029088027101</v>
      </c>
      <c r="D105" s="190">
        <v>16.99706947525484</v>
      </c>
      <c r="E105" s="190">
        <f t="shared" si="3"/>
        <v>16.99706947525484</v>
      </c>
      <c r="F105" s="219" t="str">
        <f t="shared" si="4"/>
        <v/>
      </c>
    </row>
    <row r="106" spans="1:7">
      <c r="A106">
        <v>103</v>
      </c>
      <c r="B106" s="46">
        <v>43324</v>
      </c>
      <c r="C106" s="190">
        <v>28.973105410027099</v>
      </c>
      <c r="D106" s="190">
        <v>16.99706947525484</v>
      </c>
      <c r="E106" s="190">
        <f t="shared" si="3"/>
        <v>16.99706947525484</v>
      </c>
      <c r="F106" s="219" t="str">
        <f t="shared" si="4"/>
        <v/>
      </c>
    </row>
    <row r="107" spans="1:7">
      <c r="A107">
        <v>104</v>
      </c>
      <c r="B107" s="46">
        <v>43325</v>
      </c>
      <c r="C107" s="190">
        <v>32.684378826027093</v>
      </c>
      <c r="D107" s="190">
        <v>16.99706947525484</v>
      </c>
      <c r="E107" s="190">
        <f t="shared" si="3"/>
        <v>16.99706947525484</v>
      </c>
      <c r="F107" s="219" t="str">
        <f t="shared" si="4"/>
        <v/>
      </c>
    </row>
    <row r="108" spans="1:7">
      <c r="A108">
        <v>105</v>
      </c>
      <c r="B108" s="46">
        <v>43326</v>
      </c>
      <c r="C108" s="190">
        <v>29.522073512027099</v>
      </c>
      <c r="D108" s="190">
        <v>16.99706947525484</v>
      </c>
      <c r="E108" s="190">
        <f t="shared" si="3"/>
        <v>16.99706947525484</v>
      </c>
      <c r="F108" s="219" t="str">
        <f t="shared" si="4"/>
        <v/>
      </c>
    </row>
    <row r="109" spans="1:7">
      <c r="A109">
        <v>106</v>
      </c>
      <c r="B109" s="46">
        <v>43327</v>
      </c>
      <c r="C109" s="190">
        <v>26.663366136181466</v>
      </c>
      <c r="D109" s="190">
        <v>16.99706947525484</v>
      </c>
      <c r="E109" s="190">
        <f t="shared" si="3"/>
        <v>16.99706947525484</v>
      </c>
      <c r="F109" s="219" t="str">
        <f t="shared" si="4"/>
        <v>A</v>
      </c>
      <c r="G109" s="220">
        <f t="shared" si="5"/>
        <v>16.99706947525484</v>
      </c>
    </row>
    <row r="110" spans="1:7">
      <c r="A110">
        <v>107</v>
      </c>
      <c r="B110" s="46">
        <v>43328</v>
      </c>
      <c r="C110" s="190">
        <v>34.920634152181464</v>
      </c>
      <c r="D110" s="190">
        <v>16.99706947525484</v>
      </c>
      <c r="E110" s="190">
        <f t="shared" si="3"/>
        <v>16.99706947525484</v>
      </c>
      <c r="F110" s="219" t="str">
        <f t="shared" si="4"/>
        <v/>
      </c>
    </row>
    <row r="111" spans="1:7">
      <c r="A111">
        <v>108</v>
      </c>
      <c r="B111" s="46">
        <v>43329</v>
      </c>
      <c r="C111" s="190">
        <v>20.845326648181466</v>
      </c>
      <c r="D111" s="190">
        <v>16.99706947525484</v>
      </c>
      <c r="E111" s="190">
        <f t="shared" si="3"/>
        <v>16.99706947525484</v>
      </c>
      <c r="F111" s="219" t="str">
        <f t="shared" si="4"/>
        <v/>
      </c>
    </row>
    <row r="112" spans="1:7">
      <c r="A112">
        <v>109</v>
      </c>
      <c r="B112" s="46">
        <v>43330</v>
      </c>
      <c r="C112" s="190">
        <v>22.25592718018147</v>
      </c>
      <c r="D112" s="190">
        <v>16.99706947525484</v>
      </c>
      <c r="E112" s="190">
        <f t="shared" si="3"/>
        <v>16.99706947525484</v>
      </c>
      <c r="F112" s="219" t="str">
        <f t="shared" si="4"/>
        <v/>
      </c>
    </row>
    <row r="113" spans="1:6">
      <c r="A113">
        <v>110</v>
      </c>
      <c r="B113" s="46">
        <v>43331</v>
      </c>
      <c r="C113" s="190">
        <v>21.562576994183328</v>
      </c>
      <c r="D113" s="190">
        <v>16.99706947525484</v>
      </c>
      <c r="E113" s="190">
        <f t="shared" si="3"/>
        <v>16.99706947525484</v>
      </c>
      <c r="F113" s="219" t="str">
        <f t="shared" si="4"/>
        <v/>
      </c>
    </row>
    <row r="114" spans="1:6">
      <c r="A114">
        <v>111</v>
      </c>
      <c r="B114" s="46">
        <v>43332</v>
      </c>
      <c r="C114" s="190">
        <v>52.049536474181473</v>
      </c>
      <c r="D114" s="190">
        <v>16.99706947525484</v>
      </c>
      <c r="E114" s="190">
        <f t="shared" si="3"/>
        <v>16.99706947525484</v>
      </c>
      <c r="F114" s="219" t="str">
        <f t="shared" si="4"/>
        <v/>
      </c>
    </row>
    <row r="115" spans="1:6">
      <c r="A115">
        <v>112</v>
      </c>
      <c r="B115" s="46">
        <v>43333</v>
      </c>
      <c r="C115" s="190">
        <v>49.615551990181473</v>
      </c>
      <c r="D115" s="190">
        <v>16.99706947525484</v>
      </c>
      <c r="E115" s="190">
        <f t="shared" si="3"/>
        <v>16.99706947525484</v>
      </c>
      <c r="F115" s="219" t="str">
        <f t="shared" si="4"/>
        <v/>
      </c>
    </row>
    <row r="116" spans="1:6">
      <c r="A116">
        <v>113</v>
      </c>
      <c r="B116" s="46">
        <v>43334</v>
      </c>
      <c r="C116" s="190">
        <v>47.516879093241599</v>
      </c>
      <c r="D116" s="190">
        <v>16.99706947525484</v>
      </c>
      <c r="E116" s="190">
        <f t="shared" si="3"/>
        <v>16.99706947525484</v>
      </c>
      <c r="F116" s="219" t="str">
        <f t="shared" si="4"/>
        <v/>
      </c>
    </row>
    <row r="117" spans="1:6">
      <c r="A117">
        <v>114</v>
      </c>
      <c r="B117" s="46">
        <v>43335</v>
      </c>
      <c r="C117" s="190">
        <v>48.318055417243464</v>
      </c>
      <c r="D117" s="190">
        <v>16.99706947525484</v>
      </c>
      <c r="E117" s="190">
        <f t="shared" si="3"/>
        <v>16.99706947525484</v>
      </c>
      <c r="F117" s="219" t="str">
        <f t="shared" si="4"/>
        <v/>
      </c>
    </row>
    <row r="118" spans="1:6">
      <c r="A118">
        <v>115</v>
      </c>
      <c r="B118" s="46">
        <v>43336</v>
      </c>
      <c r="C118" s="190">
        <v>30.095850563243467</v>
      </c>
      <c r="D118" s="190">
        <v>16.99706947525484</v>
      </c>
      <c r="E118" s="190">
        <f t="shared" si="3"/>
        <v>16.99706947525484</v>
      </c>
      <c r="F118" s="219" t="str">
        <f t="shared" si="4"/>
        <v/>
      </c>
    </row>
    <row r="119" spans="1:6">
      <c r="A119">
        <v>116</v>
      </c>
      <c r="B119" s="46">
        <v>43337</v>
      </c>
      <c r="C119" s="190">
        <v>11.079852043241605</v>
      </c>
      <c r="D119" s="190">
        <v>16.99706947525484</v>
      </c>
      <c r="E119" s="190">
        <f t="shared" si="3"/>
        <v>11.079852043241605</v>
      </c>
      <c r="F119" s="219" t="str">
        <f t="shared" si="4"/>
        <v/>
      </c>
    </row>
    <row r="120" spans="1:6">
      <c r="A120">
        <v>117</v>
      </c>
      <c r="B120" s="46">
        <v>43338</v>
      </c>
      <c r="C120" s="190">
        <v>13.51483384924347</v>
      </c>
      <c r="D120" s="190">
        <v>16.99706947525484</v>
      </c>
      <c r="E120" s="190">
        <f t="shared" si="3"/>
        <v>13.51483384924347</v>
      </c>
      <c r="F120" s="219" t="str">
        <f t="shared" si="4"/>
        <v/>
      </c>
    </row>
    <row r="121" spans="1:6">
      <c r="A121">
        <v>118</v>
      </c>
      <c r="B121" s="46">
        <v>43339</v>
      </c>
      <c r="C121" s="190">
        <v>46.487615559243466</v>
      </c>
      <c r="D121" s="190">
        <v>16.99706947525484</v>
      </c>
      <c r="E121" s="190">
        <f t="shared" si="3"/>
        <v>16.99706947525484</v>
      </c>
      <c r="F121" s="219" t="str">
        <f t="shared" si="4"/>
        <v/>
      </c>
    </row>
    <row r="122" spans="1:6">
      <c r="A122">
        <v>119</v>
      </c>
      <c r="B122" s="46">
        <v>43340</v>
      </c>
      <c r="C122" s="190">
        <v>40.74981700924161</v>
      </c>
      <c r="D122" s="190">
        <v>16.99706947525484</v>
      </c>
      <c r="E122" s="190">
        <f t="shared" si="3"/>
        <v>16.99706947525484</v>
      </c>
      <c r="F122" s="219" t="str">
        <f t="shared" si="4"/>
        <v/>
      </c>
    </row>
    <row r="123" spans="1:6">
      <c r="A123">
        <v>120</v>
      </c>
      <c r="B123" s="46">
        <v>43341</v>
      </c>
      <c r="C123" s="190">
        <v>34.859788490035747</v>
      </c>
      <c r="D123" s="190">
        <v>16.99706947525484</v>
      </c>
      <c r="E123" s="190">
        <f t="shared" si="3"/>
        <v>16.99706947525484</v>
      </c>
      <c r="F123" s="219" t="str">
        <f t="shared" si="4"/>
        <v/>
      </c>
    </row>
    <row r="124" spans="1:6">
      <c r="A124">
        <v>121</v>
      </c>
      <c r="B124" s="46">
        <v>43342</v>
      </c>
      <c r="C124" s="190">
        <v>43.858392152035741</v>
      </c>
      <c r="D124" s="190">
        <v>16.99706947525484</v>
      </c>
      <c r="E124" s="190">
        <f t="shared" si="3"/>
        <v>16.99706947525484</v>
      </c>
      <c r="F124" s="219" t="str">
        <f t="shared" si="4"/>
        <v/>
      </c>
    </row>
    <row r="125" spans="1:6">
      <c r="A125">
        <v>122</v>
      </c>
      <c r="B125" s="46">
        <v>43343</v>
      </c>
      <c r="C125" s="190">
        <v>28.651377582033877</v>
      </c>
      <c r="D125" s="190">
        <v>16.99706947525484</v>
      </c>
      <c r="E125" s="190">
        <f t="shared" si="3"/>
        <v>16.99706947525484</v>
      </c>
      <c r="F125" s="219" t="str">
        <f t="shared" si="4"/>
        <v/>
      </c>
    </row>
    <row r="126" spans="1:6">
      <c r="A126">
        <v>123</v>
      </c>
      <c r="B126" s="46">
        <v>43344</v>
      </c>
      <c r="C126" s="190">
        <v>16.292057982035747</v>
      </c>
      <c r="D126" s="190">
        <v>22.743378673520009</v>
      </c>
      <c r="E126" s="190">
        <f t="shared" si="3"/>
        <v>16.292057982035747</v>
      </c>
      <c r="F126" s="219" t="str">
        <f t="shared" si="4"/>
        <v/>
      </c>
    </row>
    <row r="127" spans="1:6">
      <c r="A127">
        <v>124</v>
      </c>
      <c r="B127" s="46">
        <v>43345</v>
      </c>
      <c r="C127" s="190">
        <v>28.81470031603574</v>
      </c>
      <c r="D127" s="190">
        <v>22.743378673520009</v>
      </c>
      <c r="E127" s="190">
        <f t="shared" si="3"/>
        <v>22.743378673520009</v>
      </c>
      <c r="F127" s="219" t="str">
        <f t="shared" si="4"/>
        <v/>
      </c>
    </row>
    <row r="128" spans="1:6">
      <c r="A128">
        <v>125</v>
      </c>
      <c r="B128" s="46">
        <v>43346</v>
      </c>
      <c r="C128" s="190">
        <v>39.482491496035742</v>
      </c>
      <c r="D128" s="190">
        <v>22.743378673520009</v>
      </c>
      <c r="E128" s="190">
        <f t="shared" si="3"/>
        <v>22.743378673520009</v>
      </c>
      <c r="F128" s="219" t="str">
        <f t="shared" si="4"/>
        <v/>
      </c>
    </row>
    <row r="129" spans="1:7">
      <c r="A129">
        <v>126</v>
      </c>
      <c r="B129" s="46">
        <v>43347</v>
      </c>
      <c r="C129" s="190">
        <v>33.947607858035745</v>
      </c>
      <c r="D129" s="190">
        <v>22.743378673520009</v>
      </c>
      <c r="E129" s="190">
        <f t="shared" si="3"/>
        <v>22.743378673520009</v>
      </c>
      <c r="F129" s="219" t="str">
        <f t="shared" si="4"/>
        <v/>
      </c>
    </row>
    <row r="130" spans="1:7">
      <c r="A130">
        <v>127</v>
      </c>
      <c r="B130" s="46">
        <v>43348</v>
      </c>
      <c r="C130" s="190">
        <v>37.366073555248455</v>
      </c>
      <c r="D130" s="190">
        <v>22.743378673520009</v>
      </c>
      <c r="E130" s="190">
        <f t="shared" si="3"/>
        <v>22.743378673520009</v>
      </c>
      <c r="F130" s="219" t="str">
        <f t="shared" si="4"/>
        <v/>
      </c>
    </row>
    <row r="131" spans="1:7">
      <c r="A131">
        <v>128</v>
      </c>
      <c r="B131" s="46">
        <v>43349</v>
      </c>
      <c r="C131" s="190">
        <v>26.666166277248458</v>
      </c>
      <c r="D131" s="190">
        <v>22.743378673520009</v>
      </c>
      <c r="E131" s="190">
        <f t="shared" si="3"/>
        <v>22.743378673520009</v>
      </c>
      <c r="F131" s="219" t="str">
        <f t="shared" si="4"/>
        <v/>
      </c>
    </row>
    <row r="132" spans="1:7">
      <c r="A132">
        <v>129</v>
      </c>
      <c r="B132" s="46">
        <v>43350</v>
      </c>
      <c r="C132" s="190">
        <v>24.865338769250318</v>
      </c>
      <c r="D132" s="190">
        <v>22.743378673520009</v>
      </c>
      <c r="E132" s="190">
        <f t="shared" ref="E132:E195" si="6">IF(C132&lt;D132,C132,D132)</f>
        <v>22.743378673520009</v>
      </c>
      <c r="F132" s="219" t="str">
        <f t="shared" ref="F132:F195" si="7">IF(DAY(B132)=15,IF(MONTH(B132)=1,"E",IF(MONTH(B132)=2,"F",IF(MONTH(B132)=3,"M",IF(MONTH(B132)=4,"A",IF(MONTH(B132)=5,"M",IF(MONTH(B132)=6,"J",IF(MONTH(B132)=7,"J",IF(MONTH(B132)=8,"A",IF(MONTH(B132)=9,"S",IF(MONTH(B132)=10,"O",IF(MONTH(B132)=11,"N",IF(MONTH(B132)=12,"D","")))))))))))),"")</f>
        <v/>
      </c>
    </row>
    <row r="133" spans="1:7">
      <c r="A133">
        <v>130</v>
      </c>
      <c r="B133" s="46">
        <v>43351</v>
      </c>
      <c r="C133" s="190">
        <v>29.209192431248454</v>
      </c>
      <c r="D133" s="190">
        <v>22.743378673520009</v>
      </c>
      <c r="E133" s="190">
        <f t="shared" si="6"/>
        <v>22.743378673520009</v>
      </c>
      <c r="F133" s="219" t="str">
        <f t="shared" si="7"/>
        <v/>
      </c>
    </row>
    <row r="134" spans="1:7">
      <c r="A134">
        <v>131</v>
      </c>
      <c r="B134" s="46">
        <v>43352</v>
      </c>
      <c r="C134" s="190">
        <v>19.454866435248455</v>
      </c>
      <c r="D134" s="190">
        <v>22.743378673520009</v>
      </c>
      <c r="E134" s="190">
        <f t="shared" si="6"/>
        <v>19.454866435248455</v>
      </c>
      <c r="F134" s="219" t="str">
        <f t="shared" si="7"/>
        <v/>
      </c>
    </row>
    <row r="135" spans="1:7">
      <c r="A135">
        <v>132</v>
      </c>
      <c r="B135" s="46">
        <v>43353</v>
      </c>
      <c r="C135" s="190">
        <v>34.97460958325032</v>
      </c>
      <c r="D135" s="190">
        <v>22.743378673520009</v>
      </c>
      <c r="E135" s="190">
        <f t="shared" si="6"/>
        <v>22.743378673520009</v>
      </c>
      <c r="F135" s="219" t="str">
        <f t="shared" si="7"/>
        <v/>
      </c>
    </row>
    <row r="136" spans="1:7">
      <c r="A136">
        <v>133</v>
      </c>
      <c r="B136" s="46">
        <v>43354</v>
      </c>
      <c r="C136" s="190">
        <v>52.271077133248461</v>
      </c>
      <c r="D136" s="190">
        <v>22.743378673520009</v>
      </c>
      <c r="E136" s="190">
        <f t="shared" si="6"/>
        <v>22.743378673520009</v>
      </c>
      <c r="F136" s="219" t="str">
        <f t="shared" si="7"/>
        <v/>
      </c>
    </row>
    <row r="137" spans="1:7">
      <c r="A137">
        <v>134</v>
      </c>
      <c r="B137" s="46">
        <v>43355</v>
      </c>
      <c r="C137" s="190">
        <v>55.014708317802551</v>
      </c>
      <c r="D137" s="190">
        <v>22.743378673520009</v>
      </c>
      <c r="E137" s="190">
        <f t="shared" si="6"/>
        <v>22.743378673520009</v>
      </c>
      <c r="F137" s="219" t="str">
        <f t="shared" si="7"/>
        <v/>
      </c>
    </row>
    <row r="138" spans="1:7">
      <c r="A138">
        <v>135</v>
      </c>
      <c r="B138" s="46">
        <v>43356</v>
      </c>
      <c r="C138" s="190">
        <v>51.861687353802552</v>
      </c>
      <c r="D138" s="190">
        <v>22.743378673520009</v>
      </c>
      <c r="E138" s="190">
        <f t="shared" si="6"/>
        <v>22.743378673520009</v>
      </c>
      <c r="F138" s="219" t="str">
        <f t="shared" si="7"/>
        <v/>
      </c>
    </row>
    <row r="139" spans="1:7">
      <c r="A139">
        <v>136</v>
      </c>
      <c r="B139" s="46">
        <v>43357</v>
      </c>
      <c r="C139" s="190">
        <v>36.703183287802545</v>
      </c>
      <c r="D139" s="190">
        <v>22.743378673520009</v>
      </c>
      <c r="E139" s="190">
        <f t="shared" si="6"/>
        <v>22.743378673520009</v>
      </c>
      <c r="F139" s="219" t="str">
        <f t="shared" si="7"/>
        <v/>
      </c>
    </row>
    <row r="140" spans="1:7">
      <c r="A140">
        <v>137</v>
      </c>
      <c r="B140" s="46">
        <v>43358</v>
      </c>
      <c r="C140" s="190">
        <v>15.31814298380255</v>
      </c>
      <c r="D140" s="190">
        <v>22.743378673520009</v>
      </c>
      <c r="E140" s="190">
        <f t="shared" si="6"/>
        <v>15.31814298380255</v>
      </c>
      <c r="F140" s="219" t="str">
        <f t="shared" si="7"/>
        <v>S</v>
      </c>
      <c r="G140" s="220">
        <f t="shared" ref="G140:G170" si="8">IF(DAY(B140)=15,D140,"")</f>
        <v>22.743378673520009</v>
      </c>
    </row>
    <row r="141" spans="1:7">
      <c r="A141">
        <v>138</v>
      </c>
      <c r="B141" s="46">
        <v>43359</v>
      </c>
      <c r="C141" s="190">
        <v>8.5638278258025533</v>
      </c>
      <c r="D141" s="190">
        <v>22.743378673520009</v>
      </c>
      <c r="E141" s="190">
        <f t="shared" si="6"/>
        <v>8.5638278258025533</v>
      </c>
      <c r="F141" s="219" t="str">
        <f t="shared" si="7"/>
        <v/>
      </c>
    </row>
    <row r="142" spans="1:7">
      <c r="A142">
        <v>139</v>
      </c>
      <c r="B142" s="46">
        <v>43360</v>
      </c>
      <c r="C142" s="190">
        <v>14.358251075802553</v>
      </c>
      <c r="D142" s="190">
        <v>22.743378673520009</v>
      </c>
      <c r="E142" s="190">
        <f t="shared" si="6"/>
        <v>14.358251075802553</v>
      </c>
      <c r="F142" s="219" t="str">
        <f t="shared" si="7"/>
        <v/>
      </c>
    </row>
    <row r="143" spans="1:7">
      <c r="A143">
        <v>140</v>
      </c>
      <c r="B143" s="46">
        <v>43361</v>
      </c>
      <c r="C143" s="190">
        <v>28.288171725802545</v>
      </c>
      <c r="D143" s="190">
        <v>22.743378673520009</v>
      </c>
      <c r="E143" s="190">
        <f t="shared" si="6"/>
        <v>22.743378673520009</v>
      </c>
      <c r="F143" s="219" t="str">
        <f t="shared" si="7"/>
        <v/>
      </c>
    </row>
    <row r="144" spans="1:7">
      <c r="A144">
        <v>141</v>
      </c>
      <c r="B144" s="46">
        <v>43362</v>
      </c>
      <c r="C144" s="190">
        <v>52.468209541696432</v>
      </c>
      <c r="D144" s="190">
        <v>22.743378673520009</v>
      </c>
      <c r="E144" s="190">
        <f t="shared" si="6"/>
        <v>22.743378673520009</v>
      </c>
      <c r="F144" s="219" t="str">
        <f t="shared" si="7"/>
        <v/>
      </c>
    </row>
    <row r="145" spans="1:6">
      <c r="A145">
        <v>142</v>
      </c>
      <c r="B145" s="46">
        <v>43363</v>
      </c>
      <c r="C145" s="190">
        <v>48.68029413969829</v>
      </c>
      <c r="D145" s="190">
        <v>22.743378673520009</v>
      </c>
      <c r="E145" s="190">
        <f t="shared" si="6"/>
        <v>22.743378673520009</v>
      </c>
      <c r="F145" s="219" t="str">
        <f t="shared" si="7"/>
        <v/>
      </c>
    </row>
    <row r="146" spans="1:6">
      <c r="A146">
        <v>143</v>
      </c>
      <c r="B146" s="46">
        <v>43364</v>
      </c>
      <c r="C146" s="190">
        <v>41.433091311696437</v>
      </c>
      <c r="D146" s="190">
        <v>22.743378673520009</v>
      </c>
      <c r="E146" s="190">
        <f t="shared" si="6"/>
        <v>22.743378673520009</v>
      </c>
      <c r="F146" s="219" t="str">
        <f t="shared" si="7"/>
        <v/>
      </c>
    </row>
    <row r="147" spans="1:6">
      <c r="A147">
        <v>144</v>
      </c>
      <c r="B147" s="46">
        <v>43365</v>
      </c>
      <c r="C147" s="190">
        <v>15.696338941696435</v>
      </c>
      <c r="D147" s="190">
        <v>22.743378673520009</v>
      </c>
      <c r="E147" s="190">
        <f t="shared" si="6"/>
        <v>15.696338941696435</v>
      </c>
      <c r="F147" s="219" t="str">
        <f t="shared" si="7"/>
        <v/>
      </c>
    </row>
    <row r="148" spans="1:6">
      <c r="A148">
        <v>145</v>
      </c>
      <c r="B148" s="46">
        <v>43366</v>
      </c>
      <c r="C148" s="190">
        <v>5.7461719036982979</v>
      </c>
      <c r="D148" s="190">
        <v>22.743378673520009</v>
      </c>
      <c r="E148" s="190">
        <f t="shared" si="6"/>
        <v>5.7461719036982979</v>
      </c>
      <c r="F148" s="219" t="str">
        <f t="shared" si="7"/>
        <v/>
      </c>
    </row>
    <row r="149" spans="1:6">
      <c r="A149">
        <v>146</v>
      </c>
      <c r="B149" s="46">
        <v>43367</v>
      </c>
      <c r="C149" s="190">
        <v>18.109064911696436</v>
      </c>
      <c r="D149" s="190">
        <v>22.743378673520009</v>
      </c>
      <c r="E149" s="190">
        <f t="shared" si="6"/>
        <v>18.109064911696436</v>
      </c>
      <c r="F149" s="219" t="str">
        <f t="shared" si="7"/>
        <v/>
      </c>
    </row>
    <row r="150" spans="1:6">
      <c r="A150">
        <v>147</v>
      </c>
      <c r="B150" s="46">
        <v>43368</v>
      </c>
      <c r="C150" s="190">
        <v>18.974976891696439</v>
      </c>
      <c r="D150" s="190">
        <v>22.743378673520009</v>
      </c>
      <c r="E150" s="190">
        <f t="shared" si="6"/>
        <v>18.974976891696439</v>
      </c>
      <c r="F150" s="219" t="str">
        <f t="shared" si="7"/>
        <v/>
      </c>
    </row>
    <row r="151" spans="1:6">
      <c r="A151">
        <v>148</v>
      </c>
      <c r="B151" s="46">
        <v>43369</v>
      </c>
      <c r="C151" s="190">
        <v>10.52124702121337</v>
      </c>
      <c r="D151" s="190">
        <v>22.743378673520009</v>
      </c>
      <c r="E151" s="190">
        <f t="shared" si="6"/>
        <v>10.52124702121337</v>
      </c>
      <c r="F151" s="219" t="str">
        <f t="shared" si="7"/>
        <v/>
      </c>
    </row>
    <row r="152" spans="1:6">
      <c r="A152">
        <v>149</v>
      </c>
      <c r="B152" s="46">
        <v>43370</v>
      </c>
      <c r="C152" s="190">
        <v>10.045401815213365</v>
      </c>
      <c r="D152" s="190">
        <v>22.743378673520009</v>
      </c>
      <c r="E152" s="190">
        <f t="shared" si="6"/>
        <v>10.045401815213365</v>
      </c>
      <c r="F152" s="219" t="str">
        <f t="shared" si="7"/>
        <v/>
      </c>
    </row>
    <row r="153" spans="1:6">
      <c r="A153">
        <v>150</v>
      </c>
      <c r="B153" s="46">
        <v>43371</v>
      </c>
      <c r="C153" s="190">
        <v>10.143655751212435</v>
      </c>
      <c r="D153" s="190">
        <v>22.743378673520009</v>
      </c>
      <c r="E153" s="190">
        <f t="shared" si="6"/>
        <v>10.143655751212435</v>
      </c>
      <c r="F153" s="219" t="str">
        <f t="shared" si="7"/>
        <v/>
      </c>
    </row>
    <row r="154" spans="1:6">
      <c r="A154">
        <v>151</v>
      </c>
      <c r="B154" s="46">
        <v>43372</v>
      </c>
      <c r="C154" s="190">
        <v>8.887261627213368</v>
      </c>
      <c r="D154" s="190">
        <v>22.743378673520009</v>
      </c>
      <c r="E154" s="190">
        <f t="shared" si="6"/>
        <v>8.887261627213368</v>
      </c>
      <c r="F154" s="219" t="str">
        <f t="shared" si="7"/>
        <v/>
      </c>
    </row>
    <row r="155" spans="1:6">
      <c r="A155">
        <v>152</v>
      </c>
      <c r="B155" s="46">
        <v>43373</v>
      </c>
      <c r="C155" s="190">
        <v>8.1643874632124351</v>
      </c>
      <c r="D155" s="190">
        <v>22.743378673520009</v>
      </c>
      <c r="E155" s="190">
        <f t="shared" si="6"/>
        <v>8.1643874632124351</v>
      </c>
      <c r="F155" s="219" t="str">
        <f t="shared" si="7"/>
        <v/>
      </c>
    </row>
    <row r="156" spans="1:6">
      <c r="A156">
        <v>153</v>
      </c>
      <c r="B156" s="46">
        <v>43374</v>
      </c>
      <c r="C156" s="190">
        <v>7.4252774952133693</v>
      </c>
      <c r="D156" s="190">
        <v>45.741764250654825</v>
      </c>
      <c r="E156" s="190">
        <f t="shared" si="6"/>
        <v>7.4252774952133693</v>
      </c>
      <c r="F156" s="219" t="str">
        <f t="shared" si="7"/>
        <v/>
      </c>
    </row>
    <row r="157" spans="1:6">
      <c r="A157">
        <v>154</v>
      </c>
      <c r="B157" s="46">
        <v>43375</v>
      </c>
      <c r="C157" s="190">
        <v>4.6113332072124393</v>
      </c>
      <c r="D157" s="190">
        <v>45.741764250654825</v>
      </c>
      <c r="E157" s="190">
        <f t="shared" si="6"/>
        <v>4.6113332072124393</v>
      </c>
      <c r="F157" s="219" t="str">
        <f t="shared" si="7"/>
        <v/>
      </c>
    </row>
    <row r="158" spans="1:6">
      <c r="A158">
        <v>155</v>
      </c>
      <c r="B158" s="46">
        <v>43376</v>
      </c>
      <c r="C158" s="190">
        <v>2.4112627607003305</v>
      </c>
      <c r="D158" s="190">
        <v>45.741764250654825</v>
      </c>
      <c r="E158" s="190">
        <f t="shared" si="6"/>
        <v>2.4112627607003305</v>
      </c>
      <c r="F158" s="219" t="str">
        <f t="shared" si="7"/>
        <v/>
      </c>
    </row>
    <row r="159" spans="1:6">
      <c r="A159">
        <v>156</v>
      </c>
      <c r="B159" s="46">
        <v>43377</v>
      </c>
      <c r="C159" s="190">
        <v>7.0308852647012605</v>
      </c>
      <c r="D159" s="190">
        <v>45.741764250654825</v>
      </c>
      <c r="E159" s="190">
        <f t="shared" si="6"/>
        <v>7.0308852647012605</v>
      </c>
      <c r="F159" s="219" t="str">
        <f t="shared" si="7"/>
        <v/>
      </c>
    </row>
    <row r="160" spans="1:6">
      <c r="A160">
        <v>157</v>
      </c>
      <c r="B160" s="46">
        <v>43378</v>
      </c>
      <c r="C160" s="190">
        <v>5.9319190727003299</v>
      </c>
      <c r="D160" s="190">
        <v>45.741764250654825</v>
      </c>
      <c r="E160" s="190">
        <f t="shared" si="6"/>
        <v>5.9319190727003299</v>
      </c>
      <c r="F160" s="219" t="str">
        <f t="shared" si="7"/>
        <v/>
      </c>
    </row>
    <row r="161" spans="1:7">
      <c r="A161">
        <v>158</v>
      </c>
      <c r="B161" s="46">
        <v>43379</v>
      </c>
      <c r="C161" s="190">
        <v>3.946247852700326</v>
      </c>
      <c r="D161" s="190">
        <v>45.741764250654825</v>
      </c>
      <c r="E161" s="190">
        <f t="shared" si="6"/>
        <v>3.946247852700326</v>
      </c>
      <c r="F161" s="219" t="str">
        <f t="shared" si="7"/>
        <v/>
      </c>
    </row>
    <row r="162" spans="1:7">
      <c r="A162">
        <v>159</v>
      </c>
      <c r="B162" s="46">
        <v>43380</v>
      </c>
      <c r="C162" s="190">
        <v>1.9682216107003296</v>
      </c>
      <c r="D162" s="190">
        <v>45.741764250654825</v>
      </c>
      <c r="E162" s="190">
        <f t="shared" si="6"/>
        <v>1.9682216107003296</v>
      </c>
      <c r="F162" s="219" t="str">
        <f t="shared" si="7"/>
        <v/>
      </c>
    </row>
    <row r="163" spans="1:7">
      <c r="A163">
        <v>160</v>
      </c>
      <c r="B163" s="46">
        <v>43381</v>
      </c>
      <c r="C163" s="190">
        <v>2.5057455447012615</v>
      </c>
      <c r="D163" s="190">
        <v>45.741764250654825</v>
      </c>
      <c r="E163" s="190">
        <f t="shared" si="6"/>
        <v>2.5057455447012615</v>
      </c>
      <c r="F163" s="219" t="str">
        <f t="shared" si="7"/>
        <v/>
      </c>
    </row>
    <row r="164" spans="1:7">
      <c r="A164">
        <v>161</v>
      </c>
      <c r="B164" s="46">
        <v>43382</v>
      </c>
      <c r="C164" s="190">
        <v>4.9099687527003262</v>
      </c>
      <c r="D164" s="190">
        <v>45.741764250654825</v>
      </c>
      <c r="E164" s="190">
        <f t="shared" si="6"/>
        <v>4.9099687527003262</v>
      </c>
      <c r="F164" s="219" t="str">
        <f t="shared" si="7"/>
        <v/>
      </c>
    </row>
    <row r="165" spans="1:7">
      <c r="A165">
        <v>162</v>
      </c>
      <c r="B165" s="46">
        <v>43383</v>
      </c>
      <c r="C165" s="190">
        <v>29.922283912888815</v>
      </c>
      <c r="D165" s="190">
        <v>45.741764250654825</v>
      </c>
      <c r="E165" s="190">
        <f t="shared" si="6"/>
        <v>29.922283912888815</v>
      </c>
      <c r="F165" s="219" t="str">
        <f t="shared" si="7"/>
        <v/>
      </c>
    </row>
    <row r="166" spans="1:7">
      <c r="A166">
        <v>163</v>
      </c>
      <c r="B166" s="46">
        <v>43384</v>
      </c>
      <c r="C166" s="190">
        <v>25.401274768888818</v>
      </c>
      <c r="D166" s="190">
        <v>45.741764250654825</v>
      </c>
      <c r="E166" s="190">
        <f t="shared" si="6"/>
        <v>25.401274768888818</v>
      </c>
      <c r="F166" s="219" t="str">
        <f t="shared" si="7"/>
        <v/>
      </c>
    </row>
    <row r="167" spans="1:7">
      <c r="A167">
        <v>164</v>
      </c>
      <c r="B167" s="46">
        <v>43385</v>
      </c>
      <c r="C167" s="190">
        <v>26.291245220888815</v>
      </c>
      <c r="D167" s="190">
        <v>45.741764250654825</v>
      </c>
      <c r="E167" s="190">
        <f t="shared" si="6"/>
        <v>26.291245220888815</v>
      </c>
      <c r="F167" s="219" t="str">
        <f t="shared" si="7"/>
        <v/>
      </c>
    </row>
    <row r="168" spans="1:7">
      <c r="A168">
        <v>165</v>
      </c>
      <c r="B168" s="46">
        <v>43386</v>
      </c>
      <c r="C168" s="190">
        <v>14.202770838888817</v>
      </c>
      <c r="D168" s="190">
        <v>45.741764250654825</v>
      </c>
      <c r="E168" s="190">
        <f t="shared" si="6"/>
        <v>14.202770838888817</v>
      </c>
      <c r="F168" s="219" t="str">
        <f t="shared" si="7"/>
        <v/>
      </c>
    </row>
    <row r="169" spans="1:7">
      <c r="A169">
        <v>166</v>
      </c>
      <c r="B169" s="46">
        <v>43387</v>
      </c>
      <c r="C169" s="190">
        <v>17.409148476889747</v>
      </c>
      <c r="D169" s="190">
        <v>45.741764250654825</v>
      </c>
      <c r="E169" s="190">
        <f t="shared" si="6"/>
        <v>17.409148476889747</v>
      </c>
      <c r="F169" s="219" t="str">
        <f t="shared" si="7"/>
        <v/>
      </c>
    </row>
    <row r="170" spans="1:7">
      <c r="A170">
        <v>167</v>
      </c>
      <c r="B170" s="46">
        <v>43388</v>
      </c>
      <c r="C170" s="190">
        <v>36.150228392888813</v>
      </c>
      <c r="D170" s="190">
        <v>45.741764250654825</v>
      </c>
      <c r="E170" s="190">
        <f t="shared" si="6"/>
        <v>36.150228392888813</v>
      </c>
      <c r="F170" s="219" t="str">
        <f t="shared" si="7"/>
        <v>O</v>
      </c>
      <c r="G170" s="220">
        <f t="shared" si="8"/>
        <v>45.741764250654825</v>
      </c>
    </row>
    <row r="171" spans="1:7">
      <c r="A171">
        <v>168</v>
      </c>
      <c r="B171" s="46">
        <v>43389</v>
      </c>
      <c r="C171" s="190">
        <v>65.735409520888822</v>
      </c>
      <c r="D171" s="190">
        <v>45.741764250654825</v>
      </c>
      <c r="E171" s="190">
        <f t="shared" si="6"/>
        <v>45.741764250654825</v>
      </c>
      <c r="F171" s="219" t="str">
        <f t="shared" si="7"/>
        <v/>
      </c>
    </row>
    <row r="172" spans="1:7">
      <c r="A172">
        <v>169</v>
      </c>
      <c r="B172" s="46">
        <v>43390</v>
      </c>
      <c r="C172" s="190">
        <v>73.439336114986489</v>
      </c>
      <c r="D172" s="190">
        <v>45.741764250654825</v>
      </c>
      <c r="E172" s="190">
        <f t="shared" si="6"/>
        <v>45.741764250654825</v>
      </c>
      <c r="F172" s="219" t="str">
        <f t="shared" si="7"/>
        <v/>
      </c>
    </row>
    <row r="173" spans="1:7">
      <c r="A173">
        <v>170</v>
      </c>
      <c r="B173" s="46">
        <v>43391</v>
      </c>
      <c r="C173" s="190">
        <v>45.994974128986492</v>
      </c>
      <c r="D173" s="190">
        <v>45.741764250654825</v>
      </c>
      <c r="E173" s="190">
        <f t="shared" si="6"/>
        <v>45.741764250654825</v>
      </c>
      <c r="F173" s="219" t="str">
        <f t="shared" si="7"/>
        <v/>
      </c>
    </row>
    <row r="174" spans="1:7">
      <c r="A174">
        <v>171</v>
      </c>
      <c r="B174" s="46">
        <v>43392</v>
      </c>
      <c r="C174" s="190">
        <v>49.237889926986483</v>
      </c>
      <c r="D174" s="190">
        <v>45.741764250654825</v>
      </c>
      <c r="E174" s="190">
        <f t="shared" si="6"/>
        <v>45.741764250654825</v>
      </c>
      <c r="F174" s="219" t="str">
        <f t="shared" si="7"/>
        <v/>
      </c>
    </row>
    <row r="175" spans="1:7">
      <c r="A175">
        <v>172</v>
      </c>
      <c r="B175" s="46">
        <v>43393</v>
      </c>
      <c r="C175" s="190">
        <v>45.339922974987424</v>
      </c>
      <c r="D175" s="190">
        <v>45.741764250654825</v>
      </c>
      <c r="E175" s="190">
        <f t="shared" si="6"/>
        <v>45.339922974987424</v>
      </c>
      <c r="F175" s="219" t="str">
        <f t="shared" si="7"/>
        <v/>
      </c>
    </row>
    <row r="176" spans="1:7">
      <c r="A176">
        <v>173</v>
      </c>
      <c r="B176" s="46">
        <v>43394</v>
      </c>
      <c r="C176" s="190">
        <v>45.968826122986485</v>
      </c>
      <c r="D176" s="190">
        <v>45.741764250654825</v>
      </c>
      <c r="E176" s="190">
        <f t="shared" si="6"/>
        <v>45.741764250654825</v>
      </c>
      <c r="F176" s="219" t="str">
        <f t="shared" si="7"/>
        <v/>
      </c>
    </row>
    <row r="177" spans="1:6">
      <c r="A177">
        <v>174</v>
      </c>
      <c r="B177" s="46">
        <v>43395</v>
      </c>
      <c r="C177" s="190">
        <v>44.118682864986489</v>
      </c>
      <c r="D177" s="190">
        <v>45.741764250654825</v>
      </c>
      <c r="E177" s="190">
        <f t="shared" si="6"/>
        <v>44.118682864986489</v>
      </c>
      <c r="F177" s="219" t="str">
        <f t="shared" si="7"/>
        <v/>
      </c>
    </row>
    <row r="178" spans="1:6">
      <c r="A178">
        <v>175</v>
      </c>
      <c r="B178" s="46">
        <v>43396</v>
      </c>
      <c r="C178" s="190">
        <v>42.551666610986487</v>
      </c>
      <c r="D178" s="190">
        <v>45.741764250654825</v>
      </c>
      <c r="E178" s="190">
        <f t="shared" si="6"/>
        <v>42.551666610986487</v>
      </c>
      <c r="F178" s="219" t="str">
        <f t="shared" si="7"/>
        <v/>
      </c>
    </row>
    <row r="179" spans="1:6">
      <c r="A179">
        <v>176</v>
      </c>
      <c r="B179" s="46">
        <v>43397</v>
      </c>
      <c r="C179" s="190">
        <v>32.040779314450049</v>
      </c>
      <c r="D179" s="190">
        <v>45.741764250654825</v>
      </c>
      <c r="E179" s="190">
        <f t="shared" si="6"/>
        <v>32.040779314450049</v>
      </c>
      <c r="F179" s="219" t="str">
        <f t="shared" si="7"/>
        <v/>
      </c>
    </row>
    <row r="180" spans="1:6">
      <c r="A180">
        <v>177</v>
      </c>
      <c r="B180" s="46">
        <v>43398</v>
      </c>
      <c r="C180" s="190">
        <v>46.540701682450049</v>
      </c>
      <c r="D180" s="190">
        <v>45.741764250654825</v>
      </c>
      <c r="E180" s="190">
        <f t="shared" si="6"/>
        <v>45.741764250654825</v>
      </c>
      <c r="F180" s="219" t="str">
        <f t="shared" si="7"/>
        <v/>
      </c>
    </row>
    <row r="181" spans="1:6">
      <c r="A181">
        <v>178</v>
      </c>
      <c r="B181" s="46">
        <v>43399</v>
      </c>
      <c r="C181" s="190">
        <v>49.272894104450053</v>
      </c>
      <c r="D181" s="190">
        <v>45.741764250654825</v>
      </c>
      <c r="E181" s="190">
        <f t="shared" si="6"/>
        <v>45.741764250654825</v>
      </c>
      <c r="F181" s="219" t="str">
        <f t="shared" si="7"/>
        <v/>
      </c>
    </row>
    <row r="182" spans="1:6">
      <c r="A182">
        <v>179</v>
      </c>
      <c r="B182" s="46">
        <v>43400</v>
      </c>
      <c r="C182" s="190">
        <v>19.379339686450045</v>
      </c>
      <c r="D182" s="190">
        <v>45.741764250654825</v>
      </c>
      <c r="E182" s="190">
        <f t="shared" si="6"/>
        <v>19.379339686450045</v>
      </c>
      <c r="F182" s="219" t="str">
        <f t="shared" si="7"/>
        <v/>
      </c>
    </row>
    <row r="183" spans="1:6">
      <c r="A183">
        <v>180</v>
      </c>
      <c r="B183" s="46">
        <v>43401</v>
      </c>
      <c r="C183" s="190">
        <v>11.525720718450048</v>
      </c>
      <c r="D183" s="190">
        <v>45.741764250654825</v>
      </c>
      <c r="E183" s="190">
        <f t="shared" si="6"/>
        <v>11.525720718450048</v>
      </c>
      <c r="F183" s="219" t="str">
        <f t="shared" si="7"/>
        <v/>
      </c>
    </row>
    <row r="184" spans="1:6">
      <c r="A184">
        <v>181</v>
      </c>
      <c r="B184" s="46">
        <v>43402</v>
      </c>
      <c r="C184" s="190">
        <v>16.507644544450049</v>
      </c>
      <c r="D184" s="190">
        <v>45.741764250654825</v>
      </c>
      <c r="E184" s="190">
        <f t="shared" si="6"/>
        <v>16.507644544450049</v>
      </c>
      <c r="F184" s="219" t="str">
        <f t="shared" si="7"/>
        <v/>
      </c>
    </row>
    <row r="185" spans="1:6">
      <c r="A185">
        <v>182</v>
      </c>
      <c r="B185" s="46">
        <v>43403</v>
      </c>
      <c r="C185" s="190">
        <v>45.906121108450051</v>
      </c>
      <c r="D185" s="190">
        <v>45.741764250654825</v>
      </c>
      <c r="E185" s="190">
        <f t="shared" si="6"/>
        <v>45.741764250654825</v>
      </c>
      <c r="F185" s="219" t="str">
        <f t="shared" si="7"/>
        <v/>
      </c>
    </row>
    <row r="186" spans="1:6">
      <c r="A186">
        <v>183</v>
      </c>
      <c r="B186" s="46">
        <v>43404</v>
      </c>
      <c r="C186" s="190">
        <v>75.911397372363609</v>
      </c>
      <c r="D186" s="190">
        <v>45.741764250654825</v>
      </c>
      <c r="E186" s="190">
        <f t="shared" si="6"/>
        <v>45.741764250654825</v>
      </c>
      <c r="F186" s="219" t="str">
        <f t="shared" si="7"/>
        <v/>
      </c>
    </row>
    <row r="187" spans="1:6">
      <c r="A187">
        <v>184</v>
      </c>
      <c r="B187" s="46">
        <v>43405</v>
      </c>
      <c r="C187" s="190">
        <v>43.424325616363625</v>
      </c>
      <c r="D187" s="190">
        <v>80.413851096189973</v>
      </c>
      <c r="E187" s="190">
        <f t="shared" si="6"/>
        <v>43.424325616363625</v>
      </c>
      <c r="F187" s="219" t="str">
        <f t="shared" si="7"/>
        <v/>
      </c>
    </row>
    <row r="188" spans="1:6">
      <c r="A188">
        <v>185</v>
      </c>
      <c r="B188" s="46">
        <v>43406</v>
      </c>
      <c r="C188" s="190">
        <v>47.082433798362693</v>
      </c>
      <c r="D188" s="190">
        <v>80.413851096189973</v>
      </c>
      <c r="E188" s="190">
        <f t="shared" si="6"/>
        <v>47.082433798362693</v>
      </c>
      <c r="F188" s="219" t="str">
        <f t="shared" si="7"/>
        <v/>
      </c>
    </row>
    <row r="189" spans="1:6">
      <c r="A189">
        <v>186</v>
      </c>
      <c r="B189" s="46">
        <v>43407</v>
      </c>
      <c r="C189" s="190">
        <v>47.249854606363627</v>
      </c>
      <c r="D189" s="190">
        <v>80.413851096189973</v>
      </c>
      <c r="E189" s="190">
        <f t="shared" si="6"/>
        <v>47.249854606363627</v>
      </c>
      <c r="F189" s="219" t="str">
        <f t="shared" si="7"/>
        <v/>
      </c>
    </row>
    <row r="190" spans="1:6">
      <c r="A190">
        <v>187</v>
      </c>
      <c r="B190" s="46">
        <v>43408</v>
      </c>
      <c r="C190" s="190">
        <v>43.322870924363627</v>
      </c>
      <c r="D190" s="190">
        <v>80.413851096189973</v>
      </c>
      <c r="E190" s="190">
        <f t="shared" si="6"/>
        <v>43.322870924363627</v>
      </c>
      <c r="F190" s="219" t="str">
        <f t="shared" si="7"/>
        <v/>
      </c>
    </row>
    <row r="191" spans="1:6">
      <c r="A191">
        <v>188</v>
      </c>
      <c r="B191" s="46">
        <v>43409</v>
      </c>
      <c r="C191" s="190">
        <v>57.86399866236269</v>
      </c>
      <c r="D191" s="190">
        <v>80.413851096189973</v>
      </c>
      <c r="E191" s="190">
        <f t="shared" si="6"/>
        <v>57.86399866236269</v>
      </c>
      <c r="F191" s="219" t="str">
        <f t="shared" si="7"/>
        <v/>
      </c>
    </row>
    <row r="192" spans="1:6">
      <c r="A192">
        <v>189</v>
      </c>
      <c r="B192" s="46">
        <v>43410</v>
      </c>
      <c r="C192" s="190">
        <v>48.883623674363626</v>
      </c>
      <c r="D192" s="190">
        <v>80.413851096189973</v>
      </c>
      <c r="E192" s="190">
        <f t="shared" si="6"/>
        <v>48.883623674363626</v>
      </c>
      <c r="F192" s="219" t="str">
        <f t="shared" si="7"/>
        <v/>
      </c>
    </row>
    <row r="193" spans="1:7">
      <c r="A193">
        <v>190</v>
      </c>
      <c r="B193" s="46">
        <v>43411</v>
      </c>
      <c r="C193" s="190">
        <v>86.697215459148893</v>
      </c>
      <c r="D193" s="190">
        <v>80.413851096189973</v>
      </c>
      <c r="E193" s="190">
        <f t="shared" si="6"/>
        <v>80.413851096189973</v>
      </c>
      <c r="F193" s="219" t="str">
        <f t="shared" si="7"/>
        <v/>
      </c>
    </row>
    <row r="194" spans="1:7">
      <c r="A194">
        <v>191</v>
      </c>
      <c r="B194" s="46">
        <v>43412</v>
      </c>
      <c r="C194" s="190">
        <v>90.698029073148874</v>
      </c>
      <c r="D194" s="190">
        <v>80.413851096189973</v>
      </c>
      <c r="E194" s="190">
        <f t="shared" si="6"/>
        <v>80.413851096189973</v>
      </c>
      <c r="F194" s="219" t="str">
        <f t="shared" si="7"/>
        <v/>
      </c>
    </row>
    <row r="195" spans="1:7">
      <c r="A195">
        <v>192</v>
      </c>
      <c r="B195" s="46">
        <v>43413</v>
      </c>
      <c r="C195" s="190">
        <v>92.800830639148884</v>
      </c>
      <c r="D195" s="190">
        <v>80.413851096189973</v>
      </c>
      <c r="E195" s="190">
        <f t="shared" si="6"/>
        <v>80.413851096189973</v>
      </c>
      <c r="F195" s="219" t="str">
        <f t="shared" si="7"/>
        <v/>
      </c>
    </row>
    <row r="196" spans="1:7">
      <c r="A196">
        <v>193</v>
      </c>
      <c r="B196" s="46">
        <v>43414</v>
      </c>
      <c r="C196" s="190">
        <v>94.999431411147953</v>
      </c>
      <c r="D196" s="190">
        <v>80.413851096189973</v>
      </c>
      <c r="E196" s="190">
        <f t="shared" ref="E196:E259" si="9">IF(C196&lt;D196,C196,D196)</f>
        <v>80.413851096189973</v>
      </c>
      <c r="F196" s="219" t="str">
        <f t="shared" ref="F196:F259" si="10">IF(DAY(B196)=15,IF(MONTH(B196)=1,"E",IF(MONTH(B196)=2,"F",IF(MONTH(B196)=3,"M",IF(MONTH(B196)=4,"A",IF(MONTH(B196)=5,"M",IF(MONTH(B196)=6,"J",IF(MONTH(B196)=7,"J",IF(MONTH(B196)=8,"A",IF(MONTH(B196)=9,"S",IF(MONTH(B196)=10,"O",IF(MONTH(B196)=11,"N",IF(MONTH(B196)=12,"D","")))))))))))),"")</f>
        <v/>
      </c>
    </row>
    <row r="197" spans="1:7">
      <c r="A197">
        <v>194</v>
      </c>
      <c r="B197" s="46">
        <v>43415</v>
      </c>
      <c r="C197" s="190">
        <v>98.088628529148892</v>
      </c>
      <c r="D197" s="190">
        <v>80.413851096189973</v>
      </c>
      <c r="E197" s="190">
        <f t="shared" si="9"/>
        <v>80.413851096189973</v>
      </c>
      <c r="F197" s="219" t="str">
        <f t="shared" si="10"/>
        <v/>
      </c>
    </row>
    <row r="198" spans="1:7">
      <c r="A198">
        <v>195</v>
      </c>
      <c r="B198" s="46">
        <v>43416</v>
      </c>
      <c r="C198" s="190">
        <v>121.64598552914887</v>
      </c>
      <c r="D198" s="190">
        <v>80.413851096189973</v>
      </c>
      <c r="E198" s="190">
        <f t="shared" si="9"/>
        <v>80.413851096189973</v>
      </c>
      <c r="F198" s="219" t="str">
        <f t="shared" si="10"/>
        <v/>
      </c>
    </row>
    <row r="199" spans="1:7">
      <c r="A199">
        <v>196</v>
      </c>
      <c r="B199" s="46">
        <v>43417</v>
      </c>
      <c r="C199" s="190">
        <v>115.91468230914887</v>
      </c>
      <c r="D199" s="190">
        <v>80.413851096189973</v>
      </c>
      <c r="E199" s="190">
        <f t="shared" si="9"/>
        <v>80.413851096189973</v>
      </c>
      <c r="F199" s="219" t="str">
        <f t="shared" si="10"/>
        <v/>
      </c>
    </row>
    <row r="200" spans="1:7">
      <c r="A200">
        <v>197</v>
      </c>
      <c r="B200" s="46">
        <v>43418</v>
      </c>
      <c r="C200" s="190">
        <v>92.822247129739196</v>
      </c>
      <c r="D200" s="190">
        <v>80.413851096189973</v>
      </c>
      <c r="E200" s="190">
        <f t="shared" si="9"/>
        <v>80.413851096189973</v>
      </c>
      <c r="F200" s="219" t="str">
        <f t="shared" si="10"/>
        <v/>
      </c>
    </row>
    <row r="201" spans="1:7">
      <c r="A201">
        <v>198</v>
      </c>
      <c r="B201" s="46">
        <v>43419</v>
      </c>
      <c r="C201" s="190">
        <v>99.529775713739184</v>
      </c>
      <c r="D201" s="190">
        <v>80.413851096189973</v>
      </c>
      <c r="E201" s="190">
        <f t="shared" si="9"/>
        <v>80.413851096189973</v>
      </c>
      <c r="F201" s="219" t="str">
        <f t="shared" si="10"/>
        <v>N</v>
      </c>
      <c r="G201" s="220">
        <f t="shared" ref="G201:G231" si="11">IF(DAY(B201)=15,D201,"")</f>
        <v>80.413851096189973</v>
      </c>
    </row>
    <row r="202" spans="1:7">
      <c r="A202">
        <v>199</v>
      </c>
      <c r="B202" s="46">
        <v>43420</v>
      </c>
      <c r="C202" s="190">
        <v>100.60126806573825</v>
      </c>
      <c r="D202" s="190">
        <v>80.413851096189973</v>
      </c>
      <c r="E202" s="190">
        <f t="shared" si="9"/>
        <v>80.413851096189973</v>
      </c>
      <c r="F202" s="219" t="str">
        <f t="shared" si="10"/>
        <v/>
      </c>
    </row>
    <row r="203" spans="1:7">
      <c r="A203">
        <v>200</v>
      </c>
      <c r="B203" s="46">
        <v>43421</v>
      </c>
      <c r="C203" s="190">
        <v>76.288862461739186</v>
      </c>
      <c r="D203" s="190">
        <v>80.413851096189973</v>
      </c>
      <c r="E203" s="190">
        <f t="shared" si="9"/>
        <v>76.288862461739186</v>
      </c>
      <c r="F203" s="219" t="str">
        <f t="shared" si="10"/>
        <v/>
      </c>
    </row>
    <row r="204" spans="1:7">
      <c r="A204">
        <v>201</v>
      </c>
      <c r="B204" s="46">
        <v>43422</v>
      </c>
      <c r="C204" s="190">
        <v>72.252963381739193</v>
      </c>
      <c r="D204" s="190">
        <v>80.413851096189973</v>
      </c>
      <c r="E204" s="190">
        <f t="shared" si="9"/>
        <v>72.252963381739193</v>
      </c>
      <c r="F204" s="219" t="str">
        <f t="shared" si="10"/>
        <v/>
      </c>
    </row>
    <row r="205" spans="1:7">
      <c r="A205">
        <v>202</v>
      </c>
      <c r="B205" s="46">
        <v>43423</v>
      </c>
      <c r="C205" s="190">
        <v>107.83111573573917</v>
      </c>
      <c r="D205" s="190">
        <v>80.413851096189973</v>
      </c>
      <c r="E205" s="190">
        <f t="shared" si="9"/>
        <v>80.413851096189973</v>
      </c>
      <c r="F205" s="219" t="str">
        <f t="shared" si="10"/>
        <v/>
      </c>
    </row>
    <row r="206" spans="1:7">
      <c r="A206">
        <v>203</v>
      </c>
      <c r="B206" s="46">
        <v>43424</v>
      </c>
      <c r="C206" s="190">
        <v>95.253191345739182</v>
      </c>
      <c r="D206" s="190">
        <v>80.413851096189973</v>
      </c>
      <c r="E206" s="190">
        <f t="shared" si="9"/>
        <v>80.413851096189973</v>
      </c>
      <c r="F206" s="219" t="str">
        <f t="shared" si="10"/>
        <v/>
      </c>
    </row>
    <row r="207" spans="1:7">
      <c r="A207">
        <v>204</v>
      </c>
      <c r="B207" s="46">
        <v>43425</v>
      </c>
      <c r="C207" s="190">
        <v>84.215728363572993</v>
      </c>
      <c r="D207" s="190">
        <v>80.413851096189973</v>
      </c>
      <c r="E207" s="190">
        <f t="shared" si="9"/>
        <v>80.413851096189973</v>
      </c>
      <c r="F207" s="219" t="str">
        <f t="shared" si="10"/>
        <v/>
      </c>
    </row>
    <row r="208" spans="1:7">
      <c r="A208">
        <v>205</v>
      </c>
      <c r="B208" s="46">
        <v>43426</v>
      </c>
      <c r="C208" s="190">
        <v>100.02718760957394</v>
      </c>
      <c r="D208" s="190">
        <v>80.413851096189973</v>
      </c>
      <c r="E208" s="190">
        <f t="shared" si="9"/>
        <v>80.413851096189973</v>
      </c>
      <c r="F208" s="219" t="str">
        <f t="shared" si="10"/>
        <v/>
      </c>
    </row>
    <row r="209" spans="1:6">
      <c r="A209">
        <v>206</v>
      </c>
      <c r="B209" s="46">
        <v>43427</v>
      </c>
      <c r="C209" s="190">
        <v>93.96939724957393</v>
      </c>
      <c r="D209" s="190">
        <v>80.413851096189973</v>
      </c>
      <c r="E209" s="190">
        <f t="shared" si="9"/>
        <v>80.413851096189973</v>
      </c>
      <c r="F209" s="219" t="str">
        <f t="shared" si="10"/>
        <v/>
      </c>
    </row>
    <row r="210" spans="1:6">
      <c r="A210">
        <v>207</v>
      </c>
      <c r="B210" s="46">
        <v>43428</v>
      </c>
      <c r="C210" s="190">
        <v>71.461598399573006</v>
      </c>
      <c r="D210" s="190">
        <v>80.413851096189973</v>
      </c>
      <c r="E210" s="190">
        <f t="shared" si="9"/>
        <v>71.461598399573006</v>
      </c>
      <c r="F210" s="219" t="str">
        <f t="shared" si="10"/>
        <v/>
      </c>
    </row>
    <row r="211" spans="1:6">
      <c r="A211">
        <v>208</v>
      </c>
      <c r="B211" s="46">
        <v>43429</v>
      </c>
      <c r="C211" s="190">
        <v>73.549878463573933</v>
      </c>
      <c r="D211" s="190">
        <v>80.413851096189973</v>
      </c>
      <c r="E211" s="190">
        <f t="shared" si="9"/>
        <v>73.549878463573933</v>
      </c>
      <c r="F211" s="219" t="str">
        <f t="shared" si="10"/>
        <v/>
      </c>
    </row>
    <row r="212" spans="1:6">
      <c r="A212">
        <v>209</v>
      </c>
      <c r="B212" s="46">
        <v>43430</v>
      </c>
      <c r="C212" s="190">
        <v>89.025708399573006</v>
      </c>
      <c r="D212" s="190">
        <v>80.413851096189973</v>
      </c>
      <c r="E212" s="190">
        <f t="shared" si="9"/>
        <v>80.413851096189973</v>
      </c>
      <c r="F212" s="219" t="str">
        <f t="shared" si="10"/>
        <v/>
      </c>
    </row>
    <row r="213" spans="1:6">
      <c r="A213">
        <v>210</v>
      </c>
      <c r="B213" s="46">
        <v>43431</v>
      </c>
      <c r="C213" s="190">
        <v>91.790635073573938</v>
      </c>
      <c r="D213" s="190">
        <v>80.413851096189973</v>
      </c>
      <c r="E213" s="190">
        <f t="shared" si="9"/>
        <v>80.413851096189973</v>
      </c>
      <c r="F213" s="219" t="str">
        <f t="shared" si="10"/>
        <v/>
      </c>
    </row>
    <row r="214" spans="1:6">
      <c r="A214">
        <v>211</v>
      </c>
      <c r="B214" s="46">
        <v>43432</v>
      </c>
      <c r="C214" s="190">
        <v>100.62520183628585</v>
      </c>
      <c r="D214" s="190">
        <v>80.413851096189973</v>
      </c>
      <c r="E214" s="190">
        <f t="shared" si="9"/>
        <v>80.413851096189973</v>
      </c>
      <c r="F214" s="219" t="str">
        <f t="shared" si="10"/>
        <v/>
      </c>
    </row>
    <row r="215" spans="1:6">
      <c r="A215">
        <v>212</v>
      </c>
      <c r="B215" s="46">
        <v>43433</v>
      </c>
      <c r="C215" s="190">
        <v>105.98470700028585</v>
      </c>
      <c r="D215" s="190">
        <v>80.413851096189973</v>
      </c>
      <c r="E215" s="190">
        <f t="shared" si="9"/>
        <v>80.413851096189973</v>
      </c>
      <c r="F215" s="219" t="str">
        <f t="shared" si="10"/>
        <v/>
      </c>
    </row>
    <row r="216" spans="1:6">
      <c r="A216">
        <v>213</v>
      </c>
      <c r="B216" s="46">
        <v>43434</v>
      </c>
      <c r="C216" s="190">
        <v>97.383650356285855</v>
      </c>
      <c r="D216" s="190">
        <v>80.413851096189973</v>
      </c>
      <c r="E216" s="190">
        <f t="shared" si="9"/>
        <v>80.413851096189973</v>
      </c>
      <c r="F216" s="219" t="str">
        <f t="shared" si="10"/>
        <v/>
      </c>
    </row>
    <row r="217" spans="1:6">
      <c r="A217">
        <v>214</v>
      </c>
      <c r="B217" s="46">
        <v>43435</v>
      </c>
      <c r="C217" s="190">
        <v>90.394212360286787</v>
      </c>
      <c r="D217" s="190">
        <v>101.95753277636452</v>
      </c>
      <c r="E217" s="190">
        <f t="shared" si="9"/>
        <v>90.394212360286787</v>
      </c>
      <c r="F217" s="219" t="str">
        <f t="shared" si="10"/>
        <v/>
      </c>
    </row>
    <row r="218" spans="1:6">
      <c r="A218">
        <v>215</v>
      </c>
      <c r="B218" s="46">
        <v>43436</v>
      </c>
      <c r="C218" s="190">
        <v>84.866914290285848</v>
      </c>
      <c r="D218" s="190">
        <v>101.95753277636452</v>
      </c>
      <c r="E218" s="190">
        <f t="shared" si="9"/>
        <v>84.866914290285848</v>
      </c>
      <c r="F218" s="219" t="str">
        <f t="shared" si="10"/>
        <v/>
      </c>
    </row>
    <row r="219" spans="1:6">
      <c r="A219">
        <v>216</v>
      </c>
      <c r="B219" s="46">
        <v>43437</v>
      </c>
      <c r="C219" s="190">
        <v>108.37415833628584</v>
      </c>
      <c r="D219" s="190">
        <v>101.95753277636452</v>
      </c>
      <c r="E219" s="190">
        <f t="shared" si="9"/>
        <v>101.95753277636452</v>
      </c>
      <c r="F219" s="219" t="str">
        <f t="shared" si="10"/>
        <v/>
      </c>
    </row>
    <row r="220" spans="1:6">
      <c r="A220">
        <v>217</v>
      </c>
      <c r="B220" s="46">
        <v>43438</v>
      </c>
      <c r="C220" s="190">
        <v>126.38090736228585</v>
      </c>
      <c r="D220" s="190">
        <v>101.95753277636452</v>
      </c>
      <c r="E220" s="190">
        <f t="shared" si="9"/>
        <v>101.95753277636452</v>
      </c>
      <c r="F220" s="219" t="str">
        <f t="shared" si="10"/>
        <v/>
      </c>
    </row>
    <row r="221" spans="1:6">
      <c r="A221">
        <v>218</v>
      </c>
      <c r="B221" s="46">
        <v>43439</v>
      </c>
      <c r="C221" s="190">
        <v>87.515008344428594</v>
      </c>
      <c r="D221" s="190">
        <v>101.95753277636452</v>
      </c>
      <c r="E221" s="190">
        <f t="shared" si="9"/>
        <v>87.515008344428594</v>
      </c>
      <c r="F221" s="219" t="str">
        <f t="shared" si="10"/>
        <v/>
      </c>
    </row>
    <row r="222" spans="1:6">
      <c r="A222">
        <v>219</v>
      </c>
      <c r="B222" s="46">
        <v>43440</v>
      </c>
      <c r="C222" s="190">
        <v>77.782506294428586</v>
      </c>
      <c r="D222" s="190">
        <v>101.95753277636452</v>
      </c>
      <c r="E222" s="190">
        <f t="shared" si="9"/>
        <v>77.782506294428586</v>
      </c>
      <c r="F222" s="219" t="str">
        <f t="shared" si="10"/>
        <v/>
      </c>
    </row>
    <row r="223" spans="1:6">
      <c r="A223">
        <v>220</v>
      </c>
      <c r="B223" s="46">
        <v>43441</v>
      </c>
      <c r="C223" s="190">
        <v>62.18230000042859</v>
      </c>
      <c r="D223" s="190">
        <v>101.95753277636452</v>
      </c>
      <c r="E223" s="190">
        <f t="shared" si="9"/>
        <v>62.18230000042859</v>
      </c>
      <c r="F223" s="219" t="str">
        <f t="shared" si="10"/>
        <v/>
      </c>
    </row>
    <row r="224" spans="1:6">
      <c r="A224">
        <v>221</v>
      </c>
      <c r="B224" s="46">
        <v>43442</v>
      </c>
      <c r="C224" s="190">
        <v>55.709332724428592</v>
      </c>
      <c r="D224" s="190">
        <v>101.95753277636452</v>
      </c>
      <c r="E224" s="190">
        <f t="shared" si="9"/>
        <v>55.709332724428592</v>
      </c>
      <c r="F224" s="219" t="str">
        <f t="shared" si="10"/>
        <v/>
      </c>
    </row>
    <row r="225" spans="1:7">
      <c r="A225">
        <v>222</v>
      </c>
      <c r="B225" s="46">
        <v>43443</v>
      </c>
      <c r="C225" s="190">
        <v>55.556556698428594</v>
      </c>
      <c r="D225" s="190">
        <v>101.95753277636452</v>
      </c>
      <c r="E225" s="190">
        <f t="shared" si="9"/>
        <v>55.556556698428594</v>
      </c>
      <c r="F225" s="219" t="str">
        <f t="shared" si="10"/>
        <v/>
      </c>
    </row>
    <row r="226" spans="1:7">
      <c r="A226">
        <v>223</v>
      </c>
      <c r="B226" s="46">
        <v>43444</v>
      </c>
      <c r="C226" s="190">
        <v>67.053807550428601</v>
      </c>
      <c r="D226" s="190">
        <v>101.95753277636452</v>
      </c>
      <c r="E226" s="190">
        <f t="shared" si="9"/>
        <v>67.053807550428601</v>
      </c>
      <c r="F226" s="219" t="str">
        <f t="shared" si="10"/>
        <v/>
      </c>
    </row>
    <row r="227" spans="1:7">
      <c r="A227">
        <v>224</v>
      </c>
      <c r="B227" s="46">
        <v>43445</v>
      </c>
      <c r="C227" s="190">
        <v>96.102252704428594</v>
      </c>
      <c r="D227" s="190">
        <v>101.95753277636452</v>
      </c>
      <c r="E227" s="190">
        <f t="shared" si="9"/>
        <v>96.102252704428594</v>
      </c>
      <c r="F227" s="219" t="str">
        <f t="shared" si="10"/>
        <v/>
      </c>
    </row>
    <row r="228" spans="1:7">
      <c r="A228">
        <v>225</v>
      </c>
      <c r="B228" s="46">
        <v>43446</v>
      </c>
      <c r="C228" s="190">
        <v>108.87868366227644</v>
      </c>
      <c r="D228" s="190">
        <v>101.95753277636452</v>
      </c>
      <c r="E228" s="190">
        <f t="shared" si="9"/>
        <v>101.95753277636452</v>
      </c>
      <c r="F228" s="219" t="str">
        <f t="shared" si="10"/>
        <v/>
      </c>
    </row>
    <row r="229" spans="1:7">
      <c r="A229">
        <v>226</v>
      </c>
      <c r="B229" s="46">
        <v>43447</v>
      </c>
      <c r="C229" s="190">
        <v>84.353938072275511</v>
      </c>
      <c r="D229" s="190">
        <v>101.95753277636452</v>
      </c>
      <c r="E229" s="190">
        <f t="shared" si="9"/>
        <v>84.353938072275511</v>
      </c>
      <c r="F229" s="219" t="str">
        <f t="shared" si="10"/>
        <v/>
      </c>
    </row>
    <row r="230" spans="1:7">
      <c r="A230">
        <v>227</v>
      </c>
      <c r="B230" s="46">
        <v>43448</v>
      </c>
      <c r="C230" s="190">
        <v>86.425479054275513</v>
      </c>
      <c r="D230" s="190">
        <v>101.95753277636452</v>
      </c>
      <c r="E230" s="190">
        <f t="shared" si="9"/>
        <v>86.425479054275513</v>
      </c>
      <c r="F230" s="219" t="str">
        <f t="shared" si="10"/>
        <v/>
      </c>
    </row>
    <row r="231" spans="1:7">
      <c r="A231">
        <v>228</v>
      </c>
      <c r="B231" s="46">
        <v>43449</v>
      </c>
      <c r="C231" s="190">
        <v>74.544494642275509</v>
      </c>
      <c r="D231" s="190">
        <v>101.95753277636452</v>
      </c>
      <c r="E231" s="190">
        <f t="shared" si="9"/>
        <v>74.544494642275509</v>
      </c>
      <c r="F231" s="219" t="str">
        <f t="shared" si="10"/>
        <v>D</v>
      </c>
      <c r="G231" s="220">
        <f t="shared" si="11"/>
        <v>101.95753277636452</v>
      </c>
    </row>
    <row r="232" spans="1:7">
      <c r="A232">
        <v>229</v>
      </c>
      <c r="B232" s="46">
        <v>43450</v>
      </c>
      <c r="C232" s="190">
        <v>69.967279598275525</v>
      </c>
      <c r="D232" s="190">
        <v>101.95753277636452</v>
      </c>
      <c r="E232" s="190">
        <f t="shared" si="9"/>
        <v>69.967279598275525</v>
      </c>
      <c r="F232" s="219" t="str">
        <f t="shared" si="10"/>
        <v/>
      </c>
    </row>
    <row r="233" spans="1:7">
      <c r="A233">
        <v>230</v>
      </c>
      <c r="B233" s="46">
        <v>43451</v>
      </c>
      <c r="C233" s="190">
        <v>111.34327048227644</v>
      </c>
      <c r="D233" s="190">
        <v>101.95753277636452</v>
      </c>
      <c r="E233" s="190">
        <f t="shared" si="9"/>
        <v>101.95753277636452</v>
      </c>
      <c r="F233" s="219" t="str">
        <f t="shared" si="10"/>
        <v/>
      </c>
    </row>
    <row r="234" spans="1:7">
      <c r="A234">
        <v>231</v>
      </c>
      <c r="B234" s="46">
        <v>43452</v>
      </c>
      <c r="C234" s="190">
        <v>93.932545482275515</v>
      </c>
      <c r="D234" s="190">
        <v>101.95753277636452</v>
      </c>
      <c r="E234" s="190">
        <f t="shared" si="9"/>
        <v>93.932545482275515</v>
      </c>
      <c r="F234" s="219" t="str">
        <f t="shared" si="10"/>
        <v/>
      </c>
    </row>
    <row r="235" spans="1:7">
      <c r="A235">
        <v>232</v>
      </c>
      <c r="B235" s="46">
        <v>43453</v>
      </c>
      <c r="C235" s="190">
        <v>100.38242194998713</v>
      </c>
      <c r="D235" s="190">
        <v>101.95753277636452</v>
      </c>
      <c r="E235" s="190">
        <f t="shared" si="9"/>
        <v>100.38242194998713</v>
      </c>
      <c r="F235" s="219" t="str">
        <f t="shared" si="10"/>
        <v/>
      </c>
    </row>
    <row r="236" spans="1:7">
      <c r="A236">
        <v>233</v>
      </c>
      <c r="B236" s="46">
        <v>43454</v>
      </c>
      <c r="C236" s="190">
        <v>105.40698662998713</v>
      </c>
      <c r="D236" s="190">
        <v>101.95753277636452</v>
      </c>
      <c r="E236" s="190">
        <f t="shared" si="9"/>
        <v>101.95753277636452</v>
      </c>
      <c r="F236" s="219" t="str">
        <f t="shared" si="10"/>
        <v/>
      </c>
    </row>
    <row r="237" spans="1:7">
      <c r="A237">
        <v>234</v>
      </c>
      <c r="B237" s="46">
        <v>43455</v>
      </c>
      <c r="C237" s="190">
        <v>94.165243369987138</v>
      </c>
      <c r="D237" s="190">
        <v>101.95753277636452</v>
      </c>
      <c r="E237" s="190">
        <f t="shared" si="9"/>
        <v>94.165243369987138</v>
      </c>
      <c r="F237" s="219" t="str">
        <f t="shared" si="10"/>
        <v/>
      </c>
    </row>
    <row r="238" spans="1:7">
      <c r="A238">
        <v>235</v>
      </c>
      <c r="B238" s="46">
        <v>43456</v>
      </c>
      <c r="C238" s="190">
        <v>95.940931389987128</v>
      </c>
      <c r="D238" s="190">
        <v>101.95753277636452</v>
      </c>
      <c r="E238" s="190">
        <f t="shared" si="9"/>
        <v>95.940931389987128</v>
      </c>
      <c r="F238" s="219" t="str">
        <f t="shared" si="10"/>
        <v/>
      </c>
    </row>
    <row r="239" spans="1:7">
      <c r="A239">
        <v>236</v>
      </c>
      <c r="B239" s="46">
        <v>43457</v>
      </c>
      <c r="C239" s="190">
        <v>90.126315709987125</v>
      </c>
      <c r="D239" s="190">
        <v>101.95753277636452</v>
      </c>
      <c r="E239" s="190">
        <f t="shared" si="9"/>
        <v>90.126315709987125</v>
      </c>
      <c r="F239" s="219" t="str">
        <f t="shared" si="10"/>
        <v/>
      </c>
    </row>
    <row r="240" spans="1:7">
      <c r="A240">
        <v>237</v>
      </c>
      <c r="B240" s="46">
        <v>43458</v>
      </c>
      <c r="C240" s="190">
        <v>92.583022409987137</v>
      </c>
      <c r="D240" s="190">
        <v>101.95753277636452</v>
      </c>
      <c r="E240" s="190">
        <f t="shared" si="9"/>
        <v>92.583022409987137</v>
      </c>
      <c r="F240" s="219" t="str">
        <f t="shared" si="10"/>
        <v/>
      </c>
    </row>
    <row r="241" spans="1:6">
      <c r="A241">
        <v>238</v>
      </c>
      <c r="B241" s="46">
        <v>43459</v>
      </c>
      <c r="C241" s="190">
        <v>78.185484777987128</v>
      </c>
      <c r="D241" s="190">
        <v>101.95753277636452</v>
      </c>
      <c r="E241" s="190">
        <f t="shared" si="9"/>
        <v>78.185484777987128</v>
      </c>
      <c r="F241" s="219" t="str">
        <f t="shared" si="10"/>
        <v/>
      </c>
    </row>
    <row r="242" spans="1:6">
      <c r="A242">
        <v>239</v>
      </c>
      <c r="B242" s="46">
        <v>43460</v>
      </c>
      <c r="C242" s="190">
        <v>80.373116800517693</v>
      </c>
      <c r="D242" s="190">
        <v>101.95753277636452</v>
      </c>
      <c r="E242" s="190">
        <f t="shared" si="9"/>
        <v>80.373116800517693</v>
      </c>
      <c r="F242" s="219" t="str">
        <f t="shared" si="10"/>
        <v/>
      </c>
    </row>
    <row r="243" spans="1:6">
      <c r="A243">
        <v>240</v>
      </c>
      <c r="B243" s="46">
        <v>43461</v>
      </c>
      <c r="C243" s="190">
        <v>100.59527395651676</v>
      </c>
      <c r="D243" s="190">
        <v>101.95753277636452</v>
      </c>
      <c r="E243" s="190">
        <f t="shared" si="9"/>
        <v>100.59527395651676</v>
      </c>
      <c r="F243" s="219" t="str">
        <f t="shared" si="10"/>
        <v/>
      </c>
    </row>
    <row r="244" spans="1:6">
      <c r="A244">
        <v>241</v>
      </c>
      <c r="B244" s="46">
        <v>43462</v>
      </c>
      <c r="C244" s="190">
        <v>78.486777536517678</v>
      </c>
      <c r="D244" s="190">
        <v>101.95753277636452</v>
      </c>
      <c r="E244" s="190">
        <f t="shared" si="9"/>
        <v>78.486777536517678</v>
      </c>
      <c r="F244" s="219" t="str">
        <f t="shared" si="10"/>
        <v/>
      </c>
    </row>
    <row r="245" spans="1:6">
      <c r="A245">
        <v>242</v>
      </c>
      <c r="B245" s="46">
        <v>43463</v>
      </c>
      <c r="C245" s="190">
        <v>61.710580186517689</v>
      </c>
      <c r="D245" s="190">
        <v>101.95753277636452</v>
      </c>
      <c r="E245" s="190">
        <f t="shared" si="9"/>
        <v>61.710580186517689</v>
      </c>
      <c r="F245" s="219" t="str">
        <f t="shared" si="10"/>
        <v/>
      </c>
    </row>
    <row r="246" spans="1:6">
      <c r="A246">
        <v>243</v>
      </c>
      <c r="B246" s="46">
        <v>43464</v>
      </c>
      <c r="C246" s="190">
        <v>62.105505364517683</v>
      </c>
      <c r="D246" s="190">
        <v>101.95753277636452</v>
      </c>
      <c r="E246" s="190">
        <f t="shared" si="9"/>
        <v>62.105505364517683</v>
      </c>
      <c r="F246" s="219" t="str">
        <f t="shared" si="10"/>
        <v/>
      </c>
    </row>
    <row r="247" spans="1:6">
      <c r="A247">
        <v>244</v>
      </c>
      <c r="B247" s="46">
        <v>43465</v>
      </c>
      <c r="C247" s="190">
        <v>67.689349472517691</v>
      </c>
      <c r="D247" s="190">
        <v>101.95753277636452</v>
      </c>
      <c r="E247" s="190">
        <f t="shared" si="9"/>
        <v>67.689349472517691</v>
      </c>
      <c r="F247" s="219" t="str">
        <f t="shared" si="10"/>
        <v/>
      </c>
    </row>
    <row r="248" spans="1:6">
      <c r="A248">
        <v>245</v>
      </c>
      <c r="B248" s="46">
        <v>43466</v>
      </c>
      <c r="C248" s="190">
        <v>48.113297146517681</v>
      </c>
      <c r="D248" s="190">
        <v>120.59631724353227</v>
      </c>
      <c r="E248" s="190">
        <f t="shared" si="9"/>
        <v>48.113297146517681</v>
      </c>
      <c r="F248" s="219" t="str">
        <f t="shared" si="10"/>
        <v/>
      </c>
    </row>
    <row r="249" spans="1:6">
      <c r="A249">
        <v>246</v>
      </c>
      <c r="B249" s="46">
        <v>43467</v>
      </c>
      <c r="C249" s="190">
        <v>42.619816521668227</v>
      </c>
      <c r="D249" s="190">
        <v>120.59631724353227</v>
      </c>
      <c r="E249" s="190">
        <f t="shared" si="9"/>
        <v>42.619816521668227</v>
      </c>
      <c r="F249" s="219" t="str">
        <f t="shared" si="10"/>
        <v/>
      </c>
    </row>
    <row r="250" spans="1:6">
      <c r="A250">
        <v>247</v>
      </c>
      <c r="B250" s="46">
        <v>43468</v>
      </c>
      <c r="C250" s="190">
        <v>64.313447971668225</v>
      </c>
      <c r="D250" s="190">
        <v>120.59631724353227</v>
      </c>
      <c r="E250" s="190">
        <f t="shared" si="9"/>
        <v>64.313447971668225</v>
      </c>
      <c r="F250" s="219" t="str">
        <f t="shared" si="10"/>
        <v/>
      </c>
    </row>
    <row r="251" spans="1:6">
      <c r="A251">
        <v>248</v>
      </c>
      <c r="B251" s="46">
        <v>43469</v>
      </c>
      <c r="C251" s="190">
        <v>75.624265243669157</v>
      </c>
      <c r="D251" s="190">
        <v>120.59631724353227</v>
      </c>
      <c r="E251" s="190">
        <f t="shared" si="9"/>
        <v>75.624265243669157</v>
      </c>
      <c r="F251" s="219" t="str">
        <f t="shared" si="10"/>
        <v/>
      </c>
    </row>
    <row r="252" spans="1:6">
      <c r="A252">
        <v>249</v>
      </c>
      <c r="B252" s="46">
        <v>43470</v>
      </c>
      <c r="C252" s="190">
        <v>40.138169683668224</v>
      </c>
      <c r="D252" s="190">
        <v>120.59631724353227</v>
      </c>
      <c r="E252" s="190">
        <f t="shared" si="9"/>
        <v>40.138169683668224</v>
      </c>
      <c r="F252" s="219" t="str">
        <f t="shared" si="10"/>
        <v/>
      </c>
    </row>
    <row r="253" spans="1:6">
      <c r="A253">
        <v>250</v>
      </c>
      <c r="B253" s="46">
        <v>43471</v>
      </c>
      <c r="C253" s="190">
        <v>23.395089041669156</v>
      </c>
      <c r="D253" s="190">
        <v>120.59631724353227</v>
      </c>
      <c r="E253" s="190">
        <f t="shared" si="9"/>
        <v>23.395089041669156</v>
      </c>
      <c r="F253" s="219" t="str">
        <f t="shared" si="10"/>
        <v/>
      </c>
    </row>
    <row r="254" spans="1:6">
      <c r="A254">
        <v>251</v>
      </c>
      <c r="B254" s="46">
        <v>43472</v>
      </c>
      <c r="C254" s="190">
        <v>48.039766631668229</v>
      </c>
      <c r="D254" s="190">
        <v>120.59631724353227</v>
      </c>
      <c r="E254" s="190">
        <f t="shared" si="9"/>
        <v>48.039766631668229</v>
      </c>
      <c r="F254" s="219" t="str">
        <f t="shared" si="10"/>
        <v/>
      </c>
    </row>
    <row r="255" spans="1:6">
      <c r="A255">
        <v>252</v>
      </c>
      <c r="B255" s="46">
        <v>43473</v>
      </c>
      <c r="C255" s="190">
        <v>49.373965037669159</v>
      </c>
      <c r="D255" s="190">
        <v>120.59631724353227</v>
      </c>
      <c r="E255" s="190">
        <f t="shared" si="9"/>
        <v>49.373965037669159</v>
      </c>
      <c r="F255" s="219" t="str">
        <f t="shared" si="10"/>
        <v/>
      </c>
    </row>
    <row r="256" spans="1:6">
      <c r="A256">
        <v>253</v>
      </c>
      <c r="B256" s="46">
        <v>43474</v>
      </c>
      <c r="C256" s="190">
        <v>33.704585509775029</v>
      </c>
      <c r="D256" s="190">
        <v>120.59631724353227</v>
      </c>
      <c r="E256" s="190">
        <f t="shared" si="9"/>
        <v>33.704585509775029</v>
      </c>
      <c r="F256" s="219" t="str">
        <f t="shared" si="10"/>
        <v/>
      </c>
    </row>
    <row r="257" spans="1:7">
      <c r="A257">
        <v>254</v>
      </c>
      <c r="B257" s="46">
        <v>43475</v>
      </c>
      <c r="C257" s="190">
        <v>47.277197803775032</v>
      </c>
      <c r="D257" s="190">
        <v>120.59631724353227</v>
      </c>
      <c r="E257" s="190">
        <f t="shared" si="9"/>
        <v>47.277197803775032</v>
      </c>
      <c r="F257" s="219" t="str">
        <f t="shared" si="10"/>
        <v/>
      </c>
    </row>
    <row r="258" spans="1:7">
      <c r="A258">
        <v>255</v>
      </c>
      <c r="B258" s="46">
        <v>43476</v>
      </c>
      <c r="C258" s="190">
        <v>49.300718171775031</v>
      </c>
      <c r="D258" s="190">
        <v>120.59631724353227</v>
      </c>
      <c r="E258" s="190">
        <f t="shared" si="9"/>
        <v>49.300718171775031</v>
      </c>
      <c r="F258" s="219" t="str">
        <f t="shared" si="10"/>
        <v/>
      </c>
    </row>
    <row r="259" spans="1:7">
      <c r="A259">
        <v>256</v>
      </c>
      <c r="B259" s="46">
        <v>43477</v>
      </c>
      <c r="C259" s="190">
        <v>21.41234182177503</v>
      </c>
      <c r="D259" s="190">
        <v>120.59631724353227</v>
      </c>
      <c r="E259" s="190">
        <f t="shared" si="9"/>
        <v>21.41234182177503</v>
      </c>
      <c r="F259" s="219" t="str">
        <f t="shared" si="10"/>
        <v/>
      </c>
    </row>
    <row r="260" spans="1:7">
      <c r="A260">
        <v>257</v>
      </c>
      <c r="B260" s="46">
        <v>43478</v>
      </c>
      <c r="C260" s="190">
        <v>27.367468911775031</v>
      </c>
      <c r="D260" s="190">
        <v>120.59631724353227</v>
      </c>
      <c r="E260" s="190">
        <f t="shared" ref="E260:E323" si="12">IF(C260&lt;D260,C260,D260)</f>
        <v>27.367468911775031</v>
      </c>
      <c r="F260" s="219" t="str">
        <f t="shared" ref="F260:F323" si="13">IF(DAY(B260)=15,IF(MONTH(B260)=1,"E",IF(MONTH(B260)=2,"F",IF(MONTH(B260)=3,"M",IF(MONTH(B260)=4,"A",IF(MONTH(B260)=5,"M",IF(MONTH(B260)=6,"J",IF(MONTH(B260)=7,"J",IF(MONTH(B260)=8,"A",IF(MONTH(B260)=9,"S",IF(MONTH(B260)=10,"O",IF(MONTH(B260)=11,"N",IF(MONTH(B260)=12,"D","")))))))))))),"")</f>
        <v/>
      </c>
    </row>
    <row r="261" spans="1:7">
      <c r="A261">
        <v>258</v>
      </c>
      <c r="B261" s="46">
        <v>43479</v>
      </c>
      <c r="C261" s="190">
        <v>38.59618624177503</v>
      </c>
      <c r="D261" s="190">
        <v>120.59631724353227</v>
      </c>
      <c r="E261" s="190">
        <f t="shared" si="12"/>
        <v>38.59618624177503</v>
      </c>
      <c r="F261" s="219" t="str">
        <f t="shared" si="13"/>
        <v/>
      </c>
    </row>
    <row r="262" spans="1:7">
      <c r="A262">
        <v>259</v>
      </c>
      <c r="B262" s="46">
        <v>43480</v>
      </c>
      <c r="C262" s="190">
        <v>66.260391331775963</v>
      </c>
      <c r="D262" s="190">
        <v>120.59631724353227</v>
      </c>
      <c r="E262" s="190">
        <f t="shared" si="12"/>
        <v>66.260391331775963</v>
      </c>
      <c r="F262" s="219" t="str">
        <f t="shared" si="13"/>
        <v>E</v>
      </c>
      <c r="G262" s="220">
        <f t="shared" ref="G262:G321" si="14">IF(DAY(B262)=15,D262,"")</f>
        <v>120.59631724353227</v>
      </c>
    </row>
    <row r="263" spans="1:7">
      <c r="A263">
        <v>260</v>
      </c>
      <c r="B263" s="46">
        <v>43481</v>
      </c>
      <c r="C263" s="190">
        <v>57.04045158485799</v>
      </c>
      <c r="D263" s="190">
        <v>120.59631724353227</v>
      </c>
      <c r="E263" s="190">
        <f t="shared" si="12"/>
        <v>57.04045158485799</v>
      </c>
      <c r="F263" s="219" t="str">
        <f t="shared" si="13"/>
        <v/>
      </c>
    </row>
    <row r="264" spans="1:7">
      <c r="A264">
        <v>261</v>
      </c>
      <c r="B264" s="46">
        <v>43482</v>
      </c>
      <c r="C264" s="190">
        <v>47.077626530858922</v>
      </c>
      <c r="D264" s="190">
        <v>120.59631724353227</v>
      </c>
      <c r="E264" s="190">
        <f t="shared" si="12"/>
        <v>47.077626530858922</v>
      </c>
      <c r="F264" s="219" t="str">
        <f t="shared" si="13"/>
        <v/>
      </c>
    </row>
    <row r="265" spans="1:7">
      <c r="A265">
        <v>262</v>
      </c>
      <c r="B265" s="46">
        <v>43483</v>
      </c>
      <c r="C265" s="190">
        <v>75.719266858857978</v>
      </c>
      <c r="D265" s="190">
        <v>120.59631724353227</v>
      </c>
      <c r="E265" s="190">
        <f t="shared" si="12"/>
        <v>75.719266858857978</v>
      </c>
      <c r="F265" s="219" t="str">
        <f t="shared" si="13"/>
        <v/>
      </c>
    </row>
    <row r="266" spans="1:7">
      <c r="A266">
        <v>263</v>
      </c>
      <c r="B266" s="46">
        <v>43484</v>
      </c>
      <c r="C266" s="190">
        <v>43.363908048857994</v>
      </c>
      <c r="D266" s="190">
        <v>120.59631724353227</v>
      </c>
      <c r="E266" s="190">
        <f t="shared" si="12"/>
        <v>43.363908048857994</v>
      </c>
      <c r="F266" s="219" t="str">
        <f t="shared" si="13"/>
        <v/>
      </c>
    </row>
    <row r="267" spans="1:7">
      <c r="A267">
        <v>264</v>
      </c>
      <c r="B267" s="46">
        <v>43485</v>
      </c>
      <c r="C267" s="190">
        <v>21.83003846885892</v>
      </c>
      <c r="D267" s="190">
        <v>120.59631724353227</v>
      </c>
      <c r="E267" s="190">
        <f t="shared" si="12"/>
        <v>21.83003846885892</v>
      </c>
      <c r="F267" s="219" t="str">
        <f t="shared" si="13"/>
        <v/>
      </c>
    </row>
    <row r="268" spans="1:7">
      <c r="A268">
        <v>265</v>
      </c>
      <c r="B268" s="46">
        <v>43486</v>
      </c>
      <c r="C268" s="190">
        <v>65.392766698857983</v>
      </c>
      <c r="D268" s="190">
        <v>120.59631724353227</v>
      </c>
      <c r="E268" s="190">
        <f t="shared" si="12"/>
        <v>65.392766698857983</v>
      </c>
      <c r="F268" s="219" t="str">
        <f t="shared" si="13"/>
        <v/>
      </c>
    </row>
    <row r="269" spans="1:7">
      <c r="A269">
        <v>266</v>
      </c>
      <c r="B269" s="46">
        <v>43487</v>
      </c>
      <c r="C269" s="190">
        <v>50.397212048858911</v>
      </c>
      <c r="D269" s="190">
        <v>120.59631724353227</v>
      </c>
      <c r="E269" s="190">
        <f t="shared" si="12"/>
        <v>50.397212048858911</v>
      </c>
      <c r="F269" s="219" t="str">
        <f t="shared" si="13"/>
        <v/>
      </c>
    </row>
    <row r="270" spans="1:7">
      <c r="A270">
        <v>267</v>
      </c>
      <c r="B270" s="46">
        <v>43488</v>
      </c>
      <c r="C270" s="190">
        <v>86.926067344620051</v>
      </c>
      <c r="D270" s="190">
        <v>120.59631724353227</v>
      </c>
      <c r="E270" s="190">
        <f t="shared" si="12"/>
        <v>86.926067344620051</v>
      </c>
      <c r="F270" s="219" t="str">
        <f t="shared" si="13"/>
        <v/>
      </c>
    </row>
    <row r="271" spans="1:7">
      <c r="A271">
        <v>268</v>
      </c>
      <c r="B271" s="46">
        <v>43489</v>
      </c>
      <c r="C271" s="190">
        <v>94.078569926620986</v>
      </c>
      <c r="D271" s="190">
        <v>120.59631724353227</v>
      </c>
      <c r="E271" s="190">
        <f t="shared" si="12"/>
        <v>94.078569926620986</v>
      </c>
      <c r="F271" s="219" t="str">
        <f t="shared" si="13"/>
        <v/>
      </c>
    </row>
    <row r="272" spans="1:7">
      <c r="A272">
        <v>269</v>
      </c>
      <c r="B272" s="46">
        <v>43490</v>
      </c>
      <c r="C272" s="190">
        <v>99.235658760620055</v>
      </c>
      <c r="D272" s="190">
        <v>120.59631724353227</v>
      </c>
      <c r="E272" s="190">
        <f t="shared" si="12"/>
        <v>99.235658760620055</v>
      </c>
      <c r="F272" s="219" t="str">
        <f t="shared" si="13"/>
        <v/>
      </c>
    </row>
    <row r="273" spans="1:6">
      <c r="A273">
        <v>270</v>
      </c>
      <c r="B273" s="46">
        <v>43491</v>
      </c>
      <c r="C273" s="190">
        <v>91.517316510620049</v>
      </c>
      <c r="D273" s="190">
        <v>120.59631724353227</v>
      </c>
      <c r="E273" s="190">
        <f t="shared" si="12"/>
        <v>91.517316510620049</v>
      </c>
      <c r="F273" s="219" t="str">
        <f t="shared" si="13"/>
        <v/>
      </c>
    </row>
    <row r="274" spans="1:6">
      <c r="A274">
        <v>271</v>
      </c>
      <c r="B274" s="46">
        <v>43492</v>
      </c>
      <c r="C274" s="190">
        <v>77.204728650620993</v>
      </c>
      <c r="D274" s="190">
        <v>120.59631724353227</v>
      </c>
      <c r="E274" s="190">
        <f t="shared" si="12"/>
        <v>77.204728650620993</v>
      </c>
      <c r="F274" s="219" t="str">
        <f t="shared" si="13"/>
        <v/>
      </c>
    </row>
    <row r="275" spans="1:6">
      <c r="A275">
        <v>272</v>
      </c>
      <c r="B275" s="46">
        <v>43493</v>
      </c>
      <c r="C275" s="190">
        <v>98.923464460620039</v>
      </c>
      <c r="D275" s="190">
        <v>120.59631724353227</v>
      </c>
      <c r="E275" s="190">
        <f t="shared" si="12"/>
        <v>98.923464460620039</v>
      </c>
      <c r="F275" s="219" t="str">
        <f t="shared" si="13"/>
        <v/>
      </c>
    </row>
    <row r="276" spans="1:6">
      <c r="A276">
        <v>273</v>
      </c>
      <c r="B276" s="46">
        <v>43494</v>
      </c>
      <c r="C276" s="190">
        <v>101.44524273062005</v>
      </c>
      <c r="D276" s="190">
        <v>120.59631724353227</v>
      </c>
      <c r="E276" s="190">
        <f t="shared" si="12"/>
        <v>101.44524273062005</v>
      </c>
      <c r="F276" s="219" t="str">
        <f t="shared" si="13"/>
        <v/>
      </c>
    </row>
    <row r="277" spans="1:6">
      <c r="A277">
        <v>274</v>
      </c>
      <c r="B277" s="46">
        <v>43495</v>
      </c>
      <c r="C277" s="190">
        <v>167.32214358214841</v>
      </c>
      <c r="D277" s="190">
        <v>120.59631724353227</v>
      </c>
      <c r="E277" s="190">
        <f t="shared" si="12"/>
        <v>120.59631724353227</v>
      </c>
      <c r="F277" s="219" t="str">
        <f t="shared" si="13"/>
        <v/>
      </c>
    </row>
    <row r="278" spans="1:6">
      <c r="A278">
        <v>275</v>
      </c>
      <c r="B278" s="46">
        <v>43496</v>
      </c>
      <c r="C278" s="190">
        <v>172.56405617015773</v>
      </c>
      <c r="D278" s="190">
        <v>120.59631724353227</v>
      </c>
      <c r="E278" s="190">
        <f t="shared" si="12"/>
        <v>120.59631724353227</v>
      </c>
      <c r="F278" s="219" t="str">
        <f t="shared" si="13"/>
        <v/>
      </c>
    </row>
    <row r="279" spans="1:6">
      <c r="A279">
        <v>276</v>
      </c>
      <c r="B279" s="46">
        <v>43497</v>
      </c>
      <c r="C279" s="190">
        <v>185.55380824014654</v>
      </c>
      <c r="D279" s="190">
        <v>120.04142913099631</v>
      </c>
      <c r="E279" s="190">
        <f t="shared" si="12"/>
        <v>120.04142913099631</v>
      </c>
      <c r="F279" s="219" t="str">
        <f t="shared" si="13"/>
        <v/>
      </c>
    </row>
    <row r="280" spans="1:6">
      <c r="A280">
        <v>277</v>
      </c>
      <c r="B280" s="46">
        <v>43498</v>
      </c>
      <c r="C280" s="190">
        <v>185.54341329814844</v>
      </c>
      <c r="D280" s="190">
        <v>120.04142913099631</v>
      </c>
      <c r="E280" s="190">
        <f t="shared" si="12"/>
        <v>120.04142913099631</v>
      </c>
      <c r="F280" s="219" t="str">
        <f t="shared" si="13"/>
        <v/>
      </c>
    </row>
    <row r="281" spans="1:6">
      <c r="A281">
        <v>278</v>
      </c>
      <c r="B281" s="46">
        <v>43499</v>
      </c>
      <c r="C281" s="190">
        <v>184.93688635014843</v>
      </c>
      <c r="D281" s="190">
        <v>120.04142913099631</v>
      </c>
      <c r="E281" s="190">
        <f t="shared" si="12"/>
        <v>120.04142913099631</v>
      </c>
      <c r="F281" s="219" t="str">
        <f t="shared" si="13"/>
        <v/>
      </c>
    </row>
    <row r="282" spans="1:6">
      <c r="A282">
        <v>279</v>
      </c>
      <c r="B282" s="46">
        <v>43500</v>
      </c>
      <c r="C282" s="190">
        <v>193.98394959414841</v>
      </c>
      <c r="D282" s="190">
        <v>120.04142913099631</v>
      </c>
      <c r="E282" s="190">
        <f t="shared" si="12"/>
        <v>120.04142913099631</v>
      </c>
      <c r="F282" s="219" t="str">
        <f t="shared" si="13"/>
        <v/>
      </c>
    </row>
    <row r="283" spans="1:6">
      <c r="A283">
        <v>280</v>
      </c>
      <c r="B283" s="46">
        <v>43501</v>
      </c>
      <c r="C283" s="190">
        <v>194.63379708214842</v>
      </c>
      <c r="D283" s="190">
        <v>120.04142913099631</v>
      </c>
      <c r="E283" s="190">
        <f t="shared" si="12"/>
        <v>120.04142913099631</v>
      </c>
      <c r="F283" s="219" t="str">
        <f t="shared" si="13"/>
        <v/>
      </c>
    </row>
    <row r="284" spans="1:6">
      <c r="A284">
        <v>281</v>
      </c>
      <c r="B284" s="46">
        <v>43502</v>
      </c>
      <c r="C284" s="190">
        <v>141.24407143784808</v>
      </c>
      <c r="D284" s="190">
        <v>120.04142913099631</v>
      </c>
      <c r="E284" s="190">
        <f t="shared" si="12"/>
        <v>120.04142913099631</v>
      </c>
      <c r="F284" s="219" t="str">
        <f t="shared" si="13"/>
        <v/>
      </c>
    </row>
    <row r="285" spans="1:6">
      <c r="A285">
        <v>282</v>
      </c>
      <c r="B285" s="46">
        <v>43503</v>
      </c>
      <c r="C285" s="190">
        <v>141.98757405784806</v>
      </c>
      <c r="D285" s="190">
        <v>120.04142913099631</v>
      </c>
      <c r="E285" s="190">
        <f t="shared" si="12"/>
        <v>120.04142913099631</v>
      </c>
      <c r="F285" s="219" t="str">
        <f t="shared" si="13"/>
        <v/>
      </c>
    </row>
    <row r="286" spans="1:6">
      <c r="A286">
        <v>283</v>
      </c>
      <c r="B286" s="46">
        <v>43504</v>
      </c>
      <c r="C286" s="190">
        <v>133.18402521984808</v>
      </c>
      <c r="D286" s="190">
        <v>120.04142913099631</v>
      </c>
      <c r="E286" s="190">
        <f t="shared" si="12"/>
        <v>120.04142913099631</v>
      </c>
      <c r="F286" s="219" t="str">
        <f t="shared" si="13"/>
        <v/>
      </c>
    </row>
    <row r="287" spans="1:6">
      <c r="A287">
        <v>284</v>
      </c>
      <c r="B287" s="46">
        <v>43505</v>
      </c>
      <c r="C287" s="190">
        <v>125.94839746984809</v>
      </c>
      <c r="D287" s="190">
        <v>120.04142913099631</v>
      </c>
      <c r="E287" s="190">
        <f t="shared" si="12"/>
        <v>120.04142913099631</v>
      </c>
      <c r="F287" s="219" t="str">
        <f t="shared" si="13"/>
        <v/>
      </c>
    </row>
    <row r="288" spans="1:6">
      <c r="A288">
        <v>285</v>
      </c>
      <c r="B288" s="46">
        <v>43506</v>
      </c>
      <c r="C288" s="190">
        <v>114.23968854384995</v>
      </c>
      <c r="D288" s="190">
        <v>120.04142913099631</v>
      </c>
      <c r="E288" s="190">
        <f t="shared" si="12"/>
        <v>114.23968854384995</v>
      </c>
      <c r="F288" s="219" t="str">
        <f t="shared" si="13"/>
        <v/>
      </c>
    </row>
    <row r="289" spans="1:7">
      <c r="A289">
        <v>286</v>
      </c>
      <c r="B289" s="46">
        <v>43507</v>
      </c>
      <c r="C289" s="190">
        <v>123.23415218384808</v>
      </c>
      <c r="D289" s="190">
        <v>120.04142913099631</v>
      </c>
      <c r="E289" s="190">
        <f t="shared" si="12"/>
        <v>120.04142913099631</v>
      </c>
      <c r="F289" s="219" t="str">
        <f t="shared" si="13"/>
        <v/>
      </c>
    </row>
    <row r="290" spans="1:7">
      <c r="A290">
        <v>287</v>
      </c>
      <c r="B290" s="46">
        <v>43508</v>
      </c>
      <c r="C290" s="190">
        <v>139.96216425384807</v>
      </c>
      <c r="D290" s="190">
        <v>120.04142913099631</v>
      </c>
      <c r="E290" s="190">
        <f t="shared" si="12"/>
        <v>120.04142913099631</v>
      </c>
      <c r="F290" s="219" t="str">
        <f t="shared" si="13"/>
        <v/>
      </c>
    </row>
    <row r="291" spans="1:7">
      <c r="A291">
        <v>288</v>
      </c>
      <c r="B291" s="46">
        <v>43509</v>
      </c>
      <c r="C291" s="190">
        <v>120.50735569644542</v>
      </c>
      <c r="D291" s="190">
        <v>120.04142913099631</v>
      </c>
      <c r="E291" s="190">
        <f t="shared" si="12"/>
        <v>120.04142913099631</v>
      </c>
      <c r="F291" s="219" t="str">
        <f t="shared" si="13"/>
        <v/>
      </c>
    </row>
    <row r="292" spans="1:7">
      <c r="A292">
        <v>289</v>
      </c>
      <c r="B292" s="46">
        <v>43510</v>
      </c>
      <c r="C292" s="190">
        <v>103.61933332644728</v>
      </c>
      <c r="D292" s="190">
        <v>120.04142913099631</v>
      </c>
      <c r="E292" s="190">
        <f t="shared" si="12"/>
        <v>103.61933332644728</v>
      </c>
      <c r="F292" s="219" t="str">
        <f t="shared" si="13"/>
        <v/>
      </c>
    </row>
    <row r="293" spans="1:7">
      <c r="A293">
        <v>290</v>
      </c>
      <c r="B293" s="46">
        <v>43511</v>
      </c>
      <c r="C293" s="190">
        <v>107.91993847844542</v>
      </c>
      <c r="D293" s="190">
        <v>120.04142913099631</v>
      </c>
      <c r="E293" s="190">
        <f t="shared" si="12"/>
        <v>107.91993847844542</v>
      </c>
      <c r="F293" s="219" t="str">
        <f t="shared" si="13"/>
        <v>F</v>
      </c>
      <c r="G293" s="220">
        <f t="shared" si="14"/>
        <v>120.04142913099631</v>
      </c>
    </row>
    <row r="294" spans="1:7">
      <c r="A294">
        <v>291</v>
      </c>
      <c r="B294" s="46">
        <v>43512</v>
      </c>
      <c r="C294" s="190">
        <v>94.657826232447277</v>
      </c>
      <c r="D294" s="190">
        <v>120.04142913099631</v>
      </c>
      <c r="E294" s="190">
        <f t="shared" si="12"/>
        <v>94.657826232447277</v>
      </c>
      <c r="F294" s="219" t="str">
        <f t="shared" si="13"/>
        <v/>
      </c>
    </row>
    <row r="295" spans="1:7">
      <c r="A295">
        <v>292</v>
      </c>
      <c r="B295" s="46">
        <v>43513</v>
      </c>
      <c r="C295" s="190">
        <v>84.414197128447285</v>
      </c>
      <c r="D295" s="190">
        <v>120.04142913099631</v>
      </c>
      <c r="E295" s="190">
        <f t="shared" si="12"/>
        <v>84.414197128447285</v>
      </c>
      <c r="F295" s="219" t="str">
        <f t="shared" si="13"/>
        <v/>
      </c>
    </row>
    <row r="296" spans="1:7">
      <c r="A296">
        <v>293</v>
      </c>
      <c r="B296" s="46">
        <v>43514</v>
      </c>
      <c r="C296" s="190">
        <v>109.91337516244728</v>
      </c>
      <c r="D296" s="190">
        <v>120.04142913099631</v>
      </c>
      <c r="E296" s="190">
        <f t="shared" si="12"/>
        <v>109.91337516244728</v>
      </c>
      <c r="F296" s="219" t="str">
        <f t="shared" si="13"/>
        <v/>
      </c>
    </row>
    <row r="297" spans="1:7">
      <c r="A297">
        <v>294</v>
      </c>
      <c r="B297" s="46">
        <v>43515</v>
      </c>
      <c r="C297" s="190">
        <v>119.44001481844542</v>
      </c>
      <c r="D297" s="190">
        <v>120.04142913099631</v>
      </c>
      <c r="E297" s="190">
        <f t="shared" si="12"/>
        <v>119.44001481844542</v>
      </c>
      <c r="F297" s="219" t="str">
        <f t="shared" si="13"/>
        <v/>
      </c>
    </row>
    <row r="298" spans="1:7">
      <c r="A298">
        <v>295</v>
      </c>
      <c r="B298" s="46">
        <v>43516</v>
      </c>
      <c r="C298" s="190">
        <v>87.654566587945766</v>
      </c>
      <c r="D298" s="190">
        <v>120.04142913099631</v>
      </c>
      <c r="E298" s="190">
        <f t="shared" si="12"/>
        <v>87.654566587945766</v>
      </c>
      <c r="F298" s="219" t="str">
        <f t="shared" si="13"/>
        <v/>
      </c>
    </row>
    <row r="299" spans="1:7">
      <c r="A299">
        <v>296</v>
      </c>
      <c r="B299" s="46">
        <v>43517</v>
      </c>
      <c r="C299" s="190">
        <v>79.100640777947632</v>
      </c>
      <c r="D299" s="190">
        <v>120.04142913099631</v>
      </c>
      <c r="E299" s="190">
        <f t="shared" si="12"/>
        <v>79.100640777947632</v>
      </c>
      <c r="F299" s="219" t="str">
        <f t="shared" si="13"/>
        <v/>
      </c>
    </row>
    <row r="300" spans="1:7">
      <c r="A300">
        <v>297</v>
      </c>
      <c r="B300" s="46">
        <v>43518</v>
      </c>
      <c r="C300" s="190">
        <v>75.29656747794948</v>
      </c>
      <c r="D300" s="190">
        <v>120.04142913099631</v>
      </c>
      <c r="E300" s="190">
        <f t="shared" si="12"/>
        <v>75.29656747794948</v>
      </c>
      <c r="F300" s="219" t="str">
        <f t="shared" si="13"/>
        <v/>
      </c>
    </row>
    <row r="301" spans="1:7">
      <c r="A301">
        <v>298</v>
      </c>
      <c r="B301" s="46">
        <v>43519</v>
      </c>
      <c r="C301" s="190">
        <v>64.67373701394763</v>
      </c>
      <c r="D301" s="190">
        <v>120.04142913099631</v>
      </c>
      <c r="E301" s="190">
        <f t="shared" si="12"/>
        <v>64.67373701394763</v>
      </c>
      <c r="F301" s="219" t="str">
        <f t="shared" si="13"/>
        <v/>
      </c>
    </row>
    <row r="302" spans="1:7">
      <c r="A302">
        <v>299</v>
      </c>
      <c r="B302" s="46">
        <v>43520</v>
      </c>
      <c r="C302" s="190">
        <v>66.547907371945769</v>
      </c>
      <c r="D302" s="190">
        <v>120.04142913099631</v>
      </c>
      <c r="E302" s="190">
        <f t="shared" si="12"/>
        <v>66.547907371945769</v>
      </c>
      <c r="F302" s="219" t="str">
        <f t="shared" si="13"/>
        <v/>
      </c>
    </row>
    <row r="303" spans="1:7">
      <c r="A303">
        <v>300</v>
      </c>
      <c r="B303" s="46">
        <v>43521</v>
      </c>
      <c r="C303" s="190">
        <v>91.929126957949492</v>
      </c>
      <c r="D303" s="190">
        <v>120.04142913099631</v>
      </c>
      <c r="E303" s="190">
        <f t="shared" si="12"/>
        <v>91.929126957949492</v>
      </c>
      <c r="F303" s="219" t="str">
        <f t="shared" si="13"/>
        <v/>
      </c>
    </row>
    <row r="304" spans="1:7">
      <c r="A304">
        <v>301</v>
      </c>
      <c r="B304" s="46">
        <v>43522</v>
      </c>
      <c r="C304" s="190">
        <v>75.529221327947624</v>
      </c>
      <c r="D304" s="190">
        <v>120.04142913099631</v>
      </c>
      <c r="E304" s="190">
        <f t="shared" si="12"/>
        <v>75.529221327947624</v>
      </c>
      <c r="F304" s="219" t="str">
        <f t="shared" si="13"/>
        <v/>
      </c>
    </row>
    <row r="305" spans="1:6">
      <c r="A305">
        <v>302</v>
      </c>
      <c r="B305" s="46">
        <v>43523</v>
      </c>
      <c r="C305" s="190">
        <v>69.289263910232478</v>
      </c>
      <c r="D305" s="190">
        <v>120.04142913099631</v>
      </c>
      <c r="E305" s="190">
        <f t="shared" si="12"/>
        <v>69.289263910232478</v>
      </c>
      <c r="F305" s="219" t="str">
        <f t="shared" si="13"/>
        <v/>
      </c>
    </row>
    <row r="306" spans="1:6">
      <c r="A306">
        <v>303</v>
      </c>
      <c r="B306" s="46">
        <v>43524</v>
      </c>
      <c r="C306" s="190">
        <v>63.050286326230605</v>
      </c>
      <c r="D306" s="190">
        <v>120.04142913099631</v>
      </c>
      <c r="E306" s="190">
        <f t="shared" si="12"/>
        <v>63.050286326230605</v>
      </c>
      <c r="F306" s="219" t="str">
        <f t="shared" si="13"/>
        <v/>
      </c>
    </row>
    <row r="307" spans="1:6">
      <c r="A307">
        <v>304</v>
      </c>
      <c r="B307" s="46">
        <v>43525</v>
      </c>
      <c r="C307" s="190">
        <v>70.277278594230609</v>
      </c>
      <c r="D307" s="190">
        <v>132.90693384979679</v>
      </c>
      <c r="E307" s="190">
        <f t="shared" si="12"/>
        <v>70.277278594230609</v>
      </c>
      <c r="F307" s="219" t="str">
        <f t="shared" si="13"/>
        <v/>
      </c>
    </row>
    <row r="308" spans="1:6">
      <c r="A308">
        <v>305</v>
      </c>
      <c r="B308" s="46">
        <v>43526</v>
      </c>
      <c r="C308" s="190">
        <v>55.063279526230609</v>
      </c>
      <c r="D308" s="190">
        <v>132.90693384979679</v>
      </c>
      <c r="E308" s="190">
        <f t="shared" si="12"/>
        <v>55.063279526230609</v>
      </c>
      <c r="F308" s="219" t="str">
        <f t="shared" si="13"/>
        <v/>
      </c>
    </row>
    <row r="309" spans="1:6">
      <c r="A309">
        <v>306</v>
      </c>
      <c r="B309" s="46">
        <v>43527</v>
      </c>
      <c r="C309" s="190">
        <v>40.958432326230607</v>
      </c>
      <c r="D309" s="190">
        <v>132.90693384979679</v>
      </c>
      <c r="E309" s="190">
        <f t="shared" si="12"/>
        <v>40.958432326230607</v>
      </c>
      <c r="F309" s="219" t="str">
        <f t="shared" si="13"/>
        <v/>
      </c>
    </row>
    <row r="310" spans="1:6">
      <c r="A310">
        <v>307</v>
      </c>
      <c r="B310" s="46">
        <v>43528</v>
      </c>
      <c r="C310" s="190">
        <v>48.805438076230608</v>
      </c>
      <c r="D310" s="190">
        <v>132.90693384979679</v>
      </c>
      <c r="E310" s="190">
        <f t="shared" si="12"/>
        <v>48.805438076230608</v>
      </c>
      <c r="F310" s="219" t="str">
        <f t="shared" si="13"/>
        <v/>
      </c>
    </row>
    <row r="311" spans="1:6">
      <c r="A311">
        <v>308</v>
      </c>
      <c r="B311" s="46">
        <v>43529</v>
      </c>
      <c r="C311" s="190">
        <v>50.547411536228744</v>
      </c>
      <c r="D311" s="190">
        <v>132.90693384979679</v>
      </c>
      <c r="E311" s="190">
        <f t="shared" si="12"/>
        <v>50.547411536228744</v>
      </c>
      <c r="F311" s="219" t="str">
        <f t="shared" si="13"/>
        <v/>
      </c>
    </row>
    <row r="312" spans="1:6">
      <c r="A312">
        <v>309</v>
      </c>
      <c r="B312" s="46">
        <v>43530</v>
      </c>
      <c r="C312" s="190">
        <v>97.01271852355444</v>
      </c>
      <c r="D312" s="190">
        <v>132.90693384979679</v>
      </c>
      <c r="E312" s="190">
        <f t="shared" si="12"/>
        <v>97.01271852355444</v>
      </c>
      <c r="F312" s="219" t="str">
        <f t="shared" si="13"/>
        <v/>
      </c>
    </row>
    <row r="313" spans="1:6">
      <c r="A313">
        <v>310</v>
      </c>
      <c r="B313" s="46">
        <v>43531</v>
      </c>
      <c r="C313" s="190">
        <v>113.77196696755446</v>
      </c>
      <c r="D313" s="190">
        <v>132.90693384979679</v>
      </c>
      <c r="E313" s="190">
        <f t="shared" si="12"/>
        <v>113.77196696755446</v>
      </c>
      <c r="F313" s="219" t="str">
        <f t="shared" si="13"/>
        <v/>
      </c>
    </row>
    <row r="314" spans="1:6">
      <c r="A314">
        <v>311</v>
      </c>
      <c r="B314" s="46">
        <v>43532</v>
      </c>
      <c r="C314" s="190">
        <v>134.49824530355446</v>
      </c>
      <c r="D314" s="190">
        <v>132.90693384979679</v>
      </c>
      <c r="E314" s="190">
        <f t="shared" si="12"/>
        <v>132.90693384979679</v>
      </c>
      <c r="F314" s="219" t="str">
        <f t="shared" si="13"/>
        <v/>
      </c>
    </row>
    <row r="315" spans="1:6">
      <c r="A315">
        <v>312</v>
      </c>
      <c r="B315" s="46">
        <v>43533</v>
      </c>
      <c r="C315" s="190">
        <v>133.48379254355444</v>
      </c>
      <c r="D315" s="190">
        <v>132.90693384979679</v>
      </c>
      <c r="E315" s="190">
        <f t="shared" si="12"/>
        <v>132.90693384979679</v>
      </c>
      <c r="F315" s="219" t="str">
        <f t="shared" si="13"/>
        <v/>
      </c>
    </row>
    <row r="316" spans="1:6">
      <c r="A316">
        <v>313</v>
      </c>
      <c r="B316" s="46">
        <v>43534</v>
      </c>
      <c r="C316" s="190">
        <v>106.05562519355446</v>
      </c>
      <c r="D316" s="190">
        <v>132.90693384979679</v>
      </c>
      <c r="E316" s="190">
        <f t="shared" si="12"/>
        <v>106.05562519355446</v>
      </c>
      <c r="F316" s="219" t="str">
        <f t="shared" si="13"/>
        <v/>
      </c>
    </row>
    <row r="317" spans="1:6">
      <c r="A317">
        <v>314</v>
      </c>
      <c r="B317" s="46">
        <v>43535</v>
      </c>
      <c r="C317" s="190">
        <v>131.23816403755447</v>
      </c>
      <c r="D317" s="190">
        <v>132.90693384979679</v>
      </c>
      <c r="E317" s="190">
        <f t="shared" si="12"/>
        <v>131.23816403755447</v>
      </c>
      <c r="F317" s="219" t="str">
        <f t="shared" si="13"/>
        <v/>
      </c>
    </row>
    <row r="318" spans="1:6">
      <c r="A318">
        <v>315</v>
      </c>
      <c r="B318" s="46">
        <v>43536</v>
      </c>
      <c r="C318" s="190">
        <v>122.21529737355259</v>
      </c>
      <c r="D318" s="190">
        <v>132.90693384979679</v>
      </c>
      <c r="E318" s="190">
        <f t="shared" si="12"/>
        <v>122.21529737355259</v>
      </c>
      <c r="F318" s="219" t="str">
        <f t="shared" si="13"/>
        <v/>
      </c>
    </row>
    <row r="319" spans="1:6">
      <c r="A319">
        <v>316</v>
      </c>
      <c r="B319" s="46">
        <v>43537</v>
      </c>
      <c r="C319" s="190">
        <v>66.401825921277947</v>
      </c>
      <c r="D319" s="190">
        <v>132.90693384979679</v>
      </c>
      <c r="E319" s="190">
        <f t="shared" si="12"/>
        <v>66.401825921277947</v>
      </c>
      <c r="F319" s="219" t="str">
        <f t="shared" si="13"/>
        <v/>
      </c>
    </row>
    <row r="320" spans="1:6">
      <c r="A320">
        <v>317</v>
      </c>
      <c r="B320" s="46">
        <v>43538</v>
      </c>
      <c r="C320" s="190">
        <v>83.578813791277952</v>
      </c>
      <c r="D320" s="190">
        <v>132.90693384979679</v>
      </c>
      <c r="E320" s="190">
        <f t="shared" si="12"/>
        <v>83.578813791277952</v>
      </c>
      <c r="F320" s="219" t="str">
        <f t="shared" si="13"/>
        <v/>
      </c>
    </row>
    <row r="321" spans="1:7">
      <c r="A321">
        <v>318</v>
      </c>
      <c r="B321" s="46">
        <v>43539</v>
      </c>
      <c r="C321" s="190">
        <v>97.28867130127982</v>
      </c>
      <c r="D321" s="190">
        <v>132.90693384979679</v>
      </c>
      <c r="E321" s="190">
        <f t="shared" si="12"/>
        <v>97.28867130127982</v>
      </c>
      <c r="F321" s="219" t="str">
        <f t="shared" si="13"/>
        <v>M</v>
      </c>
      <c r="G321" s="220">
        <f t="shared" si="14"/>
        <v>132.90693384979679</v>
      </c>
    </row>
    <row r="322" spans="1:7">
      <c r="A322">
        <v>319</v>
      </c>
      <c r="B322" s="46">
        <v>43540</v>
      </c>
      <c r="C322" s="190">
        <v>74.691771641277953</v>
      </c>
      <c r="D322" s="190">
        <v>132.90693384979679</v>
      </c>
      <c r="E322" s="190">
        <f t="shared" si="12"/>
        <v>74.691771641277953</v>
      </c>
      <c r="F322" s="219" t="str">
        <f t="shared" si="13"/>
        <v/>
      </c>
    </row>
    <row r="323" spans="1:7">
      <c r="A323">
        <v>320</v>
      </c>
      <c r="B323" s="46">
        <v>43541</v>
      </c>
      <c r="C323" s="190">
        <v>41.066370621277947</v>
      </c>
      <c r="D323" s="190">
        <v>132.90693384979679</v>
      </c>
      <c r="E323" s="190">
        <f t="shared" si="12"/>
        <v>41.066370621277947</v>
      </c>
      <c r="F323" s="219" t="str">
        <f t="shared" si="13"/>
        <v/>
      </c>
    </row>
    <row r="324" spans="1:7">
      <c r="A324">
        <v>321</v>
      </c>
      <c r="B324" s="46">
        <v>43542</v>
      </c>
      <c r="C324" s="190">
        <v>61.15964948127796</v>
      </c>
      <c r="D324" s="190">
        <v>132.90693384979679</v>
      </c>
      <c r="E324" s="190">
        <f t="shared" ref="E324:E387" si="15">IF(C324&lt;D324,C324,D324)</f>
        <v>61.15964948127796</v>
      </c>
      <c r="F324" s="219" t="str">
        <f t="shared" ref="F324:F387" si="16">IF(DAY(B324)=15,IF(MONTH(B324)=1,"E",IF(MONTH(B324)=2,"F",IF(MONTH(B324)=3,"M",IF(MONTH(B324)=4,"A",IF(MONTH(B324)=5,"M",IF(MONTH(B324)=6,"J",IF(MONTH(B324)=7,"J",IF(MONTH(B324)=8,"A",IF(MONTH(B324)=9,"S",IF(MONTH(B324)=10,"O",IF(MONTH(B324)=11,"N",IF(MONTH(B324)=12,"D","")))))))))))),"")</f>
        <v/>
      </c>
    </row>
    <row r="325" spans="1:7">
      <c r="A325">
        <v>322</v>
      </c>
      <c r="B325" s="46">
        <v>43543</v>
      </c>
      <c r="C325" s="190">
        <v>61.975206013277955</v>
      </c>
      <c r="D325" s="190">
        <v>132.90693384979679</v>
      </c>
      <c r="E325" s="190">
        <f t="shared" si="15"/>
        <v>61.975206013277955</v>
      </c>
      <c r="F325" s="219" t="str">
        <f t="shared" si="16"/>
        <v/>
      </c>
    </row>
    <row r="326" spans="1:7">
      <c r="A326">
        <v>323</v>
      </c>
      <c r="B326" s="46">
        <v>43544</v>
      </c>
      <c r="C326" s="190">
        <v>59.04501076469046</v>
      </c>
      <c r="D326" s="190">
        <v>132.90693384979679</v>
      </c>
      <c r="E326" s="190">
        <f t="shared" si="15"/>
        <v>59.04501076469046</v>
      </c>
      <c r="F326" s="219" t="str">
        <f t="shared" si="16"/>
        <v/>
      </c>
    </row>
    <row r="327" spans="1:7">
      <c r="A327">
        <v>324</v>
      </c>
      <c r="B327" s="46">
        <v>43545</v>
      </c>
      <c r="C327" s="190">
        <v>74.889885428690448</v>
      </c>
      <c r="D327" s="190">
        <v>132.90693384979679</v>
      </c>
      <c r="E327" s="190">
        <f t="shared" si="15"/>
        <v>74.889885428690448</v>
      </c>
      <c r="F327" s="219" t="str">
        <f t="shared" si="16"/>
        <v/>
      </c>
    </row>
    <row r="328" spans="1:7">
      <c r="A328">
        <v>325</v>
      </c>
      <c r="B328" s="46">
        <v>43546</v>
      </c>
      <c r="C328" s="190">
        <v>98.914973132690463</v>
      </c>
      <c r="D328" s="190">
        <v>132.90693384979679</v>
      </c>
      <c r="E328" s="190">
        <f t="shared" si="15"/>
        <v>98.914973132690463</v>
      </c>
      <c r="F328" s="219" t="str">
        <f t="shared" si="16"/>
        <v/>
      </c>
    </row>
    <row r="329" spans="1:7">
      <c r="A329">
        <v>326</v>
      </c>
      <c r="B329" s="46">
        <v>43547</v>
      </c>
      <c r="C329" s="190">
        <v>68.305593472692308</v>
      </c>
      <c r="D329" s="190">
        <v>132.90693384979679</v>
      </c>
      <c r="E329" s="190">
        <f t="shared" si="15"/>
        <v>68.305593472692308</v>
      </c>
      <c r="F329" s="219" t="str">
        <f t="shared" si="16"/>
        <v/>
      </c>
    </row>
    <row r="330" spans="1:7">
      <c r="A330">
        <v>327</v>
      </c>
      <c r="B330" s="46">
        <v>43548</v>
      </c>
      <c r="C330" s="190">
        <v>41.294560642690456</v>
      </c>
      <c r="D330" s="190">
        <v>132.90693384979679</v>
      </c>
      <c r="E330" s="190">
        <f t="shared" si="15"/>
        <v>41.294560642690456</v>
      </c>
      <c r="F330" s="219" t="str">
        <f t="shared" si="16"/>
        <v/>
      </c>
    </row>
    <row r="331" spans="1:7">
      <c r="A331">
        <v>328</v>
      </c>
      <c r="B331" s="46">
        <v>43549</v>
      </c>
      <c r="C331" s="190">
        <v>42.070215022690455</v>
      </c>
      <c r="D331" s="190">
        <v>132.90693384979679</v>
      </c>
      <c r="E331" s="190">
        <f t="shared" si="15"/>
        <v>42.070215022690455</v>
      </c>
      <c r="F331" s="219" t="str">
        <f t="shared" si="16"/>
        <v/>
      </c>
    </row>
    <row r="332" spans="1:7">
      <c r="A332">
        <v>329</v>
      </c>
      <c r="B332" s="46">
        <v>43550</v>
      </c>
      <c r="C332" s="190">
        <v>37.89081406269046</v>
      </c>
      <c r="D332" s="190">
        <v>132.90693384979679</v>
      </c>
      <c r="E332" s="190">
        <f t="shared" si="15"/>
        <v>37.89081406269046</v>
      </c>
      <c r="F332" s="219" t="str">
        <f t="shared" si="16"/>
        <v/>
      </c>
    </row>
    <row r="333" spans="1:7">
      <c r="A333">
        <v>330</v>
      </c>
      <c r="B333" s="46">
        <v>43551</v>
      </c>
      <c r="C333" s="190">
        <v>39.164603627379492</v>
      </c>
      <c r="D333" s="190">
        <v>132.90693384979679</v>
      </c>
      <c r="E333" s="190">
        <f t="shared" si="15"/>
        <v>39.164603627379492</v>
      </c>
      <c r="F333" s="219" t="str">
        <f t="shared" si="16"/>
        <v/>
      </c>
    </row>
    <row r="334" spans="1:7">
      <c r="A334">
        <v>331</v>
      </c>
      <c r="B334" s="46">
        <v>43552</v>
      </c>
      <c r="C334" s="190">
        <v>50.549527553381346</v>
      </c>
      <c r="D334" s="190">
        <v>132.90693384979679</v>
      </c>
      <c r="E334" s="190">
        <f t="shared" si="15"/>
        <v>50.549527553381346</v>
      </c>
      <c r="F334" s="219" t="str">
        <f t="shared" si="16"/>
        <v/>
      </c>
    </row>
    <row r="335" spans="1:7">
      <c r="A335">
        <v>332</v>
      </c>
      <c r="B335" s="46">
        <v>43553</v>
      </c>
      <c r="C335" s="190">
        <v>62.508611467379481</v>
      </c>
      <c r="D335" s="190">
        <v>132.90693384979679</v>
      </c>
      <c r="E335" s="190">
        <f t="shared" si="15"/>
        <v>62.508611467379481</v>
      </c>
      <c r="F335" s="219" t="str">
        <f t="shared" si="16"/>
        <v/>
      </c>
    </row>
    <row r="336" spans="1:7">
      <c r="A336">
        <v>333</v>
      </c>
      <c r="B336" s="46">
        <v>43554</v>
      </c>
      <c r="C336" s="190">
        <v>40.584141867379493</v>
      </c>
      <c r="D336" s="190">
        <v>132.90693384979679</v>
      </c>
      <c r="E336" s="190">
        <f t="shared" si="15"/>
        <v>40.584141867379493</v>
      </c>
      <c r="F336" s="219" t="str">
        <f t="shared" si="16"/>
        <v/>
      </c>
    </row>
    <row r="337" spans="1:7">
      <c r="A337">
        <v>334</v>
      </c>
      <c r="B337" s="46">
        <v>43555</v>
      </c>
      <c r="C337" s="190">
        <v>51.808680707385072</v>
      </c>
      <c r="D337" s="190">
        <v>132.90693384979679</v>
      </c>
      <c r="E337" s="190">
        <f t="shared" si="15"/>
        <v>51.808680707385072</v>
      </c>
      <c r="F337" s="219" t="str">
        <f t="shared" si="16"/>
        <v/>
      </c>
    </row>
    <row r="338" spans="1:7">
      <c r="A338">
        <v>335</v>
      </c>
      <c r="B338" s="46">
        <v>43556</v>
      </c>
      <c r="C338" s="190">
        <v>76.65771883938136</v>
      </c>
      <c r="D338" s="190">
        <v>128.77123560535</v>
      </c>
      <c r="E338" s="190">
        <f t="shared" si="15"/>
        <v>76.65771883938136</v>
      </c>
      <c r="F338" s="219" t="str">
        <f t="shared" si="16"/>
        <v/>
      </c>
    </row>
    <row r="339" spans="1:7">
      <c r="A339">
        <v>336</v>
      </c>
      <c r="B339" s="46">
        <v>43557</v>
      </c>
      <c r="C339" s="190">
        <v>73.103140955377611</v>
      </c>
      <c r="D339" s="190">
        <v>128.77123560535</v>
      </c>
      <c r="E339" s="190">
        <f t="shared" si="15"/>
        <v>73.103140955377611</v>
      </c>
      <c r="F339" s="219" t="str">
        <f t="shared" si="16"/>
        <v/>
      </c>
    </row>
    <row r="340" spans="1:7">
      <c r="A340">
        <v>337</v>
      </c>
      <c r="B340" s="46">
        <v>43558</v>
      </c>
      <c r="C340" s="190">
        <v>45.01858317977959</v>
      </c>
      <c r="D340" s="190">
        <v>128.77123560535</v>
      </c>
      <c r="E340" s="190">
        <f t="shared" si="15"/>
        <v>45.01858317977959</v>
      </c>
      <c r="F340" s="219" t="str">
        <f t="shared" si="16"/>
        <v/>
      </c>
    </row>
    <row r="341" spans="1:7">
      <c r="A341">
        <v>338</v>
      </c>
      <c r="B341" s="46">
        <v>43559</v>
      </c>
      <c r="C341" s="190">
        <v>42.325144523779592</v>
      </c>
      <c r="D341" s="190">
        <v>128.77123560535</v>
      </c>
      <c r="E341" s="190">
        <f t="shared" si="15"/>
        <v>42.325144523779592</v>
      </c>
      <c r="F341" s="219" t="str">
        <f t="shared" si="16"/>
        <v/>
      </c>
    </row>
    <row r="342" spans="1:7">
      <c r="A342">
        <v>339</v>
      </c>
      <c r="B342" s="46">
        <v>43560</v>
      </c>
      <c r="C342" s="190">
        <v>53.114143071777725</v>
      </c>
      <c r="D342" s="190">
        <v>128.77123560535</v>
      </c>
      <c r="E342" s="190">
        <f t="shared" si="15"/>
        <v>53.114143071777725</v>
      </c>
      <c r="F342" s="219" t="str">
        <f t="shared" si="16"/>
        <v/>
      </c>
    </row>
    <row r="343" spans="1:7">
      <c r="A343">
        <v>340</v>
      </c>
      <c r="B343" s="46">
        <v>43561</v>
      </c>
      <c r="C343" s="190">
        <v>35.382675467779592</v>
      </c>
      <c r="D343" s="190">
        <v>128.77123560535</v>
      </c>
      <c r="E343" s="190">
        <f t="shared" si="15"/>
        <v>35.382675467779592</v>
      </c>
      <c r="F343" s="219" t="str">
        <f t="shared" si="16"/>
        <v/>
      </c>
    </row>
    <row r="344" spans="1:7">
      <c r="A344">
        <v>341</v>
      </c>
      <c r="B344" s="46">
        <v>43562</v>
      </c>
      <c r="C344" s="190">
        <v>30.349885119777724</v>
      </c>
      <c r="D344" s="190">
        <v>128.77123560535</v>
      </c>
      <c r="E344" s="190">
        <f t="shared" si="15"/>
        <v>30.349885119777724</v>
      </c>
      <c r="F344" s="219" t="str">
        <f t="shared" si="16"/>
        <v/>
      </c>
    </row>
    <row r="345" spans="1:7">
      <c r="A345">
        <v>342</v>
      </c>
      <c r="B345" s="46">
        <v>43563</v>
      </c>
      <c r="C345" s="190">
        <v>38.869087747777733</v>
      </c>
      <c r="D345" s="190">
        <v>128.77123560535</v>
      </c>
      <c r="E345" s="190">
        <f t="shared" si="15"/>
        <v>38.869087747777733</v>
      </c>
      <c r="F345" s="219" t="str">
        <f t="shared" si="16"/>
        <v/>
      </c>
    </row>
    <row r="346" spans="1:7">
      <c r="A346">
        <v>343</v>
      </c>
      <c r="B346" s="46">
        <v>43564</v>
      </c>
      <c r="C346" s="190">
        <v>35.440293803779589</v>
      </c>
      <c r="D346" s="190">
        <v>128.77123560535</v>
      </c>
      <c r="E346" s="190">
        <f t="shared" si="15"/>
        <v>35.440293803779589</v>
      </c>
      <c r="F346" s="219" t="str">
        <f t="shared" si="16"/>
        <v/>
      </c>
    </row>
    <row r="347" spans="1:7">
      <c r="A347">
        <v>344</v>
      </c>
      <c r="B347" s="46">
        <v>43565</v>
      </c>
      <c r="C347" s="190">
        <v>73.569345241523081</v>
      </c>
      <c r="D347" s="190">
        <v>128.77123560535</v>
      </c>
      <c r="E347" s="190">
        <f t="shared" si="15"/>
        <v>73.569345241523081</v>
      </c>
      <c r="F347" s="219" t="str">
        <f t="shared" si="16"/>
        <v/>
      </c>
    </row>
    <row r="348" spans="1:7">
      <c r="A348">
        <v>345</v>
      </c>
      <c r="B348" s="46">
        <v>43566</v>
      </c>
      <c r="C348" s="190">
        <v>81.876537213523108</v>
      </c>
      <c r="D348" s="190">
        <v>128.77123560535</v>
      </c>
      <c r="E348" s="190">
        <f t="shared" si="15"/>
        <v>81.876537213523108</v>
      </c>
      <c r="F348" s="219" t="str">
        <f t="shared" si="16"/>
        <v/>
      </c>
    </row>
    <row r="349" spans="1:7">
      <c r="A349">
        <v>346</v>
      </c>
      <c r="B349" s="46">
        <v>43567</v>
      </c>
      <c r="C349" s="190">
        <v>81.248949489523099</v>
      </c>
      <c r="D349" s="190">
        <v>128.77123560535</v>
      </c>
      <c r="E349" s="190">
        <f t="shared" si="15"/>
        <v>81.248949489523099</v>
      </c>
      <c r="F349" s="219" t="str">
        <f t="shared" si="16"/>
        <v/>
      </c>
    </row>
    <row r="350" spans="1:7">
      <c r="A350">
        <v>347</v>
      </c>
      <c r="B350" s="46">
        <v>43568</v>
      </c>
      <c r="C350" s="190">
        <v>71.754454277523095</v>
      </c>
      <c r="D350" s="190">
        <v>128.77123560535</v>
      </c>
      <c r="E350" s="190">
        <f t="shared" si="15"/>
        <v>71.754454277523095</v>
      </c>
      <c r="F350" s="219" t="str">
        <f t="shared" si="16"/>
        <v/>
      </c>
    </row>
    <row r="351" spans="1:7">
      <c r="A351">
        <v>348</v>
      </c>
      <c r="B351" s="46">
        <v>43569</v>
      </c>
      <c r="C351" s="190">
        <v>65.207499237523095</v>
      </c>
      <c r="D351" s="190">
        <v>128.77123560535</v>
      </c>
      <c r="E351" s="190">
        <f t="shared" si="15"/>
        <v>65.207499237523095</v>
      </c>
      <c r="F351" s="219" t="str">
        <f t="shared" si="16"/>
        <v/>
      </c>
    </row>
    <row r="352" spans="1:7">
      <c r="A352">
        <v>349</v>
      </c>
      <c r="B352" s="46">
        <v>43570</v>
      </c>
      <c r="C352" s="190">
        <v>75.083972453521227</v>
      </c>
      <c r="D352" s="190">
        <v>128.77123560535</v>
      </c>
      <c r="E352" s="190">
        <f t="shared" si="15"/>
        <v>75.083972453521227</v>
      </c>
      <c r="F352" s="219" t="str">
        <f t="shared" si="16"/>
        <v>A</v>
      </c>
      <c r="G352" s="220">
        <f t="shared" ref="G352:G382" si="17">IF(DAY(B352)=15,D352,"")</f>
        <v>128.77123560535</v>
      </c>
    </row>
    <row r="353" spans="1:6">
      <c r="A353">
        <v>350</v>
      </c>
      <c r="B353" s="46">
        <v>43571</v>
      </c>
      <c r="C353" s="190">
        <v>82.7277009815231</v>
      </c>
      <c r="D353" s="190">
        <v>128.77123560535</v>
      </c>
      <c r="E353" s="190">
        <f t="shared" si="15"/>
        <v>82.7277009815231</v>
      </c>
      <c r="F353" s="219" t="str">
        <f t="shared" si="16"/>
        <v/>
      </c>
    </row>
    <row r="354" spans="1:6">
      <c r="A354">
        <v>351</v>
      </c>
      <c r="B354" s="46">
        <v>43572</v>
      </c>
      <c r="C354" s="190">
        <v>99.887771316209069</v>
      </c>
      <c r="D354" s="190">
        <v>128.77123560535</v>
      </c>
      <c r="E354" s="190">
        <f t="shared" si="15"/>
        <v>99.887771316209069</v>
      </c>
      <c r="F354" s="219" t="str">
        <f t="shared" si="16"/>
        <v/>
      </c>
    </row>
    <row r="355" spans="1:6">
      <c r="A355">
        <v>352</v>
      </c>
      <c r="B355" s="46">
        <v>43573</v>
      </c>
      <c r="C355" s="190">
        <v>97.503805000207208</v>
      </c>
      <c r="D355" s="190">
        <v>128.77123560535</v>
      </c>
      <c r="E355" s="190">
        <f t="shared" si="15"/>
        <v>97.503805000207208</v>
      </c>
      <c r="F355" s="219" t="str">
        <f t="shared" si="16"/>
        <v/>
      </c>
    </row>
    <row r="356" spans="1:6">
      <c r="A356">
        <v>353</v>
      </c>
      <c r="B356" s="46">
        <v>43574</v>
      </c>
      <c r="C356" s="190">
        <v>76.237347956209064</v>
      </c>
      <c r="D356" s="190">
        <v>128.77123560535</v>
      </c>
      <c r="E356" s="190">
        <f t="shared" si="15"/>
        <v>76.237347956209064</v>
      </c>
      <c r="F356" s="219" t="str">
        <f t="shared" si="16"/>
        <v/>
      </c>
    </row>
    <row r="357" spans="1:6">
      <c r="A357">
        <v>354</v>
      </c>
      <c r="B357" s="46">
        <v>43575</v>
      </c>
      <c r="C357" s="190">
        <v>73.371422276207213</v>
      </c>
      <c r="D357" s="190">
        <v>128.77123560535</v>
      </c>
      <c r="E357" s="190">
        <f t="shared" si="15"/>
        <v>73.371422276207213</v>
      </c>
      <c r="F357" s="219" t="str">
        <f t="shared" si="16"/>
        <v/>
      </c>
    </row>
    <row r="358" spans="1:6">
      <c r="A358">
        <v>355</v>
      </c>
      <c r="B358" s="46">
        <v>43576</v>
      </c>
      <c r="C358" s="190">
        <v>82.086943796209056</v>
      </c>
      <c r="D358" s="190">
        <v>128.77123560535</v>
      </c>
      <c r="E358" s="190">
        <f t="shared" si="15"/>
        <v>82.086943796209056</v>
      </c>
      <c r="F358" s="219" t="str">
        <f t="shared" si="16"/>
        <v/>
      </c>
    </row>
    <row r="359" spans="1:6">
      <c r="A359">
        <v>356</v>
      </c>
      <c r="B359" s="46">
        <v>43577</v>
      </c>
      <c r="C359" s="190">
        <v>83.039042272209073</v>
      </c>
      <c r="D359" s="190">
        <v>128.77123560535</v>
      </c>
      <c r="E359" s="190">
        <f t="shared" si="15"/>
        <v>83.039042272209073</v>
      </c>
      <c r="F359" s="219" t="str">
        <f t="shared" si="16"/>
        <v/>
      </c>
    </row>
    <row r="360" spans="1:6">
      <c r="A360">
        <v>357</v>
      </c>
      <c r="B360" s="46">
        <v>43578</v>
      </c>
      <c r="C360" s="190">
        <v>84.907127912207216</v>
      </c>
      <c r="D360" s="190">
        <v>128.77123560535</v>
      </c>
      <c r="E360" s="190">
        <f t="shared" si="15"/>
        <v>84.907127912207216</v>
      </c>
      <c r="F360" s="219" t="str">
        <f t="shared" si="16"/>
        <v/>
      </c>
    </row>
    <row r="361" spans="1:6">
      <c r="A361">
        <v>358</v>
      </c>
      <c r="B361" s="46">
        <v>43579</v>
      </c>
      <c r="C361" s="190">
        <v>120.09120279154841</v>
      </c>
      <c r="D361" s="190">
        <v>128.77123560535</v>
      </c>
      <c r="E361" s="190">
        <f t="shared" si="15"/>
        <v>120.09120279154841</v>
      </c>
      <c r="F361" s="219" t="str">
        <f t="shared" si="16"/>
        <v/>
      </c>
    </row>
    <row r="362" spans="1:6">
      <c r="A362">
        <v>359</v>
      </c>
      <c r="B362" s="46">
        <v>43580</v>
      </c>
      <c r="C362" s="190">
        <v>122.04502637154656</v>
      </c>
      <c r="D362" s="190">
        <v>128.77123560535</v>
      </c>
      <c r="E362" s="190">
        <f t="shared" si="15"/>
        <v>122.04502637154656</v>
      </c>
      <c r="F362" s="219" t="str">
        <f t="shared" si="16"/>
        <v/>
      </c>
    </row>
    <row r="363" spans="1:6">
      <c r="A363">
        <v>360</v>
      </c>
      <c r="B363" s="46">
        <v>43581</v>
      </c>
      <c r="C363" s="190">
        <v>133.58304685954656</v>
      </c>
      <c r="D363" s="190">
        <v>128.77123560535</v>
      </c>
      <c r="E363" s="190">
        <f t="shared" si="15"/>
        <v>128.77123560535</v>
      </c>
      <c r="F363" s="219" t="str">
        <f t="shared" si="16"/>
        <v/>
      </c>
    </row>
    <row r="364" spans="1:6">
      <c r="A364">
        <v>361</v>
      </c>
      <c r="B364" s="46">
        <v>43582</v>
      </c>
      <c r="C364" s="190">
        <v>132.51193723154842</v>
      </c>
      <c r="D364" s="190">
        <v>128.77123560535</v>
      </c>
      <c r="E364" s="190">
        <f t="shared" si="15"/>
        <v>128.77123560535</v>
      </c>
      <c r="F364" s="219" t="str">
        <f t="shared" si="16"/>
        <v/>
      </c>
    </row>
    <row r="365" spans="1:6">
      <c r="A365">
        <v>362</v>
      </c>
      <c r="B365" s="46">
        <v>43583</v>
      </c>
      <c r="C365" s="190">
        <v>124.74557389154842</v>
      </c>
      <c r="D365" s="190">
        <v>128.77123560535</v>
      </c>
      <c r="E365" s="190">
        <f t="shared" si="15"/>
        <v>124.74557389154842</v>
      </c>
      <c r="F365" s="219" t="str">
        <f t="shared" si="16"/>
        <v/>
      </c>
    </row>
    <row r="366" spans="1:6">
      <c r="A366">
        <v>363</v>
      </c>
      <c r="B366" s="46">
        <v>43584</v>
      </c>
      <c r="C366" s="190">
        <v>140.23924516354651</v>
      </c>
      <c r="D366" s="190">
        <v>128.77123560535</v>
      </c>
      <c r="E366" s="190">
        <f t="shared" si="15"/>
        <v>128.77123560535</v>
      </c>
      <c r="F366" s="219" t="str">
        <f t="shared" si="16"/>
        <v/>
      </c>
    </row>
    <row r="367" spans="1:6">
      <c r="A367">
        <v>364</v>
      </c>
      <c r="B367" s="46">
        <v>43585</v>
      </c>
      <c r="C367" s="190">
        <v>139.9016715475484</v>
      </c>
      <c r="D367" s="190">
        <v>128.77123560535</v>
      </c>
      <c r="E367" s="190">
        <f t="shared" si="15"/>
        <v>128.77123560535</v>
      </c>
      <c r="F367" s="219" t="str">
        <f t="shared" si="16"/>
        <v/>
      </c>
    </row>
    <row r="368" spans="1:6">
      <c r="A368">
        <v>365</v>
      </c>
      <c r="B368" s="46">
        <v>43586</v>
      </c>
      <c r="C368" s="190">
        <v>105.71601703098868</v>
      </c>
      <c r="D368" s="190">
        <v>105.65373260469035</v>
      </c>
      <c r="E368" s="190">
        <f t="shared" si="15"/>
        <v>105.65373260469035</v>
      </c>
      <c r="F368" s="219" t="str">
        <f t="shared" si="16"/>
        <v/>
      </c>
    </row>
    <row r="369" spans="1:7">
      <c r="A369">
        <v>366</v>
      </c>
      <c r="B369" s="46">
        <v>43587</v>
      </c>
      <c r="C369" s="190">
        <v>100.06853757899054</v>
      </c>
      <c r="D369" s="190">
        <v>105.65373260469035</v>
      </c>
      <c r="E369" s="190">
        <f t="shared" si="15"/>
        <v>100.06853757899054</v>
      </c>
      <c r="F369" s="219" t="str">
        <f t="shared" si="16"/>
        <v/>
      </c>
    </row>
    <row r="370" spans="1:7">
      <c r="A370">
        <v>367</v>
      </c>
      <c r="B370" s="46">
        <v>43588</v>
      </c>
      <c r="C370" s="190">
        <v>102.81004228298868</v>
      </c>
      <c r="D370" s="190">
        <v>105.65373260469035</v>
      </c>
      <c r="E370" s="190">
        <f t="shared" si="15"/>
        <v>102.81004228298868</v>
      </c>
      <c r="F370" s="219" t="str">
        <f t="shared" si="16"/>
        <v/>
      </c>
    </row>
    <row r="371" spans="1:7">
      <c r="A371">
        <v>368</v>
      </c>
      <c r="B371" s="46">
        <v>43589</v>
      </c>
      <c r="C371" s="190">
        <v>101.23971845099054</v>
      </c>
      <c r="D371" s="190">
        <v>105.65373260469035</v>
      </c>
      <c r="E371" s="190">
        <f t="shared" si="15"/>
        <v>101.23971845099054</v>
      </c>
      <c r="F371" s="219" t="str">
        <f t="shared" si="16"/>
        <v/>
      </c>
    </row>
    <row r="372" spans="1:7">
      <c r="A372">
        <v>369</v>
      </c>
      <c r="B372" s="46">
        <v>43590</v>
      </c>
      <c r="C372" s="190">
        <v>93.939445794990547</v>
      </c>
      <c r="D372" s="190">
        <v>105.65373260469035</v>
      </c>
      <c r="E372" s="190">
        <f t="shared" si="15"/>
        <v>93.939445794990547</v>
      </c>
      <c r="F372" s="219" t="str">
        <f t="shared" si="16"/>
        <v/>
      </c>
    </row>
    <row r="373" spans="1:7">
      <c r="A373">
        <v>370</v>
      </c>
      <c r="B373" s="46">
        <v>43591</v>
      </c>
      <c r="C373" s="190">
        <v>113.58412743498869</v>
      </c>
      <c r="D373" s="190">
        <v>105.65373260469035</v>
      </c>
      <c r="E373" s="190">
        <f t="shared" si="15"/>
        <v>105.65373260469035</v>
      </c>
      <c r="F373" s="219" t="str">
        <f t="shared" si="16"/>
        <v/>
      </c>
    </row>
    <row r="374" spans="1:7">
      <c r="A374">
        <v>371</v>
      </c>
      <c r="B374" s="46">
        <v>43592</v>
      </c>
      <c r="C374" s="190">
        <v>103.93047935099054</v>
      </c>
      <c r="D374" s="190">
        <v>105.65373260469035</v>
      </c>
      <c r="E374" s="190">
        <f t="shared" si="15"/>
        <v>103.93047935099054</v>
      </c>
      <c r="F374" s="219" t="str">
        <f t="shared" si="16"/>
        <v/>
      </c>
    </row>
    <row r="375" spans="1:7">
      <c r="A375">
        <v>372</v>
      </c>
      <c r="B375" s="46">
        <v>43593</v>
      </c>
      <c r="C375" s="190">
        <v>66.189202729308803</v>
      </c>
      <c r="D375" s="190">
        <v>105.65373260469035</v>
      </c>
      <c r="E375" s="190">
        <f t="shared" si="15"/>
        <v>66.189202729308803</v>
      </c>
      <c r="F375" s="219" t="str">
        <f t="shared" si="16"/>
        <v/>
      </c>
    </row>
    <row r="376" spans="1:7">
      <c r="A376">
        <v>373</v>
      </c>
      <c r="B376" s="46">
        <v>43594</v>
      </c>
      <c r="C376" s="190">
        <v>74.412695409306934</v>
      </c>
      <c r="D376" s="190">
        <v>105.65373260469035</v>
      </c>
      <c r="E376" s="190">
        <f t="shared" si="15"/>
        <v>74.412695409306934</v>
      </c>
      <c r="F376" s="219" t="str">
        <f t="shared" si="16"/>
        <v/>
      </c>
    </row>
    <row r="377" spans="1:7">
      <c r="A377">
        <v>374</v>
      </c>
      <c r="B377" s="46">
        <v>43595</v>
      </c>
      <c r="C377" s="190">
        <v>83.627382461306937</v>
      </c>
      <c r="D377" s="190">
        <v>105.65373260469035</v>
      </c>
      <c r="E377" s="190">
        <f t="shared" si="15"/>
        <v>83.627382461306937</v>
      </c>
      <c r="F377" s="219" t="str">
        <f t="shared" si="16"/>
        <v/>
      </c>
    </row>
    <row r="378" spans="1:7">
      <c r="A378">
        <v>375</v>
      </c>
      <c r="B378" s="46">
        <v>43596</v>
      </c>
      <c r="C378" s="190">
        <v>75.943218089306924</v>
      </c>
      <c r="D378" s="190">
        <v>105.65373260469035</v>
      </c>
      <c r="E378" s="190">
        <f t="shared" si="15"/>
        <v>75.943218089306924</v>
      </c>
      <c r="F378" s="219" t="str">
        <f t="shared" si="16"/>
        <v/>
      </c>
    </row>
    <row r="379" spans="1:7">
      <c r="A379">
        <v>376</v>
      </c>
      <c r="B379" s="46">
        <v>43597</v>
      </c>
      <c r="C379" s="190">
        <v>66.288154533306923</v>
      </c>
      <c r="D379" s="190">
        <v>105.65373260469035</v>
      </c>
      <c r="E379" s="190">
        <f t="shared" si="15"/>
        <v>66.288154533306923</v>
      </c>
      <c r="F379" s="219" t="str">
        <f t="shared" si="16"/>
        <v/>
      </c>
    </row>
    <row r="380" spans="1:7">
      <c r="A380">
        <v>377</v>
      </c>
      <c r="B380" s="46">
        <v>43598</v>
      </c>
      <c r="C380" s="190">
        <v>71.954015609306921</v>
      </c>
      <c r="D380" s="190">
        <v>105.65373260469035</v>
      </c>
      <c r="E380" s="190">
        <f t="shared" si="15"/>
        <v>71.954015609306921</v>
      </c>
      <c r="F380" s="219" t="str">
        <f t="shared" si="16"/>
        <v/>
      </c>
    </row>
    <row r="381" spans="1:7">
      <c r="A381">
        <v>378</v>
      </c>
      <c r="B381" s="46">
        <v>43599</v>
      </c>
      <c r="C381" s="190">
        <v>75.274204213308792</v>
      </c>
      <c r="D381" s="190">
        <v>105.65373260469035</v>
      </c>
      <c r="E381" s="190">
        <f t="shared" si="15"/>
        <v>75.274204213308792</v>
      </c>
      <c r="F381" s="219" t="str">
        <f t="shared" si="16"/>
        <v/>
      </c>
    </row>
    <row r="382" spans="1:7">
      <c r="A382">
        <v>379</v>
      </c>
      <c r="B382" s="46">
        <v>43600</v>
      </c>
      <c r="C382" s="190">
        <v>74.34173817415514</v>
      </c>
      <c r="D382" s="190">
        <v>105.65373260469035</v>
      </c>
      <c r="E382" s="190">
        <f t="shared" si="15"/>
        <v>74.34173817415514</v>
      </c>
      <c r="F382" s="219" t="str">
        <f t="shared" si="16"/>
        <v>M</v>
      </c>
      <c r="G382" s="220">
        <f t="shared" si="17"/>
        <v>105.65373260469035</v>
      </c>
    </row>
    <row r="383" spans="1:7">
      <c r="A383">
        <v>380</v>
      </c>
      <c r="B383" s="46">
        <v>43601</v>
      </c>
      <c r="C383" s="190">
        <v>67.959188766156998</v>
      </c>
      <c r="D383" s="190">
        <v>105.65373260469035</v>
      </c>
      <c r="E383" s="190">
        <f t="shared" si="15"/>
        <v>67.959188766156998</v>
      </c>
      <c r="F383" s="219" t="str">
        <f t="shared" si="16"/>
        <v/>
      </c>
    </row>
    <row r="384" spans="1:7">
      <c r="A384">
        <v>381</v>
      </c>
      <c r="B384" s="46">
        <v>43602</v>
      </c>
      <c r="C384" s="190">
        <v>65.692982786156989</v>
      </c>
      <c r="D384" s="190">
        <v>105.65373260469035</v>
      </c>
      <c r="E384" s="190">
        <f t="shared" si="15"/>
        <v>65.692982786156989</v>
      </c>
      <c r="F384" s="219" t="str">
        <f t="shared" si="16"/>
        <v/>
      </c>
    </row>
    <row r="385" spans="1:6">
      <c r="A385">
        <v>382</v>
      </c>
      <c r="B385" s="46">
        <v>43603</v>
      </c>
      <c r="C385" s="190">
        <v>64.505841354155137</v>
      </c>
      <c r="D385" s="190">
        <v>105.65373260469035</v>
      </c>
      <c r="E385" s="190">
        <f t="shared" si="15"/>
        <v>64.505841354155137</v>
      </c>
      <c r="F385" s="219" t="str">
        <f t="shared" si="16"/>
        <v/>
      </c>
    </row>
    <row r="386" spans="1:6">
      <c r="A386">
        <v>383</v>
      </c>
      <c r="B386" s="46">
        <v>43604</v>
      </c>
      <c r="C386" s="190">
        <v>60.628721762158854</v>
      </c>
      <c r="D386" s="190">
        <v>105.65373260469035</v>
      </c>
      <c r="E386" s="190">
        <f t="shared" si="15"/>
        <v>60.628721762158854</v>
      </c>
      <c r="F386" s="219" t="str">
        <f t="shared" si="16"/>
        <v/>
      </c>
    </row>
    <row r="387" spans="1:6">
      <c r="A387">
        <v>384</v>
      </c>
      <c r="B387" s="46">
        <v>43605</v>
      </c>
      <c r="C387" s="190">
        <v>72.604453906155129</v>
      </c>
      <c r="D387" s="190">
        <v>105.65373260469035</v>
      </c>
      <c r="E387" s="190">
        <f t="shared" si="15"/>
        <v>72.604453906155129</v>
      </c>
      <c r="F387" s="219" t="str">
        <f t="shared" si="16"/>
        <v/>
      </c>
    </row>
    <row r="388" spans="1:6">
      <c r="A388">
        <v>385</v>
      </c>
      <c r="B388" s="46">
        <v>43606</v>
      </c>
      <c r="C388" s="190">
        <v>76.283293826155131</v>
      </c>
      <c r="D388" s="190">
        <v>105.65373260469035</v>
      </c>
      <c r="E388" s="190">
        <f t="shared" ref="E388:E398" si="18">IF(C388&lt;D388,C388,D388)</f>
        <v>76.283293826155131</v>
      </c>
      <c r="F388" s="219" t="str">
        <f t="shared" ref="F388:F398" si="19">IF(DAY(B388)=15,IF(MONTH(B388)=1,"E",IF(MONTH(B388)=2,"F",IF(MONTH(B388)=3,"M",IF(MONTH(B388)=4,"A",IF(MONTH(B388)=5,"M",IF(MONTH(B388)=6,"J",IF(MONTH(B388)=7,"J",IF(MONTH(B388)=8,"A",IF(MONTH(B388)=9,"S",IF(MONTH(B388)=10,"O",IF(MONTH(B388)=11,"N",IF(MONTH(B388)=12,"D","")))))))))))),"")</f>
        <v/>
      </c>
    </row>
    <row r="389" spans="1:6">
      <c r="A389">
        <v>386</v>
      </c>
      <c r="B389" s="46">
        <v>43607</v>
      </c>
      <c r="C389" s="190">
        <v>65.635779093736303</v>
      </c>
      <c r="D389" s="190">
        <v>105.65373260469035</v>
      </c>
      <c r="E389" s="190">
        <f t="shared" si="18"/>
        <v>65.635779093736303</v>
      </c>
      <c r="F389" s="219" t="str">
        <f t="shared" si="19"/>
        <v/>
      </c>
    </row>
    <row r="390" spans="1:6">
      <c r="A390">
        <v>387</v>
      </c>
      <c r="B390" s="46">
        <v>43608</v>
      </c>
      <c r="C390" s="190">
        <v>60.05188925373443</v>
      </c>
      <c r="D390" s="190">
        <v>105.65373260469035</v>
      </c>
      <c r="E390" s="190">
        <f t="shared" si="18"/>
        <v>60.05188925373443</v>
      </c>
      <c r="F390" s="219" t="str">
        <f t="shared" si="19"/>
        <v/>
      </c>
    </row>
    <row r="391" spans="1:6">
      <c r="A391">
        <v>388</v>
      </c>
      <c r="B391" s="46">
        <v>43609</v>
      </c>
      <c r="C391" s="190">
        <v>59.146729805736292</v>
      </c>
      <c r="D391" s="190">
        <v>105.65373260469035</v>
      </c>
      <c r="E391" s="190">
        <f t="shared" si="18"/>
        <v>59.146729805736292</v>
      </c>
      <c r="F391" s="219" t="str">
        <f t="shared" si="19"/>
        <v/>
      </c>
    </row>
    <row r="392" spans="1:6">
      <c r="A392">
        <v>389</v>
      </c>
      <c r="B392" s="46">
        <v>43610</v>
      </c>
      <c r="C392" s="190">
        <v>57.372487131732569</v>
      </c>
      <c r="D392" s="190">
        <v>105.65373260469035</v>
      </c>
      <c r="E392" s="190">
        <f t="shared" si="18"/>
        <v>57.372487131732569</v>
      </c>
      <c r="F392" s="219" t="str">
        <f t="shared" si="19"/>
        <v/>
      </c>
    </row>
    <row r="393" spans="1:6">
      <c r="A393">
        <v>390</v>
      </c>
      <c r="B393" s="46">
        <v>43611</v>
      </c>
      <c r="C393" s="190">
        <v>54.61047347173816</v>
      </c>
      <c r="D393" s="190">
        <v>105.65373260469035</v>
      </c>
      <c r="E393" s="190">
        <f t="shared" si="18"/>
        <v>54.61047347173816</v>
      </c>
      <c r="F393" s="219" t="str">
        <f t="shared" si="19"/>
        <v/>
      </c>
    </row>
    <row r="394" spans="1:6">
      <c r="A394">
        <v>391</v>
      </c>
      <c r="B394" s="46">
        <v>43612</v>
      </c>
      <c r="C394" s="190">
        <v>58.416215127732571</v>
      </c>
      <c r="D394" s="190">
        <v>105.65373260469035</v>
      </c>
      <c r="E394" s="190">
        <f t="shared" si="18"/>
        <v>58.416215127732571</v>
      </c>
      <c r="F394" s="219" t="str">
        <f t="shared" si="19"/>
        <v/>
      </c>
    </row>
    <row r="395" spans="1:6">
      <c r="A395">
        <v>392</v>
      </c>
      <c r="B395" s="46">
        <v>43613</v>
      </c>
      <c r="C395" s="190">
        <v>53.367108333734429</v>
      </c>
      <c r="D395" s="190">
        <v>105.65373260469035</v>
      </c>
      <c r="E395" s="190">
        <f t="shared" si="18"/>
        <v>53.367108333734429</v>
      </c>
      <c r="F395" s="219" t="str">
        <f t="shared" si="19"/>
        <v/>
      </c>
    </row>
    <row r="396" spans="1:6">
      <c r="A396">
        <v>393</v>
      </c>
      <c r="B396" s="46">
        <v>43614</v>
      </c>
      <c r="C396" s="190">
        <v>46.932252174643338</v>
      </c>
      <c r="D396" s="190">
        <v>105.65373260469035</v>
      </c>
      <c r="E396" s="190">
        <f t="shared" si="18"/>
        <v>46.932252174643338</v>
      </c>
      <c r="F396" s="219" t="str">
        <f t="shared" si="19"/>
        <v/>
      </c>
    </row>
    <row r="397" spans="1:6">
      <c r="A397">
        <v>394</v>
      </c>
      <c r="B397" s="46">
        <v>43615</v>
      </c>
      <c r="C397" s="190">
        <v>47.351127922641481</v>
      </c>
      <c r="D397" s="190">
        <v>105.65373260469035</v>
      </c>
      <c r="E397" s="190">
        <f t="shared" si="18"/>
        <v>47.351127922641481</v>
      </c>
      <c r="F397" s="219" t="str">
        <f t="shared" si="19"/>
        <v/>
      </c>
    </row>
    <row r="398" spans="1:6">
      <c r="A398">
        <v>395</v>
      </c>
      <c r="B398" s="46">
        <v>43616</v>
      </c>
      <c r="C398" s="190">
        <v>54.088175124643342</v>
      </c>
      <c r="D398" s="190">
        <v>105.65373260469035</v>
      </c>
      <c r="E398" s="190">
        <f t="shared" si="18"/>
        <v>54.088175124643342</v>
      </c>
      <c r="F398" s="219" t="str">
        <f t="shared" si="19"/>
        <v/>
      </c>
    </row>
    <row r="399" spans="1:6">
      <c r="A399">
        <v>396</v>
      </c>
      <c r="B399" s="46">
        <v>43617</v>
      </c>
      <c r="C399" s="190" t="s">
        <v>595</v>
      </c>
      <c r="D399" s="190" t="s">
        <v>595</v>
      </c>
      <c r="E399" s="190" t="str">
        <f t="shared" ref="E399:E451" si="20">IF(C399&lt;D399,C399,D399)</f>
        <v/>
      </c>
      <c r="F399" s="219" t="str">
        <f>IF(DAY(B399)=15,IF(MONTH(B399)=1,"E",IF(MONTH(B399)=2,"F",IF(MONTH(B399)=3,"M",IF(MONTH(B399)=4,"A",IF(MONTH(B399)=5,"M",IF(MONTH(B399)=6,"J",IF(MONTH(B399)=7,"J",IF(MONTH(B399)=8,"A",IF(MONTH(B399)=9,"S",IF(MONTH(B399)=10,"O",IF(MONTH(B399)=11,"N",IF(MONTH(B399)=12,"D","")))))))))))),"")</f>
        <v/>
      </c>
    </row>
    <row r="400" spans="1:6">
      <c r="C400" s="190" t="s">
        <v>595</v>
      </c>
      <c r="D400" s="190" t="s">
        <v>595</v>
      </c>
      <c r="E400" s="190" t="str">
        <f t="shared" si="20"/>
        <v/>
      </c>
      <c r="F400" s="219" t="str">
        <f t="shared" ref="F400:F412" si="21">IF(DAY(B400)=15,IF(MONTH(B400)=1,"E",IF(MONTH(B400)=2,"F",IF(MONTH(B400)=3,"M",IF(MONTH(B400)=4,"A",IF(MONTH(B400)=5,"M",IF(MONTH(B400)=6,"J",IF(MONTH(B400)=7,"J",IF(MONTH(B400)=8,"A",IF(MONTH(B400)=9,"S",IF(MONTH(B400)=10,"O",IF(MONTH(B400)=11,"N",IF(MONTH(B400)=12,"D","")))))))))))),"")</f>
        <v/>
      </c>
    </row>
    <row r="401" spans="3:7">
      <c r="C401" s="190" t="s">
        <v>595</v>
      </c>
      <c r="D401" s="190" t="s">
        <v>595</v>
      </c>
      <c r="E401" s="190" t="str">
        <f t="shared" si="20"/>
        <v/>
      </c>
      <c r="F401" s="219" t="str">
        <f t="shared" si="21"/>
        <v/>
      </c>
    </row>
    <row r="402" spans="3:7">
      <c r="C402" s="190" t="s">
        <v>595</v>
      </c>
      <c r="D402" s="190" t="s">
        <v>595</v>
      </c>
      <c r="E402" s="190" t="str">
        <f t="shared" si="20"/>
        <v/>
      </c>
      <c r="F402" s="219" t="str">
        <f t="shared" si="21"/>
        <v/>
      </c>
    </row>
    <row r="403" spans="3:7">
      <c r="C403" s="190" t="s">
        <v>595</v>
      </c>
      <c r="D403" s="190" t="s">
        <v>595</v>
      </c>
      <c r="E403" s="190" t="str">
        <f t="shared" si="20"/>
        <v/>
      </c>
      <c r="F403" s="219" t="str">
        <f t="shared" si="21"/>
        <v/>
      </c>
    </row>
    <row r="404" spans="3:7">
      <c r="C404" s="190" t="s">
        <v>595</v>
      </c>
      <c r="D404" s="190" t="s">
        <v>595</v>
      </c>
      <c r="E404" s="190" t="str">
        <f t="shared" si="20"/>
        <v/>
      </c>
      <c r="F404" s="219" t="str">
        <f t="shared" si="21"/>
        <v/>
      </c>
    </row>
    <row r="405" spans="3:7">
      <c r="C405" s="190" t="s">
        <v>595</v>
      </c>
      <c r="D405" s="190" t="s">
        <v>595</v>
      </c>
      <c r="E405" s="190" t="str">
        <f t="shared" si="20"/>
        <v/>
      </c>
      <c r="F405" s="219" t="str">
        <f t="shared" si="21"/>
        <v/>
      </c>
    </row>
    <row r="406" spans="3:7">
      <c r="C406" s="190" t="s">
        <v>595</v>
      </c>
      <c r="D406" s="190" t="s">
        <v>595</v>
      </c>
      <c r="E406" s="190" t="str">
        <f t="shared" si="20"/>
        <v/>
      </c>
      <c r="F406" s="219" t="str">
        <f t="shared" si="21"/>
        <v/>
      </c>
    </row>
    <row r="407" spans="3:7">
      <c r="C407" s="190" t="s">
        <v>595</v>
      </c>
      <c r="D407" s="190" t="s">
        <v>595</v>
      </c>
      <c r="E407" s="190" t="str">
        <f t="shared" si="20"/>
        <v/>
      </c>
      <c r="F407" s="219" t="str">
        <f t="shared" si="21"/>
        <v/>
      </c>
    </row>
    <row r="408" spans="3:7">
      <c r="C408" s="190" t="s">
        <v>595</v>
      </c>
      <c r="D408" s="190" t="s">
        <v>595</v>
      </c>
      <c r="E408" s="190" t="str">
        <f t="shared" si="20"/>
        <v/>
      </c>
      <c r="F408" s="219" t="str">
        <f t="shared" si="21"/>
        <v/>
      </c>
    </row>
    <row r="409" spans="3:7">
      <c r="C409" s="190" t="s">
        <v>595</v>
      </c>
      <c r="D409" s="190" t="s">
        <v>595</v>
      </c>
      <c r="E409" s="190" t="str">
        <f t="shared" si="20"/>
        <v/>
      </c>
      <c r="F409" s="219" t="str">
        <f t="shared" si="21"/>
        <v/>
      </c>
    </row>
    <row r="410" spans="3:7">
      <c r="C410" s="190" t="s">
        <v>595</v>
      </c>
      <c r="D410" s="190" t="s">
        <v>595</v>
      </c>
      <c r="E410" s="190" t="str">
        <f t="shared" si="20"/>
        <v/>
      </c>
      <c r="F410" s="219" t="str">
        <f t="shared" si="21"/>
        <v/>
      </c>
    </row>
    <row r="411" spans="3:7">
      <c r="C411" s="190" t="s">
        <v>595</v>
      </c>
      <c r="D411" s="190" t="s">
        <v>595</v>
      </c>
      <c r="E411" s="190" t="str">
        <f t="shared" si="20"/>
        <v/>
      </c>
      <c r="F411" s="219" t="str">
        <f t="shared" si="21"/>
        <v/>
      </c>
      <c r="G411" s="220" t="str">
        <f t="shared" ref="G411:G412" si="22">IF(DAY(B411)=15,D411,"")</f>
        <v/>
      </c>
    </row>
    <row r="412" spans="3:7">
      <c r="C412" s="190" t="s">
        <v>595</v>
      </c>
      <c r="D412" s="190" t="s">
        <v>595</v>
      </c>
      <c r="E412" s="190" t="str">
        <f t="shared" si="20"/>
        <v/>
      </c>
      <c r="F412" s="219" t="str">
        <f t="shared" si="21"/>
        <v/>
      </c>
      <c r="G412" s="220" t="str">
        <f t="shared" si="22"/>
        <v/>
      </c>
    </row>
    <row r="413" spans="3:7">
      <c r="C413" s="190" t="s">
        <v>595</v>
      </c>
      <c r="D413" s="190" t="s">
        <v>595</v>
      </c>
      <c r="E413" s="190" t="str">
        <f t="shared" si="20"/>
        <v/>
      </c>
    </row>
    <row r="414" spans="3:7">
      <c r="C414" s="190" t="s">
        <v>595</v>
      </c>
      <c r="D414" s="190" t="s">
        <v>595</v>
      </c>
      <c r="E414" s="190" t="str">
        <f t="shared" si="20"/>
        <v/>
      </c>
    </row>
    <row r="415" spans="3:7">
      <c r="C415" s="190" t="s">
        <v>595</v>
      </c>
      <c r="D415" s="190" t="s">
        <v>595</v>
      </c>
      <c r="E415" s="190" t="str">
        <f t="shared" si="20"/>
        <v/>
      </c>
    </row>
    <row r="416" spans="3:7">
      <c r="C416" s="190" t="s">
        <v>595</v>
      </c>
      <c r="D416" s="190" t="s">
        <v>595</v>
      </c>
      <c r="E416" s="190" t="str">
        <f t="shared" si="20"/>
        <v/>
      </c>
    </row>
    <row r="417" spans="3:5">
      <c r="C417" s="190" t="s">
        <v>595</v>
      </c>
      <c r="D417" s="190" t="s">
        <v>595</v>
      </c>
      <c r="E417" s="190" t="str">
        <f t="shared" si="20"/>
        <v/>
      </c>
    </row>
    <row r="418" spans="3:5">
      <c r="C418" s="190" t="s">
        <v>595</v>
      </c>
      <c r="D418" s="190" t="s">
        <v>595</v>
      </c>
      <c r="E418" s="190" t="str">
        <f t="shared" si="20"/>
        <v/>
      </c>
    </row>
    <row r="419" spans="3:5">
      <c r="C419" s="190" t="s">
        <v>595</v>
      </c>
      <c r="D419" s="190" t="s">
        <v>595</v>
      </c>
      <c r="E419" s="190" t="str">
        <f t="shared" si="20"/>
        <v/>
      </c>
    </row>
    <row r="420" spans="3:5">
      <c r="C420" s="190" t="s">
        <v>595</v>
      </c>
      <c r="D420" s="190" t="s">
        <v>595</v>
      </c>
      <c r="E420" s="190" t="str">
        <f t="shared" si="20"/>
        <v/>
      </c>
    </row>
    <row r="421" spans="3:5">
      <c r="C421" s="190" t="s">
        <v>595</v>
      </c>
      <c r="D421" s="190" t="s">
        <v>595</v>
      </c>
      <c r="E421" s="190" t="str">
        <f t="shared" si="20"/>
        <v/>
      </c>
    </row>
    <row r="422" spans="3:5">
      <c r="C422" s="190" t="s">
        <v>595</v>
      </c>
      <c r="D422" s="190" t="s">
        <v>595</v>
      </c>
      <c r="E422" s="190" t="str">
        <f t="shared" si="20"/>
        <v/>
      </c>
    </row>
    <row r="423" spans="3:5">
      <c r="C423" s="190" t="s">
        <v>595</v>
      </c>
      <c r="D423" s="190" t="s">
        <v>595</v>
      </c>
      <c r="E423" s="190" t="str">
        <f t="shared" si="20"/>
        <v/>
      </c>
    </row>
    <row r="424" spans="3:5">
      <c r="C424" s="190" t="s">
        <v>595</v>
      </c>
      <c r="D424" s="190" t="s">
        <v>595</v>
      </c>
      <c r="E424" s="190" t="str">
        <f t="shared" si="20"/>
        <v/>
      </c>
    </row>
    <row r="425" spans="3:5">
      <c r="C425" s="190" t="s">
        <v>595</v>
      </c>
      <c r="D425" s="190" t="s">
        <v>595</v>
      </c>
      <c r="E425" s="190" t="str">
        <f t="shared" si="20"/>
        <v/>
      </c>
    </row>
    <row r="426" spans="3:5">
      <c r="C426" s="190" t="s">
        <v>595</v>
      </c>
      <c r="D426" s="190" t="s">
        <v>595</v>
      </c>
      <c r="E426" s="190" t="str">
        <f t="shared" si="20"/>
        <v/>
      </c>
    </row>
    <row r="427" spans="3:5">
      <c r="C427" s="190" t="s">
        <v>595</v>
      </c>
      <c r="D427" s="190" t="s">
        <v>595</v>
      </c>
      <c r="E427" s="190" t="str">
        <f t="shared" si="20"/>
        <v/>
      </c>
    </row>
    <row r="428" spans="3:5">
      <c r="C428" s="190" t="s">
        <v>595</v>
      </c>
      <c r="D428" s="190" t="s">
        <v>595</v>
      </c>
      <c r="E428" s="190" t="str">
        <f t="shared" si="20"/>
        <v/>
      </c>
    </row>
    <row r="429" spans="3:5">
      <c r="C429" s="190" t="s">
        <v>595</v>
      </c>
      <c r="D429" s="190" t="s">
        <v>595</v>
      </c>
      <c r="E429" s="190" t="str">
        <f t="shared" si="20"/>
        <v/>
      </c>
    </row>
    <row r="430" spans="3:5">
      <c r="C430" s="190" t="s">
        <v>595</v>
      </c>
      <c r="D430" s="190" t="s">
        <v>595</v>
      </c>
      <c r="E430" s="190" t="str">
        <f t="shared" si="20"/>
        <v/>
      </c>
    </row>
    <row r="431" spans="3:5">
      <c r="C431" s="190" t="s">
        <v>595</v>
      </c>
      <c r="D431" s="190" t="s">
        <v>595</v>
      </c>
      <c r="E431" s="190" t="str">
        <f t="shared" si="20"/>
        <v/>
      </c>
    </row>
    <row r="432" spans="3:5">
      <c r="C432" s="190" t="s">
        <v>595</v>
      </c>
      <c r="D432" s="190" t="s">
        <v>595</v>
      </c>
      <c r="E432" s="190" t="str">
        <f t="shared" si="20"/>
        <v/>
      </c>
    </row>
    <row r="433" spans="3:5">
      <c r="C433" s="190" t="s">
        <v>595</v>
      </c>
      <c r="D433" s="190" t="s">
        <v>595</v>
      </c>
      <c r="E433" s="190" t="str">
        <f t="shared" si="20"/>
        <v/>
      </c>
    </row>
    <row r="434" spans="3:5">
      <c r="C434" s="190" t="s">
        <v>595</v>
      </c>
      <c r="D434" s="190" t="s">
        <v>595</v>
      </c>
      <c r="E434" s="190" t="str">
        <f t="shared" si="20"/>
        <v/>
      </c>
    </row>
    <row r="435" spans="3:5">
      <c r="C435" s="190" t="s">
        <v>595</v>
      </c>
      <c r="D435" s="190" t="s">
        <v>595</v>
      </c>
      <c r="E435" s="190" t="str">
        <f t="shared" si="20"/>
        <v/>
      </c>
    </row>
    <row r="436" spans="3:5">
      <c r="C436" s="190" t="s">
        <v>595</v>
      </c>
      <c r="D436" s="190" t="s">
        <v>595</v>
      </c>
      <c r="E436" s="190" t="str">
        <f t="shared" si="20"/>
        <v/>
      </c>
    </row>
    <row r="437" spans="3:5">
      <c r="C437" s="190" t="s">
        <v>595</v>
      </c>
      <c r="D437" s="190" t="s">
        <v>595</v>
      </c>
      <c r="E437" s="190" t="str">
        <f t="shared" si="20"/>
        <v/>
      </c>
    </row>
    <row r="438" spans="3:5">
      <c r="C438" s="190" t="s">
        <v>595</v>
      </c>
      <c r="D438" s="190" t="s">
        <v>595</v>
      </c>
      <c r="E438" s="190" t="str">
        <f t="shared" si="20"/>
        <v/>
      </c>
    </row>
    <row r="439" spans="3:5">
      <c r="C439" s="190" t="s">
        <v>595</v>
      </c>
      <c r="D439" s="190" t="s">
        <v>595</v>
      </c>
      <c r="E439" s="190" t="str">
        <f t="shared" si="20"/>
        <v/>
      </c>
    </row>
    <row r="440" spans="3:5">
      <c r="C440" s="190" t="s">
        <v>595</v>
      </c>
      <c r="D440" s="190" t="s">
        <v>595</v>
      </c>
      <c r="E440" s="190" t="str">
        <f t="shared" si="20"/>
        <v/>
      </c>
    </row>
    <row r="441" spans="3:5">
      <c r="C441" s="190" t="s">
        <v>595</v>
      </c>
      <c r="D441" s="190" t="s">
        <v>595</v>
      </c>
      <c r="E441" s="190" t="str">
        <f t="shared" si="20"/>
        <v/>
      </c>
    </row>
    <row r="442" spans="3:5">
      <c r="C442" s="190" t="s">
        <v>595</v>
      </c>
      <c r="D442" s="190" t="s">
        <v>595</v>
      </c>
      <c r="E442" s="190" t="str">
        <f t="shared" si="20"/>
        <v/>
      </c>
    </row>
    <row r="443" spans="3:5">
      <c r="C443" s="190" t="s">
        <v>595</v>
      </c>
      <c r="D443" s="190" t="s">
        <v>595</v>
      </c>
      <c r="E443" s="190" t="str">
        <f t="shared" si="20"/>
        <v/>
      </c>
    </row>
    <row r="444" spans="3:5">
      <c r="C444" s="190" t="s">
        <v>595</v>
      </c>
      <c r="D444" s="190" t="s">
        <v>595</v>
      </c>
      <c r="E444" s="190" t="str">
        <f t="shared" si="20"/>
        <v/>
      </c>
    </row>
    <row r="445" spans="3:5">
      <c r="C445" s="190" t="s">
        <v>595</v>
      </c>
      <c r="D445" s="190" t="s">
        <v>595</v>
      </c>
      <c r="E445" s="190" t="str">
        <f t="shared" si="20"/>
        <v/>
      </c>
    </row>
    <row r="446" spans="3:5">
      <c r="C446" s="190" t="s">
        <v>595</v>
      </c>
      <c r="D446" s="190" t="s">
        <v>595</v>
      </c>
      <c r="E446" s="190" t="str">
        <f t="shared" si="20"/>
        <v/>
      </c>
    </row>
    <row r="447" spans="3:5">
      <c r="C447" s="190" t="s">
        <v>595</v>
      </c>
      <c r="D447" s="190" t="s">
        <v>595</v>
      </c>
      <c r="E447" s="190" t="str">
        <f t="shared" si="20"/>
        <v/>
      </c>
    </row>
    <row r="448" spans="3:5">
      <c r="C448" s="190" t="s">
        <v>595</v>
      </c>
      <c r="D448" s="190" t="s">
        <v>595</v>
      </c>
      <c r="E448" s="190" t="str">
        <f t="shared" si="20"/>
        <v/>
      </c>
    </row>
    <row r="449" spans="3:5">
      <c r="C449" s="190" t="s">
        <v>595</v>
      </c>
      <c r="D449" s="190" t="s">
        <v>595</v>
      </c>
      <c r="E449" s="190" t="str">
        <f t="shared" si="20"/>
        <v/>
      </c>
    </row>
    <row r="450" spans="3:5">
      <c r="C450" s="190" t="s">
        <v>595</v>
      </c>
      <c r="D450" s="190" t="s">
        <v>595</v>
      </c>
      <c r="E450" s="190" t="str">
        <f t="shared" si="20"/>
        <v/>
      </c>
    </row>
    <row r="451" spans="3:5">
      <c r="C451" s="190" t="s">
        <v>595</v>
      </c>
      <c r="D451" s="190" t="s">
        <v>595</v>
      </c>
      <c r="E451" s="190" t="str">
        <f t="shared" si="20"/>
        <v/>
      </c>
    </row>
    <row r="452" spans="3:5">
      <c r="C452" s="190" t="s">
        <v>595</v>
      </c>
      <c r="D452" s="190" t="s">
        <v>595</v>
      </c>
      <c r="E452" s="190" t="str">
        <f t="shared" ref="E452:E515" si="23">IF(C452&lt;D452,C452,D452)</f>
        <v/>
      </c>
    </row>
    <row r="453" spans="3:5">
      <c r="C453" s="190" t="s">
        <v>595</v>
      </c>
      <c r="D453" s="190" t="s">
        <v>595</v>
      </c>
      <c r="E453" s="190" t="str">
        <f t="shared" si="23"/>
        <v/>
      </c>
    </row>
    <row r="454" spans="3:5">
      <c r="C454" s="190" t="s">
        <v>595</v>
      </c>
      <c r="D454" s="190" t="s">
        <v>595</v>
      </c>
      <c r="E454" s="190" t="str">
        <f t="shared" si="23"/>
        <v/>
      </c>
    </row>
    <row r="455" spans="3:5">
      <c r="C455" s="190" t="s">
        <v>595</v>
      </c>
      <c r="D455" s="190" t="s">
        <v>595</v>
      </c>
      <c r="E455" s="190" t="str">
        <f t="shared" si="23"/>
        <v/>
      </c>
    </row>
    <row r="456" spans="3:5">
      <c r="C456" s="190" t="s">
        <v>595</v>
      </c>
      <c r="D456" s="190" t="s">
        <v>595</v>
      </c>
      <c r="E456" s="190" t="str">
        <f t="shared" si="23"/>
        <v/>
      </c>
    </row>
    <row r="457" spans="3:5">
      <c r="C457" s="190" t="s">
        <v>595</v>
      </c>
      <c r="D457" s="190" t="s">
        <v>595</v>
      </c>
      <c r="E457" s="190" t="str">
        <f t="shared" si="23"/>
        <v/>
      </c>
    </row>
    <row r="458" spans="3:5">
      <c r="C458" s="190" t="s">
        <v>595</v>
      </c>
      <c r="D458" s="190" t="s">
        <v>595</v>
      </c>
      <c r="E458" s="190" t="str">
        <f t="shared" si="23"/>
        <v/>
      </c>
    </row>
    <row r="459" spans="3:5">
      <c r="C459" s="190" t="s">
        <v>595</v>
      </c>
      <c r="D459" s="190" t="s">
        <v>595</v>
      </c>
      <c r="E459" s="190" t="str">
        <f t="shared" si="23"/>
        <v/>
      </c>
    </row>
    <row r="460" spans="3:5">
      <c r="C460" s="190" t="s">
        <v>595</v>
      </c>
      <c r="D460" s="190" t="s">
        <v>595</v>
      </c>
      <c r="E460" s="190" t="str">
        <f t="shared" si="23"/>
        <v/>
      </c>
    </row>
    <row r="461" spans="3:5">
      <c r="C461" s="190" t="s">
        <v>595</v>
      </c>
      <c r="D461" s="190" t="s">
        <v>595</v>
      </c>
      <c r="E461" s="190" t="str">
        <f t="shared" si="23"/>
        <v/>
      </c>
    </row>
    <row r="462" spans="3:5">
      <c r="C462" s="190" t="s">
        <v>595</v>
      </c>
      <c r="D462" s="190" t="s">
        <v>595</v>
      </c>
      <c r="E462" s="190" t="str">
        <f t="shared" si="23"/>
        <v/>
      </c>
    </row>
    <row r="463" spans="3:5">
      <c r="C463" s="190" t="s">
        <v>595</v>
      </c>
      <c r="D463" s="190" t="s">
        <v>595</v>
      </c>
      <c r="E463" s="190" t="str">
        <f t="shared" si="23"/>
        <v/>
      </c>
    </row>
    <row r="464" spans="3:5">
      <c r="C464" s="190" t="s">
        <v>595</v>
      </c>
      <c r="D464" s="190" t="s">
        <v>595</v>
      </c>
      <c r="E464" s="190" t="str">
        <f t="shared" si="23"/>
        <v/>
      </c>
    </row>
    <row r="465" spans="3:5">
      <c r="C465" s="190" t="s">
        <v>595</v>
      </c>
      <c r="D465" s="190" t="s">
        <v>595</v>
      </c>
      <c r="E465" s="190" t="str">
        <f t="shared" si="23"/>
        <v/>
      </c>
    </row>
    <row r="466" spans="3:5">
      <c r="C466" s="190" t="s">
        <v>595</v>
      </c>
      <c r="D466" s="190" t="s">
        <v>595</v>
      </c>
      <c r="E466" s="190" t="str">
        <f t="shared" si="23"/>
        <v/>
      </c>
    </row>
    <row r="467" spans="3:5">
      <c r="C467" s="190" t="s">
        <v>595</v>
      </c>
      <c r="D467" s="190" t="s">
        <v>595</v>
      </c>
      <c r="E467" s="190" t="str">
        <f t="shared" si="23"/>
        <v/>
      </c>
    </row>
    <row r="468" spans="3:5">
      <c r="C468" s="190" t="s">
        <v>595</v>
      </c>
      <c r="D468" s="190" t="s">
        <v>595</v>
      </c>
      <c r="E468" s="190" t="str">
        <f t="shared" si="23"/>
        <v/>
      </c>
    </row>
    <row r="469" spans="3:5">
      <c r="C469" s="190" t="s">
        <v>595</v>
      </c>
      <c r="D469" s="190" t="s">
        <v>595</v>
      </c>
      <c r="E469" s="190" t="str">
        <f t="shared" si="23"/>
        <v/>
      </c>
    </row>
    <row r="470" spans="3:5">
      <c r="C470" s="190" t="s">
        <v>595</v>
      </c>
      <c r="D470" s="190" t="s">
        <v>595</v>
      </c>
      <c r="E470" s="190" t="str">
        <f t="shared" si="23"/>
        <v/>
      </c>
    </row>
    <row r="471" spans="3:5">
      <c r="C471" s="190" t="s">
        <v>595</v>
      </c>
      <c r="D471" s="190" t="s">
        <v>595</v>
      </c>
      <c r="E471" s="190" t="str">
        <f t="shared" si="23"/>
        <v/>
      </c>
    </row>
    <row r="472" spans="3:5">
      <c r="C472" s="190" t="s">
        <v>595</v>
      </c>
      <c r="D472" s="190" t="s">
        <v>595</v>
      </c>
      <c r="E472" s="190" t="str">
        <f t="shared" si="23"/>
        <v/>
      </c>
    </row>
    <row r="473" spans="3:5">
      <c r="C473" s="190" t="s">
        <v>595</v>
      </c>
      <c r="D473" s="190" t="s">
        <v>595</v>
      </c>
      <c r="E473" s="190" t="str">
        <f t="shared" si="23"/>
        <v/>
      </c>
    </row>
    <row r="474" spans="3:5">
      <c r="C474" s="190" t="s">
        <v>595</v>
      </c>
      <c r="D474" s="190" t="s">
        <v>595</v>
      </c>
      <c r="E474" s="190" t="str">
        <f t="shared" si="23"/>
        <v/>
      </c>
    </row>
    <row r="475" spans="3:5">
      <c r="C475" s="190" t="s">
        <v>595</v>
      </c>
      <c r="D475" s="190" t="s">
        <v>595</v>
      </c>
      <c r="E475" s="190" t="str">
        <f t="shared" si="23"/>
        <v/>
      </c>
    </row>
    <row r="476" spans="3:5">
      <c r="C476" s="190" t="s">
        <v>595</v>
      </c>
      <c r="D476" s="190" t="s">
        <v>595</v>
      </c>
      <c r="E476" s="190" t="str">
        <f t="shared" si="23"/>
        <v/>
      </c>
    </row>
    <row r="477" spans="3:5">
      <c r="C477" s="190" t="s">
        <v>595</v>
      </c>
      <c r="D477" s="190" t="s">
        <v>595</v>
      </c>
      <c r="E477" s="190" t="str">
        <f t="shared" si="23"/>
        <v/>
      </c>
    </row>
    <row r="478" spans="3:5">
      <c r="C478" s="190" t="s">
        <v>595</v>
      </c>
      <c r="D478" s="190" t="s">
        <v>595</v>
      </c>
      <c r="E478" s="190" t="str">
        <f t="shared" si="23"/>
        <v/>
      </c>
    </row>
    <row r="479" spans="3:5">
      <c r="C479" s="190" t="s">
        <v>595</v>
      </c>
      <c r="D479" s="190" t="s">
        <v>595</v>
      </c>
      <c r="E479" s="190" t="str">
        <f t="shared" si="23"/>
        <v/>
      </c>
    </row>
    <row r="480" spans="3:5">
      <c r="C480" s="190" t="s">
        <v>595</v>
      </c>
      <c r="D480" s="190" t="s">
        <v>595</v>
      </c>
      <c r="E480" s="190" t="str">
        <f t="shared" si="23"/>
        <v/>
      </c>
    </row>
    <row r="481" spans="3:5">
      <c r="C481" s="190" t="s">
        <v>595</v>
      </c>
      <c r="D481" s="190" t="s">
        <v>595</v>
      </c>
      <c r="E481" s="190" t="str">
        <f t="shared" si="23"/>
        <v/>
      </c>
    </row>
    <row r="482" spans="3:5">
      <c r="C482" s="190" t="s">
        <v>595</v>
      </c>
      <c r="D482" s="190" t="s">
        <v>595</v>
      </c>
      <c r="E482" s="190" t="str">
        <f t="shared" si="23"/>
        <v/>
      </c>
    </row>
    <row r="483" spans="3:5">
      <c r="C483" s="190" t="s">
        <v>595</v>
      </c>
      <c r="D483" s="190" t="s">
        <v>595</v>
      </c>
      <c r="E483" s="190" t="str">
        <f t="shared" si="23"/>
        <v/>
      </c>
    </row>
    <row r="484" spans="3:5">
      <c r="C484" s="190" t="s">
        <v>595</v>
      </c>
      <c r="D484" s="190" t="s">
        <v>595</v>
      </c>
      <c r="E484" s="190" t="str">
        <f t="shared" si="23"/>
        <v/>
      </c>
    </row>
    <row r="485" spans="3:5">
      <c r="C485" s="190" t="s">
        <v>595</v>
      </c>
      <c r="D485" s="190" t="s">
        <v>595</v>
      </c>
      <c r="E485" s="190" t="str">
        <f t="shared" si="23"/>
        <v/>
      </c>
    </row>
    <row r="486" spans="3:5">
      <c r="C486" s="190" t="s">
        <v>595</v>
      </c>
      <c r="D486" s="190" t="s">
        <v>595</v>
      </c>
      <c r="E486" s="190" t="str">
        <f t="shared" si="23"/>
        <v/>
      </c>
    </row>
    <row r="487" spans="3:5">
      <c r="C487" s="190" t="s">
        <v>595</v>
      </c>
      <c r="D487" s="190" t="s">
        <v>595</v>
      </c>
      <c r="E487" s="190" t="str">
        <f t="shared" si="23"/>
        <v/>
      </c>
    </row>
    <row r="488" spans="3:5">
      <c r="C488" s="190" t="s">
        <v>595</v>
      </c>
      <c r="D488" s="190" t="s">
        <v>595</v>
      </c>
      <c r="E488" s="190" t="str">
        <f t="shared" si="23"/>
        <v/>
      </c>
    </row>
    <row r="489" spans="3:5">
      <c r="C489" s="190" t="s">
        <v>595</v>
      </c>
      <c r="D489" s="190" t="s">
        <v>595</v>
      </c>
      <c r="E489" s="190" t="str">
        <f t="shared" si="23"/>
        <v/>
      </c>
    </row>
    <row r="490" spans="3:5">
      <c r="C490" s="190" t="s">
        <v>595</v>
      </c>
      <c r="D490" s="190" t="s">
        <v>595</v>
      </c>
      <c r="E490" s="190" t="str">
        <f t="shared" si="23"/>
        <v/>
      </c>
    </row>
    <row r="491" spans="3:5">
      <c r="C491" s="190" t="s">
        <v>595</v>
      </c>
      <c r="D491" s="190" t="s">
        <v>595</v>
      </c>
      <c r="E491" s="190" t="str">
        <f t="shared" si="23"/>
        <v/>
      </c>
    </row>
    <row r="492" spans="3:5">
      <c r="C492" s="190" t="s">
        <v>595</v>
      </c>
      <c r="D492" s="190" t="s">
        <v>595</v>
      </c>
      <c r="E492" s="190" t="str">
        <f t="shared" si="23"/>
        <v/>
      </c>
    </row>
    <row r="493" spans="3:5">
      <c r="C493" s="190" t="s">
        <v>595</v>
      </c>
      <c r="D493" s="190" t="s">
        <v>595</v>
      </c>
      <c r="E493" s="190" t="str">
        <f t="shared" si="23"/>
        <v/>
      </c>
    </row>
    <row r="494" spans="3:5">
      <c r="C494" s="190" t="s">
        <v>595</v>
      </c>
      <c r="D494" s="190" t="s">
        <v>595</v>
      </c>
      <c r="E494" s="190" t="str">
        <f t="shared" si="23"/>
        <v/>
      </c>
    </row>
    <row r="495" spans="3:5">
      <c r="C495" s="190" t="s">
        <v>595</v>
      </c>
      <c r="D495" s="190" t="s">
        <v>595</v>
      </c>
      <c r="E495" s="190" t="str">
        <f t="shared" si="23"/>
        <v/>
      </c>
    </row>
    <row r="496" spans="3:5">
      <c r="C496" s="190" t="s">
        <v>595</v>
      </c>
      <c r="D496" s="190" t="s">
        <v>595</v>
      </c>
      <c r="E496" s="190" t="str">
        <f t="shared" si="23"/>
        <v/>
      </c>
    </row>
    <row r="497" spans="3:5">
      <c r="C497" s="190" t="s">
        <v>595</v>
      </c>
      <c r="D497" s="190" t="s">
        <v>595</v>
      </c>
      <c r="E497" s="190" t="str">
        <f t="shared" si="23"/>
        <v/>
      </c>
    </row>
    <row r="498" spans="3:5">
      <c r="C498" s="190" t="s">
        <v>595</v>
      </c>
      <c r="D498" s="190" t="s">
        <v>595</v>
      </c>
      <c r="E498" s="190" t="str">
        <f t="shared" si="23"/>
        <v/>
      </c>
    </row>
    <row r="499" spans="3:5">
      <c r="C499" s="190" t="s">
        <v>595</v>
      </c>
      <c r="D499" s="190" t="s">
        <v>595</v>
      </c>
      <c r="E499" s="190" t="str">
        <f t="shared" si="23"/>
        <v/>
      </c>
    </row>
    <row r="500" spans="3:5">
      <c r="C500" s="190" t="s">
        <v>595</v>
      </c>
      <c r="D500" s="190" t="s">
        <v>595</v>
      </c>
      <c r="E500" s="190" t="str">
        <f t="shared" si="23"/>
        <v/>
      </c>
    </row>
    <row r="501" spans="3:5">
      <c r="C501" s="190" t="s">
        <v>595</v>
      </c>
      <c r="D501" s="190" t="s">
        <v>595</v>
      </c>
      <c r="E501" s="190" t="str">
        <f t="shared" si="23"/>
        <v/>
      </c>
    </row>
    <row r="502" spans="3:5">
      <c r="C502" s="190" t="s">
        <v>595</v>
      </c>
      <c r="D502" s="190" t="s">
        <v>595</v>
      </c>
      <c r="E502" s="190" t="str">
        <f t="shared" si="23"/>
        <v/>
      </c>
    </row>
    <row r="503" spans="3:5">
      <c r="C503" s="190" t="s">
        <v>595</v>
      </c>
      <c r="D503" s="190" t="s">
        <v>595</v>
      </c>
      <c r="E503" s="190" t="str">
        <f t="shared" si="23"/>
        <v/>
      </c>
    </row>
    <row r="504" spans="3:5">
      <c r="C504" s="190" t="s">
        <v>595</v>
      </c>
      <c r="D504" s="190" t="s">
        <v>595</v>
      </c>
      <c r="E504" s="190" t="str">
        <f t="shared" si="23"/>
        <v/>
      </c>
    </row>
    <row r="505" spans="3:5">
      <c r="C505" s="190" t="s">
        <v>595</v>
      </c>
      <c r="D505" s="190" t="s">
        <v>595</v>
      </c>
      <c r="E505" s="190" t="str">
        <f t="shared" si="23"/>
        <v/>
      </c>
    </row>
    <row r="506" spans="3:5">
      <c r="C506" s="190" t="s">
        <v>595</v>
      </c>
      <c r="D506" s="190" t="s">
        <v>595</v>
      </c>
      <c r="E506" s="190" t="str">
        <f t="shared" si="23"/>
        <v/>
      </c>
    </row>
    <row r="507" spans="3:5">
      <c r="C507" s="190" t="s">
        <v>595</v>
      </c>
      <c r="D507" s="190" t="s">
        <v>595</v>
      </c>
      <c r="E507" s="190" t="str">
        <f t="shared" si="23"/>
        <v/>
      </c>
    </row>
    <row r="508" spans="3:5">
      <c r="C508" s="190" t="s">
        <v>595</v>
      </c>
      <c r="D508" s="190" t="s">
        <v>595</v>
      </c>
      <c r="E508" s="190" t="str">
        <f t="shared" si="23"/>
        <v/>
      </c>
    </row>
    <row r="509" spans="3:5">
      <c r="C509" s="190" t="s">
        <v>595</v>
      </c>
      <c r="D509" s="190" t="s">
        <v>595</v>
      </c>
      <c r="E509" s="190" t="str">
        <f t="shared" si="23"/>
        <v/>
      </c>
    </row>
    <row r="510" spans="3:5">
      <c r="C510" s="190" t="s">
        <v>595</v>
      </c>
      <c r="D510" s="190" t="s">
        <v>595</v>
      </c>
      <c r="E510" s="190" t="str">
        <f t="shared" si="23"/>
        <v/>
      </c>
    </row>
    <row r="511" spans="3:5">
      <c r="C511" s="190" t="s">
        <v>595</v>
      </c>
      <c r="D511" s="190" t="s">
        <v>595</v>
      </c>
      <c r="E511" s="190" t="str">
        <f t="shared" si="23"/>
        <v/>
      </c>
    </row>
    <row r="512" spans="3:5">
      <c r="C512" s="190" t="s">
        <v>595</v>
      </c>
      <c r="D512" s="190" t="s">
        <v>595</v>
      </c>
      <c r="E512" s="190" t="str">
        <f t="shared" si="23"/>
        <v/>
      </c>
    </row>
    <row r="513" spans="3:5">
      <c r="C513" s="190" t="s">
        <v>595</v>
      </c>
      <c r="D513" s="190" t="s">
        <v>595</v>
      </c>
      <c r="E513" s="190" t="str">
        <f t="shared" si="23"/>
        <v/>
      </c>
    </row>
    <row r="514" spans="3:5">
      <c r="C514" s="190" t="s">
        <v>595</v>
      </c>
      <c r="D514" s="190" t="s">
        <v>595</v>
      </c>
      <c r="E514" s="190" t="str">
        <f t="shared" si="23"/>
        <v/>
      </c>
    </row>
    <row r="515" spans="3:5">
      <c r="C515" s="190" t="s">
        <v>595</v>
      </c>
      <c r="D515" s="190" t="s">
        <v>595</v>
      </c>
      <c r="E515" s="190" t="str">
        <f t="shared" si="23"/>
        <v/>
      </c>
    </row>
    <row r="516" spans="3:5">
      <c r="C516" s="190" t="s">
        <v>595</v>
      </c>
      <c r="D516" s="190" t="s">
        <v>595</v>
      </c>
      <c r="E516" s="190" t="str">
        <f t="shared" ref="E516:E579" si="24">IF(C516&lt;D516,C516,D516)</f>
        <v/>
      </c>
    </row>
    <row r="517" spans="3:5">
      <c r="C517" s="190" t="s">
        <v>595</v>
      </c>
      <c r="D517" s="190" t="s">
        <v>595</v>
      </c>
      <c r="E517" s="190" t="str">
        <f t="shared" si="24"/>
        <v/>
      </c>
    </row>
    <row r="518" spans="3:5">
      <c r="C518" s="190" t="s">
        <v>595</v>
      </c>
      <c r="D518" s="190" t="s">
        <v>595</v>
      </c>
      <c r="E518" s="190" t="str">
        <f t="shared" si="24"/>
        <v/>
      </c>
    </row>
    <row r="519" spans="3:5">
      <c r="C519" s="190" t="s">
        <v>595</v>
      </c>
      <c r="D519" s="190" t="s">
        <v>595</v>
      </c>
      <c r="E519" s="190" t="str">
        <f t="shared" si="24"/>
        <v/>
      </c>
    </row>
    <row r="520" spans="3:5">
      <c r="C520" s="190" t="s">
        <v>595</v>
      </c>
      <c r="D520" s="190" t="s">
        <v>595</v>
      </c>
      <c r="E520" s="190" t="str">
        <f t="shared" si="24"/>
        <v/>
      </c>
    </row>
    <row r="521" spans="3:5">
      <c r="C521" s="190" t="s">
        <v>595</v>
      </c>
      <c r="D521" s="190" t="s">
        <v>595</v>
      </c>
      <c r="E521" s="190" t="str">
        <f t="shared" si="24"/>
        <v/>
      </c>
    </row>
    <row r="522" spans="3:5">
      <c r="C522" s="190" t="s">
        <v>595</v>
      </c>
      <c r="D522" s="190" t="s">
        <v>595</v>
      </c>
      <c r="E522" s="190" t="str">
        <f t="shared" si="24"/>
        <v/>
      </c>
    </row>
    <row r="523" spans="3:5">
      <c r="C523" s="190" t="s">
        <v>595</v>
      </c>
      <c r="D523" s="190" t="s">
        <v>595</v>
      </c>
      <c r="E523" s="190" t="str">
        <f t="shared" si="24"/>
        <v/>
      </c>
    </row>
    <row r="524" spans="3:5">
      <c r="C524" s="190" t="s">
        <v>595</v>
      </c>
      <c r="D524" s="190" t="s">
        <v>595</v>
      </c>
      <c r="E524" s="190" t="str">
        <f t="shared" si="24"/>
        <v/>
      </c>
    </row>
    <row r="525" spans="3:5">
      <c r="C525" s="190" t="s">
        <v>595</v>
      </c>
      <c r="D525" s="190" t="s">
        <v>595</v>
      </c>
      <c r="E525" s="190" t="str">
        <f t="shared" si="24"/>
        <v/>
      </c>
    </row>
    <row r="526" spans="3:5">
      <c r="C526" s="190" t="s">
        <v>595</v>
      </c>
      <c r="D526" s="190" t="s">
        <v>595</v>
      </c>
      <c r="E526" s="190" t="str">
        <f t="shared" si="24"/>
        <v/>
      </c>
    </row>
    <row r="527" spans="3:5">
      <c r="C527" s="190" t="s">
        <v>595</v>
      </c>
      <c r="D527" s="190" t="s">
        <v>595</v>
      </c>
      <c r="E527" s="190" t="str">
        <f t="shared" si="24"/>
        <v/>
      </c>
    </row>
    <row r="528" spans="3:5">
      <c r="C528" s="190" t="s">
        <v>595</v>
      </c>
      <c r="D528" s="190" t="s">
        <v>595</v>
      </c>
      <c r="E528" s="190" t="str">
        <f t="shared" si="24"/>
        <v/>
      </c>
    </row>
    <row r="529" spans="3:5">
      <c r="C529" s="190" t="s">
        <v>595</v>
      </c>
      <c r="D529" s="190" t="s">
        <v>595</v>
      </c>
      <c r="E529" s="190" t="str">
        <f t="shared" si="24"/>
        <v/>
      </c>
    </row>
    <row r="530" spans="3:5">
      <c r="C530" s="190" t="s">
        <v>595</v>
      </c>
      <c r="D530" s="190" t="s">
        <v>595</v>
      </c>
      <c r="E530" s="190" t="str">
        <f t="shared" si="24"/>
        <v/>
      </c>
    </row>
    <row r="531" spans="3:5">
      <c r="C531" s="190" t="s">
        <v>595</v>
      </c>
      <c r="D531" s="190" t="s">
        <v>595</v>
      </c>
      <c r="E531" s="190" t="str">
        <f t="shared" si="24"/>
        <v/>
      </c>
    </row>
    <row r="532" spans="3:5">
      <c r="C532" s="190" t="s">
        <v>595</v>
      </c>
      <c r="D532" s="190" t="s">
        <v>595</v>
      </c>
      <c r="E532" s="190" t="str">
        <f t="shared" si="24"/>
        <v/>
      </c>
    </row>
    <row r="533" spans="3:5">
      <c r="C533" s="190" t="s">
        <v>595</v>
      </c>
      <c r="D533" s="190" t="s">
        <v>595</v>
      </c>
      <c r="E533" s="190" t="str">
        <f t="shared" si="24"/>
        <v/>
      </c>
    </row>
    <row r="534" spans="3:5">
      <c r="C534" s="190" t="s">
        <v>595</v>
      </c>
      <c r="D534" s="190" t="s">
        <v>595</v>
      </c>
      <c r="E534" s="190" t="str">
        <f t="shared" si="24"/>
        <v/>
      </c>
    </row>
    <row r="535" spans="3:5">
      <c r="C535" s="190" t="s">
        <v>595</v>
      </c>
      <c r="D535" s="190" t="s">
        <v>595</v>
      </c>
      <c r="E535" s="190" t="str">
        <f t="shared" si="24"/>
        <v/>
      </c>
    </row>
    <row r="536" spans="3:5">
      <c r="C536" s="190" t="s">
        <v>595</v>
      </c>
      <c r="D536" s="190" t="s">
        <v>595</v>
      </c>
      <c r="E536" s="190" t="str">
        <f t="shared" si="24"/>
        <v/>
      </c>
    </row>
    <row r="537" spans="3:5">
      <c r="C537" s="190" t="s">
        <v>595</v>
      </c>
      <c r="D537" s="190" t="s">
        <v>595</v>
      </c>
      <c r="E537" s="190" t="str">
        <f t="shared" si="24"/>
        <v/>
      </c>
    </row>
    <row r="538" spans="3:5">
      <c r="C538" s="190" t="s">
        <v>595</v>
      </c>
      <c r="D538" s="190" t="s">
        <v>595</v>
      </c>
      <c r="E538" s="190" t="str">
        <f t="shared" si="24"/>
        <v/>
      </c>
    </row>
    <row r="539" spans="3:5">
      <c r="C539" s="190" t="s">
        <v>595</v>
      </c>
      <c r="D539" s="190" t="s">
        <v>595</v>
      </c>
      <c r="E539" s="190" t="str">
        <f t="shared" si="24"/>
        <v/>
      </c>
    </row>
    <row r="540" spans="3:5">
      <c r="C540" s="190" t="s">
        <v>595</v>
      </c>
      <c r="D540" s="190" t="s">
        <v>595</v>
      </c>
      <c r="E540" s="190" t="str">
        <f t="shared" si="24"/>
        <v/>
      </c>
    </row>
    <row r="541" spans="3:5">
      <c r="C541" s="190" t="s">
        <v>595</v>
      </c>
      <c r="D541" s="190" t="s">
        <v>595</v>
      </c>
      <c r="E541" s="190" t="str">
        <f t="shared" si="24"/>
        <v/>
      </c>
    </row>
    <row r="542" spans="3:5">
      <c r="C542" s="190" t="s">
        <v>595</v>
      </c>
      <c r="D542" s="190" t="s">
        <v>595</v>
      </c>
      <c r="E542" s="190" t="str">
        <f t="shared" si="24"/>
        <v/>
      </c>
    </row>
    <row r="543" spans="3:5">
      <c r="C543" s="190" t="s">
        <v>595</v>
      </c>
      <c r="D543" s="190" t="s">
        <v>595</v>
      </c>
      <c r="E543" s="190" t="str">
        <f t="shared" si="24"/>
        <v/>
      </c>
    </row>
    <row r="544" spans="3:5">
      <c r="C544" s="190" t="s">
        <v>595</v>
      </c>
      <c r="D544" s="190" t="s">
        <v>595</v>
      </c>
      <c r="E544" s="190" t="str">
        <f t="shared" si="24"/>
        <v/>
      </c>
    </row>
    <row r="545" spans="3:5">
      <c r="C545" s="190" t="s">
        <v>595</v>
      </c>
      <c r="D545" s="190" t="s">
        <v>595</v>
      </c>
      <c r="E545" s="190" t="str">
        <f t="shared" si="24"/>
        <v/>
      </c>
    </row>
    <row r="546" spans="3:5">
      <c r="C546" s="190" t="s">
        <v>595</v>
      </c>
      <c r="D546" s="190" t="s">
        <v>595</v>
      </c>
      <c r="E546" s="190" t="str">
        <f t="shared" si="24"/>
        <v/>
      </c>
    </row>
    <row r="547" spans="3:5">
      <c r="C547" s="190" t="s">
        <v>595</v>
      </c>
      <c r="D547" s="190" t="s">
        <v>595</v>
      </c>
      <c r="E547" s="190" t="str">
        <f t="shared" si="24"/>
        <v/>
      </c>
    </row>
    <row r="548" spans="3:5">
      <c r="C548" s="190" t="s">
        <v>595</v>
      </c>
      <c r="D548" s="190" t="s">
        <v>595</v>
      </c>
      <c r="E548" s="190" t="str">
        <f t="shared" si="24"/>
        <v/>
      </c>
    </row>
    <row r="549" spans="3:5">
      <c r="C549" s="190" t="s">
        <v>595</v>
      </c>
      <c r="D549" s="190" t="s">
        <v>595</v>
      </c>
      <c r="E549" s="190" t="str">
        <f t="shared" si="24"/>
        <v/>
      </c>
    </row>
    <row r="550" spans="3:5">
      <c r="C550" s="190" t="s">
        <v>595</v>
      </c>
      <c r="D550" s="190" t="s">
        <v>595</v>
      </c>
      <c r="E550" s="190" t="str">
        <f t="shared" si="24"/>
        <v/>
      </c>
    </row>
    <row r="551" spans="3:5">
      <c r="C551" s="190" t="s">
        <v>595</v>
      </c>
      <c r="D551" s="190" t="s">
        <v>595</v>
      </c>
      <c r="E551" s="190" t="str">
        <f t="shared" si="24"/>
        <v/>
      </c>
    </row>
    <row r="552" spans="3:5">
      <c r="C552" s="190" t="s">
        <v>595</v>
      </c>
      <c r="D552" s="190" t="s">
        <v>595</v>
      </c>
      <c r="E552" s="190" t="str">
        <f t="shared" si="24"/>
        <v/>
      </c>
    </row>
    <row r="553" spans="3:5">
      <c r="C553" s="190" t="s">
        <v>595</v>
      </c>
      <c r="D553" s="190" t="s">
        <v>595</v>
      </c>
      <c r="E553" s="190" t="str">
        <f t="shared" si="24"/>
        <v/>
      </c>
    </row>
    <row r="554" spans="3:5">
      <c r="C554" s="190" t="s">
        <v>595</v>
      </c>
      <c r="D554" s="190" t="s">
        <v>595</v>
      </c>
      <c r="E554" s="190" t="str">
        <f t="shared" si="24"/>
        <v/>
      </c>
    </row>
    <row r="555" spans="3:5">
      <c r="C555" s="190" t="s">
        <v>595</v>
      </c>
      <c r="D555" s="190" t="s">
        <v>595</v>
      </c>
      <c r="E555" s="190" t="str">
        <f t="shared" si="24"/>
        <v/>
      </c>
    </row>
    <row r="556" spans="3:5">
      <c r="C556" s="190" t="s">
        <v>595</v>
      </c>
      <c r="D556" s="190" t="s">
        <v>595</v>
      </c>
      <c r="E556" s="190" t="str">
        <f t="shared" si="24"/>
        <v/>
      </c>
    </row>
    <row r="557" spans="3:5">
      <c r="C557" s="190" t="s">
        <v>595</v>
      </c>
      <c r="D557" s="190" t="s">
        <v>595</v>
      </c>
      <c r="E557" s="190" t="str">
        <f t="shared" si="24"/>
        <v/>
      </c>
    </row>
    <row r="558" spans="3:5">
      <c r="C558" s="190" t="s">
        <v>595</v>
      </c>
      <c r="D558" s="190" t="s">
        <v>595</v>
      </c>
      <c r="E558" s="190" t="str">
        <f t="shared" si="24"/>
        <v/>
      </c>
    </row>
    <row r="559" spans="3:5">
      <c r="C559" s="190" t="s">
        <v>595</v>
      </c>
      <c r="D559" s="190" t="s">
        <v>595</v>
      </c>
      <c r="E559" s="190" t="str">
        <f t="shared" si="24"/>
        <v/>
      </c>
    </row>
    <row r="560" spans="3:5">
      <c r="C560" s="190" t="s">
        <v>595</v>
      </c>
      <c r="D560" s="190" t="s">
        <v>595</v>
      </c>
      <c r="E560" s="190" t="str">
        <f t="shared" si="24"/>
        <v/>
      </c>
    </row>
    <row r="561" spans="3:5">
      <c r="C561" s="190" t="s">
        <v>595</v>
      </c>
      <c r="D561" s="190" t="s">
        <v>595</v>
      </c>
      <c r="E561" s="190" t="str">
        <f t="shared" si="24"/>
        <v/>
      </c>
    </row>
    <row r="562" spans="3:5">
      <c r="C562" s="190" t="s">
        <v>595</v>
      </c>
      <c r="D562" s="190" t="s">
        <v>595</v>
      </c>
      <c r="E562" s="190" t="str">
        <f t="shared" si="24"/>
        <v/>
      </c>
    </row>
    <row r="563" spans="3:5">
      <c r="C563" s="190" t="s">
        <v>595</v>
      </c>
      <c r="D563" s="190" t="s">
        <v>595</v>
      </c>
      <c r="E563" s="190" t="str">
        <f t="shared" si="24"/>
        <v/>
      </c>
    </row>
    <row r="564" spans="3:5">
      <c r="C564" s="190" t="s">
        <v>595</v>
      </c>
      <c r="D564" s="190" t="s">
        <v>595</v>
      </c>
      <c r="E564" s="190" t="str">
        <f t="shared" si="24"/>
        <v/>
      </c>
    </row>
    <row r="565" spans="3:5">
      <c r="C565" s="190" t="s">
        <v>595</v>
      </c>
      <c r="D565" s="190" t="s">
        <v>595</v>
      </c>
      <c r="E565" s="190" t="str">
        <f t="shared" si="24"/>
        <v/>
      </c>
    </row>
    <row r="566" spans="3:5">
      <c r="C566" s="190" t="s">
        <v>595</v>
      </c>
      <c r="D566" s="190" t="s">
        <v>595</v>
      </c>
      <c r="E566" s="190" t="str">
        <f t="shared" si="24"/>
        <v/>
      </c>
    </row>
    <row r="567" spans="3:5">
      <c r="C567" s="190" t="s">
        <v>595</v>
      </c>
      <c r="D567" s="190" t="s">
        <v>595</v>
      </c>
      <c r="E567" s="190" t="str">
        <f t="shared" si="24"/>
        <v/>
      </c>
    </row>
    <row r="568" spans="3:5">
      <c r="C568" s="190" t="s">
        <v>595</v>
      </c>
      <c r="D568" s="190" t="s">
        <v>595</v>
      </c>
      <c r="E568" s="190" t="str">
        <f t="shared" si="24"/>
        <v/>
      </c>
    </row>
    <row r="569" spans="3:5">
      <c r="C569" s="190" t="s">
        <v>595</v>
      </c>
      <c r="D569" s="190" t="s">
        <v>595</v>
      </c>
      <c r="E569" s="190" t="str">
        <f t="shared" si="24"/>
        <v/>
      </c>
    </row>
    <row r="570" spans="3:5">
      <c r="C570" s="190" t="s">
        <v>595</v>
      </c>
      <c r="D570" s="190" t="s">
        <v>595</v>
      </c>
      <c r="E570" s="190" t="str">
        <f t="shared" si="24"/>
        <v/>
      </c>
    </row>
    <row r="571" spans="3:5">
      <c r="C571" s="190" t="s">
        <v>595</v>
      </c>
      <c r="D571" s="190" t="s">
        <v>595</v>
      </c>
      <c r="E571" s="190" t="str">
        <f t="shared" si="24"/>
        <v/>
      </c>
    </row>
    <row r="572" spans="3:5">
      <c r="C572" s="190" t="s">
        <v>595</v>
      </c>
      <c r="D572" s="190" t="s">
        <v>595</v>
      </c>
      <c r="E572" s="190" t="str">
        <f t="shared" si="24"/>
        <v/>
      </c>
    </row>
    <row r="573" spans="3:5">
      <c r="C573" s="190" t="s">
        <v>595</v>
      </c>
      <c r="D573" s="190" t="s">
        <v>595</v>
      </c>
      <c r="E573" s="190" t="str">
        <f t="shared" si="24"/>
        <v/>
      </c>
    </row>
    <row r="574" spans="3:5">
      <c r="C574" s="190" t="s">
        <v>595</v>
      </c>
      <c r="D574" s="190" t="s">
        <v>595</v>
      </c>
      <c r="E574" s="190" t="str">
        <f t="shared" si="24"/>
        <v/>
      </c>
    </row>
    <row r="575" spans="3:5">
      <c r="C575" s="190" t="s">
        <v>595</v>
      </c>
      <c r="D575" s="190" t="s">
        <v>595</v>
      </c>
      <c r="E575" s="190" t="str">
        <f t="shared" si="24"/>
        <v/>
      </c>
    </row>
    <row r="576" spans="3:5">
      <c r="C576" s="190" t="s">
        <v>595</v>
      </c>
      <c r="D576" s="190" t="s">
        <v>595</v>
      </c>
      <c r="E576" s="190" t="str">
        <f t="shared" si="24"/>
        <v/>
      </c>
    </row>
    <row r="577" spans="3:5">
      <c r="C577" s="190" t="s">
        <v>595</v>
      </c>
      <c r="D577" s="190" t="s">
        <v>595</v>
      </c>
      <c r="E577" s="190" t="str">
        <f t="shared" si="24"/>
        <v/>
      </c>
    </row>
    <row r="578" spans="3:5">
      <c r="C578" s="190" t="s">
        <v>595</v>
      </c>
      <c r="D578" s="190" t="s">
        <v>595</v>
      </c>
      <c r="E578" s="190" t="str">
        <f t="shared" si="24"/>
        <v/>
      </c>
    </row>
    <row r="579" spans="3:5">
      <c r="C579" s="190" t="s">
        <v>595</v>
      </c>
      <c r="D579" s="190" t="s">
        <v>595</v>
      </c>
      <c r="E579" s="190" t="str">
        <f t="shared" si="24"/>
        <v/>
      </c>
    </row>
    <row r="580" spans="3:5">
      <c r="C580" s="190" t="s">
        <v>595</v>
      </c>
      <c r="D580" s="190" t="s">
        <v>595</v>
      </c>
      <c r="E580" s="190" t="str">
        <f t="shared" ref="E580:E643" si="25">IF(C580&lt;D580,C580,D580)</f>
        <v/>
      </c>
    </row>
    <row r="581" spans="3:5">
      <c r="C581" s="190" t="s">
        <v>595</v>
      </c>
      <c r="D581" s="190" t="s">
        <v>595</v>
      </c>
      <c r="E581" s="190" t="str">
        <f t="shared" si="25"/>
        <v/>
      </c>
    </row>
    <row r="582" spans="3:5">
      <c r="C582" s="190" t="s">
        <v>595</v>
      </c>
      <c r="D582" s="190" t="s">
        <v>595</v>
      </c>
      <c r="E582" s="190" t="str">
        <f t="shared" si="25"/>
        <v/>
      </c>
    </row>
    <row r="583" spans="3:5">
      <c r="C583" s="190" t="s">
        <v>595</v>
      </c>
      <c r="D583" s="190" t="s">
        <v>595</v>
      </c>
      <c r="E583" s="190" t="str">
        <f t="shared" si="25"/>
        <v/>
      </c>
    </row>
    <row r="584" spans="3:5">
      <c r="C584" s="190" t="s">
        <v>595</v>
      </c>
      <c r="D584" s="190" t="s">
        <v>595</v>
      </c>
      <c r="E584" s="190" t="str">
        <f t="shared" si="25"/>
        <v/>
      </c>
    </row>
    <row r="585" spans="3:5">
      <c r="C585" s="190" t="s">
        <v>595</v>
      </c>
      <c r="D585" s="190" t="s">
        <v>595</v>
      </c>
      <c r="E585" s="190" t="str">
        <f t="shared" si="25"/>
        <v/>
      </c>
    </row>
    <row r="586" spans="3:5">
      <c r="C586" s="190" t="s">
        <v>595</v>
      </c>
      <c r="D586" s="190" t="s">
        <v>595</v>
      </c>
      <c r="E586" s="190" t="str">
        <f t="shared" si="25"/>
        <v/>
      </c>
    </row>
    <row r="587" spans="3:5">
      <c r="C587" s="190" t="s">
        <v>595</v>
      </c>
      <c r="D587" s="190" t="s">
        <v>595</v>
      </c>
      <c r="E587" s="190" t="str">
        <f t="shared" si="25"/>
        <v/>
      </c>
    </row>
    <row r="588" spans="3:5">
      <c r="C588" s="190" t="s">
        <v>595</v>
      </c>
      <c r="D588" s="190" t="s">
        <v>595</v>
      </c>
      <c r="E588" s="190" t="str">
        <f t="shared" si="25"/>
        <v/>
      </c>
    </row>
    <row r="589" spans="3:5">
      <c r="C589" s="190" t="s">
        <v>595</v>
      </c>
      <c r="D589" s="190" t="s">
        <v>595</v>
      </c>
      <c r="E589" s="190" t="str">
        <f t="shared" si="25"/>
        <v/>
      </c>
    </row>
    <row r="590" spans="3:5">
      <c r="C590" s="190" t="s">
        <v>595</v>
      </c>
      <c r="D590" s="190" t="s">
        <v>595</v>
      </c>
      <c r="E590" s="190" t="str">
        <f t="shared" si="25"/>
        <v/>
      </c>
    </row>
    <row r="591" spans="3:5">
      <c r="C591" s="190" t="s">
        <v>595</v>
      </c>
      <c r="D591" s="190" t="s">
        <v>595</v>
      </c>
      <c r="E591" s="190" t="str">
        <f t="shared" si="25"/>
        <v/>
      </c>
    </row>
    <row r="592" spans="3:5">
      <c r="C592" s="190" t="s">
        <v>595</v>
      </c>
      <c r="D592" s="190" t="s">
        <v>595</v>
      </c>
      <c r="E592" s="190" t="str">
        <f t="shared" si="25"/>
        <v/>
      </c>
    </row>
    <row r="593" spans="3:5">
      <c r="C593" s="190" t="s">
        <v>595</v>
      </c>
      <c r="D593" s="190" t="s">
        <v>595</v>
      </c>
      <c r="E593" s="190" t="str">
        <f t="shared" si="25"/>
        <v/>
      </c>
    </row>
    <row r="594" spans="3:5">
      <c r="C594" s="190" t="s">
        <v>595</v>
      </c>
      <c r="D594" s="190" t="s">
        <v>595</v>
      </c>
      <c r="E594" s="190" t="str">
        <f t="shared" si="25"/>
        <v/>
      </c>
    </row>
    <row r="595" spans="3:5">
      <c r="C595" s="190" t="s">
        <v>595</v>
      </c>
      <c r="D595" s="190" t="s">
        <v>595</v>
      </c>
      <c r="E595" s="190" t="str">
        <f t="shared" si="25"/>
        <v/>
      </c>
    </row>
    <row r="596" spans="3:5">
      <c r="C596" s="190" t="s">
        <v>595</v>
      </c>
      <c r="D596" s="190" t="s">
        <v>595</v>
      </c>
      <c r="E596" s="190" t="str">
        <f t="shared" si="25"/>
        <v/>
      </c>
    </row>
    <row r="597" spans="3:5">
      <c r="C597" s="190" t="s">
        <v>595</v>
      </c>
      <c r="D597" s="190" t="s">
        <v>595</v>
      </c>
      <c r="E597" s="190" t="str">
        <f t="shared" si="25"/>
        <v/>
      </c>
    </row>
    <row r="598" spans="3:5">
      <c r="C598" s="190" t="s">
        <v>595</v>
      </c>
      <c r="D598" s="190" t="s">
        <v>595</v>
      </c>
      <c r="E598" s="190" t="str">
        <f t="shared" si="25"/>
        <v/>
      </c>
    </row>
    <row r="599" spans="3:5">
      <c r="C599" s="190" t="s">
        <v>595</v>
      </c>
      <c r="D599" s="190" t="s">
        <v>595</v>
      </c>
      <c r="E599" s="190" t="str">
        <f t="shared" si="25"/>
        <v/>
      </c>
    </row>
    <row r="600" spans="3:5">
      <c r="C600" s="190" t="s">
        <v>595</v>
      </c>
      <c r="D600" s="190" t="s">
        <v>595</v>
      </c>
      <c r="E600" s="190" t="str">
        <f t="shared" si="25"/>
        <v/>
      </c>
    </row>
    <row r="601" spans="3:5">
      <c r="C601" s="190" t="s">
        <v>595</v>
      </c>
      <c r="D601" s="190" t="s">
        <v>595</v>
      </c>
      <c r="E601" s="190" t="str">
        <f t="shared" si="25"/>
        <v/>
      </c>
    </row>
    <row r="602" spans="3:5">
      <c r="C602" s="190" t="s">
        <v>595</v>
      </c>
      <c r="D602" s="190" t="s">
        <v>595</v>
      </c>
      <c r="E602" s="190" t="str">
        <f t="shared" si="25"/>
        <v/>
      </c>
    </row>
    <row r="603" spans="3:5">
      <c r="C603" s="190" t="s">
        <v>595</v>
      </c>
      <c r="D603" s="190" t="s">
        <v>595</v>
      </c>
      <c r="E603" s="190" t="str">
        <f t="shared" si="25"/>
        <v/>
      </c>
    </row>
    <row r="604" spans="3:5">
      <c r="C604" s="190" t="s">
        <v>595</v>
      </c>
      <c r="D604" s="190" t="s">
        <v>595</v>
      </c>
      <c r="E604" s="190" t="str">
        <f t="shared" si="25"/>
        <v/>
      </c>
    </row>
    <row r="605" spans="3:5">
      <c r="C605" s="190" t="s">
        <v>595</v>
      </c>
      <c r="D605" s="190" t="s">
        <v>595</v>
      </c>
      <c r="E605" s="190" t="str">
        <f t="shared" si="25"/>
        <v/>
      </c>
    </row>
    <row r="606" spans="3:5">
      <c r="C606" s="190" t="s">
        <v>595</v>
      </c>
      <c r="D606" s="190" t="s">
        <v>595</v>
      </c>
      <c r="E606" s="190" t="str">
        <f t="shared" si="25"/>
        <v/>
      </c>
    </row>
    <row r="607" spans="3:5">
      <c r="C607" s="190" t="s">
        <v>595</v>
      </c>
      <c r="D607" s="190" t="s">
        <v>595</v>
      </c>
      <c r="E607" s="190" t="str">
        <f t="shared" si="25"/>
        <v/>
      </c>
    </row>
    <row r="608" spans="3:5">
      <c r="C608" s="190" t="s">
        <v>595</v>
      </c>
      <c r="D608" s="190" t="s">
        <v>595</v>
      </c>
      <c r="E608" s="190" t="str">
        <f t="shared" si="25"/>
        <v/>
      </c>
    </row>
    <row r="609" spans="3:5">
      <c r="C609" s="190" t="s">
        <v>595</v>
      </c>
      <c r="D609" s="190" t="s">
        <v>595</v>
      </c>
      <c r="E609" s="190" t="str">
        <f t="shared" si="25"/>
        <v/>
      </c>
    </row>
    <row r="610" spans="3:5">
      <c r="C610" s="190" t="s">
        <v>595</v>
      </c>
      <c r="D610" s="190" t="s">
        <v>595</v>
      </c>
      <c r="E610" s="190" t="str">
        <f t="shared" si="25"/>
        <v/>
      </c>
    </row>
    <row r="611" spans="3:5">
      <c r="C611" s="190" t="s">
        <v>595</v>
      </c>
      <c r="D611" s="190" t="s">
        <v>595</v>
      </c>
      <c r="E611" s="190" t="str">
        <f t="shared" si="25"/>
        <v/>
      </c>
    </row>
    <row r="612" spans="3:5">
      <c r="C612" s="190" t="s">
        <v>595</v>
      </c>
      <c r="D612" s="190" t="s">
        <v>595</v>
      </c>
      <c r="E612" s="190" t="str">
        <f t="shared" si="25"/>
        <v/>
      </c>
    </row>
    <row r="613" spans="3:5">
      <c r="C613" s="190" t="s">
        <v>595</v>
      </c>
      <c r="D613" s="190" t="s">
        <v>595</v>
      </c>
      <c r="E613" s="190" t="str">
        <f t="shared" si="25"/>
        <v/>
      </c>
    </row>
    <row r="614" spans="3:5">
      <c r="C614" s="190" t="s">
        <v>595</v>
      </c>
      <c r="D614" s="190" t="s">
        <v>595</v>
      </c>
      <c r="E614" s="190" t="str">
        <f t="shared" si="25"/>
        <v/>
      </c>
    </row>
    <row r="615" spans="3:5">
      <c r="C615" s="190" t="s">
        <v>595</v>
      </c>
      <c r="D615" s="190" t="s">
        <v>595</v>
      </c>
      <c r="E615" s="190" t="str">
        <f t="shared" si="25"/>
        <v/>
      </c>
    </row>
    <row r="616" spans="3:5">
      <c r="C616" s="190" t="s">
        <v>595</v>
      </c>
      <c r="D616" s="190" t="s">
        <v>595</v>
      </c>
      <c r="E616" s="190" t="str">
        <f t="shared" si="25"/>
        <v/>
      </c>
    </row>
    <row r="617" spans="3:5">
      <c r="C617" s="190" t="s">
        <v>595</v>
      </c>
      <c r="D617" s="190" t="s">
        <v>595</v>
      </c>
      <c r="E617" s="190" t="str">
        <f t="shared" si="25"/>
        <v/>
      </c>
    </row>
    <row r="618" spans="3:5">
      <c r="C618" s="190" t="s">
        <v>595</v>
      </c>
      <c r="D618" s="190" t="s">
        <v>595</v>
      </c>
      <c r="E618" s="190" t="str">
        <f t="shared" si="25"/>
        <v/>
      </c>
    </row>
    <row r="619" spans="3:5">
      <c r="C619" s="190" t="s">
        <v>595</v>
      </c>
      <c r="D619" s="190" t="s">
        <v>595</v>
      </c>
      <c r="E619" s="190" t="str">
        <f t="shared" si="25"/>
        <v/>
      </c>
    </row>
    <row r="620" spans="3:5">
      <c r="C620" s="190" t="s">
        <v>595</v>
      </c>
      <c r="D620" s="190" t="s">
        <v>595</v>
      </c>
      <c r="E620" s="190" t="str">
        <f t="shared" si="25"/>
        <v/>
      </c>
    </row>
    <row r="621" spans="3:5">
      <c r="C621" s="190" t="s">
        <v>595</v>
      </c>
      <c r="D621" s="190" t="s">
        <v>595</v>
      </c>
      <c r="E621" s="190" t="str">
        <f t="shared" si="25"/>
        <v/>
      </c>
    </row>
    <row r="622" spans="3:5">
      <c r="C622" s="190" t="s">
        <v>595</v>
      </c>
      <c r="D622" s="190" t="s">
        <v>595</v>
      </c>
      <c r="E622" s="190" t="str">
        <f t="shared" si="25"/>
        <v/>
      </c>
    </row>
    <row r="623" spans="3:5">
      <c r="C623" s="190" t="s">
        <v>595</v>
      </c>
      <c r="D623" s="190" t="s">
        <v>595</v>
      </c>
      <c r="E623" s="190" t="str">
        <f t="shared" si="25"/>
        <v/>
      </c>
    </row>
    <row r="624" spans="3:5">
      <c r="C624" s="190" t="s">
        <v>595</v>
      </c>
      <c r="D624" s="190" t="s">
        <v>595</v>
      </c>
      <c r="E624" s="190" t="str">
        <f t="shared" si="25"/>
        <v/>
      </c>
    </row>
    <row r="625" spans="3:5">
      <c r="C625" s="190" t="s">
        <v>595</v>
      </c>
      <c r="D625" s="190" t="s">
        <v>595</v>
      </c>
      <c r="E625" s="190" t="str">
        <f t="shared" si="25"/>
        <v/>
      </c>
    </row>
    <row r="626" spans="3:5">
      <c r="C626" s="190" t="s">
        <v>595</v>
      </c>
      <c r="D626" s="190" t="s">
        <v>595</v>
      </c>
      <c r="E626" s="190" t="str">
        <f t="shared" si="25"/>
        <v/>
      </c>
    </row>
    <row r="627" spans="3:5">
      <c r="C627" s="190" t="s">
        <v>595</v>
      </c>
      <c r="D627" s="190" t="s">
        <v>595</v>
      </c>
      <c r="E627" s="190" t="str">
        <f t="shared" si="25"/>
        <v/>
      </c>
    </row>
    <row r="628" spans="3:5">
      <c r="C628" s="190" t="s">
        <v>595</v>
      </c>
      <c r="D628" s="190" t="s">
        <v>595</v>
      </c>
      <c r="E628" s="190" t="str">
        <f t="shared" si="25"/>
        <v/>
      </c>
    </row>
    <row r="629" spans="3:5">
      <c r="C629" s="190" t="s">
        <v>595</v>
      </c>
      <c r="D629" s="190" t="s">
        <v>595</v>
      </c>
      <c r="E629" s="190" t="str">
        <f t="shared" si="25"/>
        <v/>
      </c>
    </row>
    <row r="630" spans="3:5">
      <c r="C630" s="190" t="s">
        <v>595</v>
      </c>
      <c r="D630" s="190" t="s">
        <v>595</v>
      </c>
      <c r="E630" s="190" t="str">
        <f t="shared" si="25"/>
        <v/>
      </c>
    </row>
    <row r="631" spans="3:5">
      <c r="C631" s="190" t="s">
        <v>595</v>
      </c>
      <c r="D631" s="190" t="s">
        <v>595</v>
      </c>
      <c r="E631" s="190" t="str">
        <f t="shared" si="25"/>
        <v/>
      </c>
    </row>
    <row r="632" spans="3:5">
      <c r="C632" s="190" t="s">
        <v>595</v>
      </c>
      <c r="D632" s="190" t="s">
        <v>595</v>
      </c>
      <c r="E632" s="190" t="str">
        <f t="shared" si="25"/>
        <v/>
      </c>
    </row>
    <row r="633" spans="3:5">
      <c r="C633" s="190" t="s">
        <v>595</v>
      </c>
      <c r="D633" s="190" t="s">
        <v>595</v>
      </c>
      <c r="E633" s="190" t="str">
        <f t="shared" si="25"/>
        <v/>
      </c>
    </row>
    <row r="634" spans="3:5">
      <c r="C634" s="190" t="s">
        <v>595</v>
      </c>
      <c r="D634" s="190" t="s">
        <v>595</v>
      </c>
      <c r="E634" s="190" t="str">
        <f t="shared" si="25"/>
        <v/>
      </c>
    </row>
    <row r="635" spans="3:5">
      <c r="C635" s="190" t="s">
        <v>595</v>
      </c>
      <c r="D635" s="190" t="s">
        <v>595</v>
      </c>
      <c r="E635" s="190" t="str">
        <f t="shared" si="25"/>
        <v/>
      </c>
    </row>
    <row r="636" spans="3:5">
      <c r="C636" s="190" t="s">
        <v>595</v>
      </c>
      <c r="D636" s="190" t="s">
        <v>595</v>
      </c>
      <c r="E636" s="190" t="str">
        <f t="shared" si="25"/>
        <v/>
      </c>
    </row>
    <row r="637" spans="3:5">
      <c r="C637" s="190" t="s">
        <v>595</v>
      </c>
      <c r="D637" s="190" t="s">
        <v>595</v>
      </c>
      <c r="E637" s="190" t="str">
        <f t="shared" si="25"/>
        <v/>
      </c>
    </row>
    <row r="638" spans="3:5">
      <c r="C638" s="190" t="s">
        <v>595</v>
      </c>
      <c r="D638" s="190" t="s">
        <v>595</v>
      </c>
      <c r="E638" s="190" t="str">
        <f t="shared" si="25"/>
        <v/>
      </c>
    </row>
    <row r="639" spans="3:5">
      <c r="C639" s="190" t="s">
        <v>595</v>
      </c>
      <c r="D639" s="190" t="s">
        <v>595</v>
      </c>
      <c r="E639" s="190" t="str">
        <f t="shared" si="25"/>
        <v/>
      </c>
    </row>
    <row r="640" spans="3:5">
      <c r="C640" s="190" t="s">
        <v>595</v>
      </c>
      <c r="D640" s="190" t="s">
        <v>595</v>
      </c>
      <c r="E640" s="190" t="str">
        <f t="shared" si="25"/>
        <v/>
      </c>
    </row>
    <row r="641" spans="3:5">
      <c r="C641" s="190" t="s">
        <v>595</v>
      </c>
      <c r="D641" s="190" t="s">
        <v>595</v>
      </c>
      <c r="E641" s="190" t="str">
        <f t="shared" si="25"/>
        <v/>
      </c>
    </row>
    <row r="642" spans="3:5">
      <c r="C642" s="190" t="s">
        <v>595</v>
      </c>
      <c r="D642" s="190" t="s">
        <v>595</v>
      </c>
      <c r="E642" s="190" t="str">
        <f t="shared" si="25"/>
        <v/>
      </c>
    </row>
    <row r="643" spans="3:5">
      <c r="C643" s="190" t="s">
        <v>595</v>
      </c>
      <c r="D643" s="190" t="s">
        <v>595</v>
      </c>
      <c r="E643" s="190" t="str">
        <f t="shared" si="25"/>
        <v/>
      </c>
    </row>
    <row r="644" spans="3:5">
      <c r="C644" s="190" t="s">
        <v>595</v>
      </c>
      <c r="D644" s="190" t="s">
        <v>595</v>
      </c>
      <c r="E644" s="190" t="str">
        <f t="shared" ref="E644:E707" si="26">IF(C644&lt;D644,C644,D644)</f>
        <v/>
      </c>
    </row>
    <row r="645" spans="3:5">
      <c r="C645" s="190" t="s">
        <v>595</v>
      </c>
      <c r="D645" s="190" t="s">
        <v>595</v>
      </c>
      <c r="E645" s="190" t="str">
        <f t="shared" si="26"/>
        <v/>
      </c>
    </row>
    <row r="646" spans="3:5">
      <c r="C646" s="190" t="s">
        <v>595</v>
      </c>
      <c r="D646" s="190" t="s">
        <v>595</v>
      </c>
      <c r="E646" s="190" t="str">
        <f t="shared" si="26"/>
        <v/>
      </c>
    </row>
    <row r="647" spans="3:5">
      <c r="C647" s="190" t="s">
        <v>595</v>
      </c>
      <c r="D647" s="190" t="s">
        <v>595</v>
      </c>
      <c r="E647" s="190" t="str">
        <f t="shared" si="26"/>
        <v/>
      </c>
    </row>
    <row r="648" spans="3:5">
      <c r="C648" s="190" t="s">
        <v>595</v>
      </c>
      <c r="D648" s="190" t="s">
        <v>595</v>
      </c>
      <c r="E648" s="190" t="str">
        <f t="shared" si="26"/>
        <v/>
      </c>
    </row>
    <row r="649" spans="3:5">
      <c r="C649" s="190" t="s">
        <v>595</v>
      </c>
      <c r="D649" s="190" t="s">
        <v>595</v>
      </c>
      <c r="E649" s="190" t="str">
        <f t="shared" si="26"/>
        <v/>
      </c>
    </row>
    <row r="650" spans="3:5">
      <c r="C650" s="190" t="s">
        <v>595</v>
      </c>
      <c r="D650" s="190" t="s">
        <v>595</v>
      </c>
      <c r="E650" s="190" t="str">
        <f t="shared" si="26"/>
        <v/>
      </c>
    </row>
    <row r="651" spans="3:5">
      <c r="C651" s="190" t="s">
        <v>595</v>
      </c>
      <c r="D651" s="190" t="s">
        <v>595</v>
      </c>
      <c r="E651" s="190" t="str">
        <f t="shared" si="26"/>
        <v/>
      </c>
    </row>
    <row r="652" spans="3:5">
      <c r="C652" s="190" t="s">
        <v>595</v>
      </c>
      <c r="D652" s="190" t="s">
        <v>595</v>
      </c>
      <c r="E652" s="190" t="str">
        <f t="shared" si="26"/>
        <v/>
      </c>
    </row>
    <row r="653" spans="3:5">
      <c r="C653" s="190" t="s">
        <v>595</v>
      </c>
      <c r="D653" s="190" t="s">
        <v>595</v>
      </c>
      <c r="E653" s="190" t="str">
        <f t="shared" si="26"/>
        <v/>
      </c>
    </row>
    <row r="654" spans="3:5">
      <c r="C654" s="190" t="s">
        <v>595</v>
      </c>
      <c r="D654" s="190" t="s">
        <v>595</v>
      </c>
      <c r="E654" s="190" t="str">
        <f t="shared" si="26"/>
        <v/>
      </c>
    </row>
    <row r="655" spans="3:5">
      <c r="C655" s="190" t="s">
        <v>595</v>
      </c>
      <c r="D655" s="190" t="s">
        <v>595</v>
      </c>
      <c r="E655" s="190" t="str">
        <f t="shared" si="26"/>
        <v/>
      </c>
    </row>
    <row r="656" spans="3:5">
      <c r="C656" s="190" t="s">
        <v>595</v>
      </c>
      <c r="D656" s="190" t="s">
        <v>595</v>
      </c>
      <c r="E656" s="190" t="str">
        <f t="shared" si="26"/>
        <v/>
      </c>
    </row>
    <row r="657" spans="3:5">
      <c r="C657" s="190" t="s">
        <v>595</v>
      </c>
      <c r="D657" s="190" t="s">
        <v>595</v>
      </c>
      <c r="E657" s="190" t="str">
        <f t="shared" si="26"/>
        <v/>
      </c>
    </row>
    <row r="658" spans="3:5">
      <c r="C658" s="190" t="s">
        <v>595</v>
      </c>
      <c r="D658" s="190" t="s">
        <v>595</v>
      </c>
      <c r="E658" s="190" t="str">
        <f t="shared" si="26"/>
        <v/>
      </c>
    </row>
    <row r="659" spans="3:5">
      <c r="C659" s="190" t="s">
        <v>595</v>
      </c>
      <c r="D659" s="190" t="s">
        <v>595</v>
      </c>
      <c r="E659" s="190" t="str">
        <f t="shared" si="26"/>
        <v/>
      </c>
    </row>
    <row r="660" spans="3:5">
      <c r="C660" s="190" t="s">
        <v>595</v>
      </c>
      <c r="D660" s="190" t="s">
        <v>595</v>
      </c>
      <c r="E660" s="190" t="str">
        <f t="shared" si="26"/>
        <v/>
      </c>
    </row>
    <row r="661" spans="3:5">
      <c r="C661" s="190" t="s">
        <v>595</v>
      </c>
      <c r="D661" s="190" t="s">
        <v>595</v>
      </c>
      <c r="E661" s="190" t="str">
        <f t="shared" si="26"/>
        <v/>
      </c>
    </row>
    <row r="662" spans="3:5">
      <c r="C662" s="190" t="s">
        <v>595</v>
      </c>
      <c r="D662" s="190" t="s">
        <v>595</v>
      </c>
      <c r="E662" s="190" t="str">
        <f t="shared" si="26"/>
        <v/>
      </c>
    </row>
    <row r="663" spans="3:5">
      <c r="C663" s="190" t="s">
        <v>595</v>
      </c>
      <c r="D663" s="190" t="s">
        <v>595</v>
      </c>
      <c r="E663" s="190" t="str">
        <f t="shared" si="26"/>
        <v/>
      </c>
    </row>
    <row r="664" spans="3:5">
      <c r="C664" s="190" t="s">
        <v>595</v>
      </c>
      <c r="D664" s="190" t="s">
        <v>595</v>
      </c>
      <c r="E664" s="190" t="str">
        <f t="shared" si="26"/>
        <v/>
      </c>
    </row>
    <row r="665" spans="3:5">
      <c r="C665" s="190" t="s">
        <v>595</v>
      </c>
      <c r="D665" s="190" t="s">
        <v>595</v>
      </c>
      <c r="E665" s="190" t="str">
        <f t="shared" si="26"/>
        <v/>
      </c>
    </row>
    <row r="666" spans="3:5">
      <c r="C666" s="190" t="s">
        <v>595</v>
      </c>
      <c r="D666" s="190" t="s">
        <v>595</v>
      </c>
      <c r="E666" s="190" t="str">
        <f t="shared" si="26"/>
        <v/>
      </c>
    </row>
    <row r="667" spans="3:5">
      <c r="C667" s="190" t="s">
        <v>595</v>
      </c>
      <c r="D667" s="190" t="s">
        <v>595</v>
      </c>
      <c r="E667" s="190" t="str">
        <f t="shared" si="26"/>
        <v/>
      </c>
    </row>
    <row r="668" spans="3:5">
      <c r="C668" s="190" t="s">
        <v>595</v>
      </c>
      <c r="D668" s="190" t="s">
        <v>595</v>
      </c>
      <c r="E668" s="190" t="str">
        <f t="shared" si="26"/>
        <v/>
      </c>
    </row>
    <row r="669" spans="3:5">
      <c r="C669" s="190" t="s">
        <v>595</v>
      </c>
      <c r="D669" s="190" t="s">
        <v>595</v>
      </c>
      <c r="E669" s="190" t="str">
        <f t="shared" si="26"/>
        <v/>
      </c>
    </row>
    <row r="670" spans="3:5">
      <c r="C670" s="190" t="s">
        <v>595</v>
      </c>
      <c r="D670" s="190" t="s">
        <v>595</v>
      </c>
      <c r="E670" s="190" t="str">
        <f t="shared" si="26"/>
        <v/>
      </c>
    </row>
    <row r="671" spans="3:5">
      <c r="C671" s="190" t="s">
        <v>595</v>
      </c>
      <c r="D671" s="190" t="s">
        <v>595</v>
      </c>
      <c r="E671" s="190" t="str">
        <f t="shared" si="26"/>
        <v/>
      </c>
    </row>
    <row r="672" spans="3:5">
      <c r="C672" s="190" t="s">
        <v>595</v>
      </c>
      <c r="D672" s="190" t="s">
        <v>595</v>
      </c>
      <c r="E672" s="190" t="str">
        <f t="shared" si="26"/>
        <v/>
      </c>
    </row>
    <row r="673" spans="3:5">
      <c r="C673" s="190" t="s">
        <v>595</v>
      </c>
      <c r="D673" s="190" t="s">
        <v>595</v>
      </c>
      <c r="E673" s="190" t="str">
        <f t="shared" si="26"/>
        <v/>
      </c>
    </row>
    <row r="674" spans="3:5">
      <c r="C674" s="190" t="s">
        <v>595</v>
      </c>
      <c r="D674" s="190" t="s">
        <v>595</v>
      </c>
      <c r="E674" s="190" t="str">
        <f t="shared" si="26"/>
        <v/>
      </c>
    </row>
    <row r="675" spans="3:5">
      <c r="C675" s="190" t="s">
        <v>595</v>
      </c>
      <c r="D675" s="190" t="s">
        <v>595</v>
      </c>
      <c r="E675" s="190" t="str">
        <f t="shared" si="26"/>
        <v/>
      </c>
    </row>
    <row r="676" spans="3:5">
      <c r="C676" s="190" t="s">
        <v>595</v>
      </c>
      <c r="D676" s="190" t="s">
        <v>595</v>
      </c>
      <c r="E676" s="190" t="str">
        <f t="shared" si="26"/>
        <v/>
      </c>
    </row>
    <row r="677" spans="3:5">
      <c r="C677" s="190" t="s">
        <v>595</v>
      </c>
      <c r="D677" s="190" t="s">
        <v>595</v>
      </c>
      <c r="E677" s="190" t="str">
        <f t="shared" si="26"/>
        <v/>
      </c>
    </row>
    <row r="678" spans="3:5">
      <c r="C678" s="190" t="s">
        <v>595</v>
      </c>
      <c r="D678" s="190" t="s">
        <v>595</v>
      </c>
      <c r="E678" s="190" t="str">
        <f t="shared" si="26"/>
        <v/>
      </c>
    </row>
    <row r="679" spans="3:5">
      <c r="C679" s="190" t="s">
        <v>595</v>
      </c>
      <c r="D679" s="190" t="s">
        <v>595</v>
      </c>
      <c r="E679" s="190" t="str">
        <f t="shared" si="26"/>
        <v/>
      </c>
    </row>
    <row r="680" spans="3:5">
      <c r="C680" s="190" t="s">
        <v>595</v>
      </c>
      <c r="D680" s="190" t="s">
        <v>595</v>
      </c>
      <c r="E680" s="190" t="str">
        <f t="shared" si="26"/>
        <v/>
      </c>
    </row>
    <row r="681" spans="3:5">
      <c r="C681" s="190" t="s">
        <v>595</v>
      </c>
      <c r="D681" s="190" t="s">
        <v>595</v>
      </c>
      <c r="E681" s="190" t="str">
        <f t="shared" si="26"/>
        <v/>
      </c>
    </row>
    <row r="682" spans="3:5">
      <c r="C682" s="190" t="s">
        <v>595</v>
      </c>
      <c r="D682" s="190" t="s">
        <v>595</v>
      </c>
      <c r="E682" s="190" t="str">
        <f t="shared" si="26"/>
        <v/>
      </c>
    </row>
    <row r="683" spans="3:5">
      <c r="C683" s="190" t="s">
        <v>595</v>
      </c>
      <c r="D683" s="190" t="s">
        <v>595</v>
      </c>
      <c r="E683" s="190" t="str">
        <f t="shared" si="26"/>
        <v/>
      </c>
    </row>
    <row r="684" spans="3:5">
      <c r="C684" s="190" t="s">
        <v>595</v>
      </c>
      <c r="D684" s="190" t="s">
        <v>595</v>
      </c>
      <c r="E684" s="190" t="str">
        <f t="shared" si="26"/>
        <v/>
      </c>
    </row>
    <row r="685" spans="3:5">
      <c r="C685" s="190" t="s">
        <v>595</v>
      </c>
      <c r="D685" s="190" t="s">
        <v>595</v>
      </c>
      <c r="E685" s="190" t="str">
        <f t="shared" si="26"/>
        <v/>
      </c>
    </row>
    <row r="686" spans="3:5">
      <c r="C686" s="190" t="s">
        <v>595</v>
      </c>
      <c r="D686" s="190" t="s">
        <v>595</v>
      </c>
      <c r="E686" s="190" t="str">
        <f t="shared" si="26"/>
        <v/>
      </c>
    </row>
    <row r="687" spans="3:5">
      <c r="C687" s="190" t="s">
        <v>595</v>
      </c>
      <c r="D687" s="190" t="s">
        <v>595</v>
      </c>
      <c r="E687" s="190" t="str">
        <f t="shared" si="26"/>
        <v/>
      </c>
    </row>
    <row r="688" spans="3:5">
      <c r="C688" s="190" t="s">
        <v>595</v>
      </c>
      <c r="D688" s="190" t="s">
        <v>595</v>
      </c>
      <c r="E688" s="190" t="str">
        <f t="shared" si="26"/>
        <v/>
      </c>
    </row>
    <row r="689" spans="3:5">
      <c r="C689" s="190" t="s">
        <v>595</v>
      </c>
      <c r="D689" s="190" t="s">
        <v>595</v>
      </c>
      <c r="E689" s="190" t="str">
        <f t="shared" si="26"/>
        <v/>
      </c>
    </row>
    <row r="690" spans="3:5">
      <c r="C690" s="190" t="s">
        <v>595</v>
      </c>
      <c r="D690" s="190" t="s">
        <v>595</v>
      </c>
      <c r="E690" s="190" t="str">
        <f t="shared" si="26"/>
        <v/>
      </c>
    </row>
    <row r="691" spans="3:5">
      <c r="C691" s="190" t="s">
        <v>595</v>
      </c>
      <c r="D691" s="190" t="s">
        <v>595</v>
      </c>
      <c r="E691" s="190" t="str">
        <f t="shared" si="26"/>
        <v/>
      </c>
    </row>
    <row r="692" spans="3:5">
      <c r="C692" s="190" t="s">
        <v>595</v>
      </c>
      <c r="D692" s="190" t="s">
        <v>595</v>
      </c>
      <c r="E692" s="190" t="str">
        <f t="shared" si="26"/>
        <v/>
      </c>
    </row>
    <row r="693" spans="3:5">
      <c r="C693" s="190" t="s">
        <v>595</v>
      </c>
      <c r="D693" s="190" t="s">
        <v>595</v>
      </c>
      <c r="E693" s="190" t="str">
        <f t="shared" si="26"/>
        <v/>
      </c>
    </row>
    <row r="694" spans="3:5">
      <c r="C694" s="190" t="s">
        <v>595</v>
      </c>
      <c r="D694" s="190" t="s">
        <v>595</v>
      </c>
      <c r="E694" s="190" t="str">
        <f t="shared" si="26"/>
        <v/>
      </c>
    </row>
    <row r="695" spans="3:5">
      <c r="C695" s="190" t="s">
        <v>595</v>
      </c>
      <c r="D695" s="190" t="s">
        <v>595</v>
      </c>
      <c r="E695" s="190" t="str">
        <f t="shared" si="26"/>
        <v/>
      </c>
    </row>
    <row r="696" spans="3:5">
      <c r="C696" s="190" t="s">
        <v>595</v>
      </c>
      <c r="D696" s="190" t="s">
        <v>595</v>
      </c>
      <c r="E696" s="190" t="str">
        <f t="shared" si="26"/>
        <v/>
      </c>
    </row>
    <row r="697" spans="3:5">
      <c r="C697" s="190" t="s">
        <v>595</v>
      </c>
      <c r="D697" s="190" t="s">
        <v>595</v>
      </c>
      <c r="E697" s="190" t="str">
        <f t="shared" si="26"/>
        <v/>
      </c>
    </row>
    <row r="698" spans="3:5">
      <c r="C698" s="190" t="s">
        <v>595</v>
      </c>
      <c r="D698" s="190" t="s">
        <v>595</v>
      </c>
      <c r="E698" s="190" t="str">
        <f t="shared" si="26"/>
        <v/>
      </c>
    </row>
    <row r="699" spans="3:5">
      <c r="C699" s="190" t="s">
        <v>595</v>
      </c>
      <c r="D699" s="190" t="s">
        <v>595</v>
      </c>
      <c r="E699" s="190" t="str">
        <f t="shared" si="26"/>
        <v/>
      </c>
    </row>
    <row r="700" spans="3:5">
      <c r="C700" s="190" t="s">
        <v>595</v>
      </c>
      <c r="D700" s="190" t="s">
        <v>595</v>
      </c>
      <c r="E700" s="190" t="str">
        <f t="shared" si="26"/>
        <v/>
      </c>
    </row>
    <row r="701" spans="3:5">
      <c r="C701" s="190" t="s">
        <v>595</v>
      </c>
      <c r="D701" s="190" t="s">
        <v>595</v>
      </c>
      <c r="E701" s="190" t="str">
        <f t="shared" si="26"/>
        <v/>
      </c>
    </row>
    <row r="702" spans="3:5">
      <c r="C702" s="190" t="s">
        <v>595</v>
      </c>
      <c r="D702" s="190" t="s">
        <v>595</v>
      </c>
      <c r="E702" s="190" t="str">
        <f t="shared" si="26"/>
        <v/>
      </c>
    </row>
    <row r="703" spans="3:5">
      <c r="C703" s="190" t="s">
        <v>595</v>
      </c>
      <c r="D703" s="190" t="s">
        <v>595</v>
      </c>
      <c r="E703" s="190" t="str">
        <f t="shared" si="26"/>
        <v/>
      </c>
    </row>
    <row r="704" spans="3:5">
      <c r="C704" s="190" t="s">
        <v>595</v>
      </c>
      <c r="D704" s="190" t="s">
        <v>595</v>
      </c>
      <c r="E704" s="190" t="str">
        <f t="shared" si="26"/>
        <v/>
      </c>
    </row>
    <row r="705" spans="3:5">
      <c r="C705" s="190" t="s">
        <v>595</v>
      </c>
      <c r="D705" s="190" t="s">
        <v>595</v>
      </c>
      <c r="E705" s="190" t="str">
        <f t="shared" si="26"/>
        <v/>
      </c>
    </row>
    <row r="706" spans="3:5">
      <c r="C706" s="190" t="s">
        <v>595</v>
      </c>
      <c r="D706" s="190" t="s">
        <v>595</v>
      </c>
      <c r="E706" s="190" t="str">
        <f t="shared" si="26"/>
        <v/>
      </c>
    </row>
    <row r="707" spans="3:5">
      <c r="C707" s="190" t="s">
        <v>595</v>
      </c>
      <c r="D707" s="190" t="s">
        <v>595</v>
      </c>
      <c r="E707" s="190" t="str">
        <f t="shared" si="26"/>
        <v/>
      </c>
    </row>
    <row r="708" spans="3:5">
      <c r="C708" s="190" t="s">
        <v>595</v>
      </c>
      <c r="D708" s="190" t="s">
        <v>595</v>
      </c>
      <c r="E708" s="190" t="str">
        <f t="shared" ref="E708:E771" si="27">IF(C708&lt;D708,C708,D708)</f>
        <v/>
      </c>
    </row>
    <row r="709" spans="3:5">
      <c r="C709" s="190" t="s">
        <v>595</v>
      </c>
      <c r="D709" s="190" t="s">
        <v>595</v>
      </c>
      <c r="E709" s="190" t="str">
        <f t="shared" si="27"/>
        <v/>
      </c>
    </row>
    <row r="710" spans="3:5">
      <c r="C710" s="190" t="s">
        <v>595</v>
      </c>
      <c r="D710" s="190" t="s">
        <v>595</v>
      </c>
      <c r="E710" s="190" t="str">
        <f t="shared" si="27"/>
        <v/>
      </c>
    </row>
    <row r="711" spans="3:5">
      <c r="C711" s="190" t="s">
        <v>595</v>
      </c>
      <c r="D711" s="190" t="s">
        <v>595</v>
      </c>
      <c r="E711" s="190" t="str">
        <f t="shared" si="27"/>
        <v/>
      </c>
    </row>
    <row r="712" spans="3:5">
      <c r="C712" s="190" t="s">
        <v>595</v>
      </c>
      <c r="D712" s="190" t="s">
        <v>595</v>
      </c>
      <c r="E712" s="190" t="str">
        <f t="shared" si="27"/>
        <v/>
      </c>
    </row>
    <row r="713" spans="3:5">
      <c r="C713" s="190" t="s">
        <v>595</v>
      </c>
      <c r="D713" s="190" t="s">
        <v>595</v>
      </c>
      <c r="E713" s="190" t="str">
        <f t="shared" si="27"/>
        <v/>
      </c>
    </row>
    <row r="714" spans="3:5">
      <c r="C714" s="190" t="s">
        <v>595</v>
      </c>
      <c r="D714" s="190" t="s">
        <v>595</v>
      </c>
      <c r="E714" s="190" t="str">
        <f t="shared" si="27"/>
        <v/>
      </c>
    </row>
    <row r="715" spans="3:5">
      <c r="C715" s="190" t="s">
        <v>595</v>
      </c>
      <c r="D715" s="190" t="s">
        <v>595</v>
      </c>
      <c r="E715" s="190" t="str">
        <f t="shared" si="27"/>
        <v/>
      </c>
    </row>
    <row r="716" spans="3:5">
      <c r="C716" s="190" t="s">
        <v>595</v>
      </c>
      <c r="D716" s="190" t="s">
        <v>595</v>
      </c>
      <c r="E716" s="190" t="str">
        <f t="shared" si="27"/>
        <v/>
      </c>
    </row>
    <row r="717" spans="3:5">
      <c r="C717" s="190" t="s">
        <v>595</v>
      </c>
      <c r="D717" s="190" t="s">
        <v>595</v>
      </c>
      <c r="E717" s="190" t="str">
        <f t="shared" si="27"/>
        <v/>
      </c>
    </row>
    <row r="718" spans="3:5">
      <c r="C718" s="190" t="s">
        <v>595</v>
      </c>
      <c r="D718" s="190" t="s">
        <v>595</v>
      </c>
      <c r="E718" s="190" t="str">
        <f t="shared" si="27"/>
        <v/>
      </c>
    </row>
    <row r="719" spans="3:5">
      <c r="C719" s="190" t="s">
        <v>595</v>
      </c>
      <c r="D719" s="190" t="s">
        <v>595</v>
      </c>
      <c r="E719" s="190" t="str">
        <f t="shared" si="27"/>
        <v/>
      </c>
    </row>
    <row r="720" spans="3:5">
      <c r="C720" s="190" t="s">
        <v>595</v>
      </c>
      <c r="D720" s="190" t="s">
        <v>595</v>
      </c>
      <c r="E720" s="190" t="str">
        <f t="shared" si="27"/>
        <v/>
      </c>
    </row>
    <row r="721" spans="3:5">
      <c r="C721" s="190" t="s">
        <v>595</v>
      </c>
      <c r="D721" s="190" t="s">
        <v>595</v>
      </c>
      <c r="E721" s="190" t="str">
        <f t="shared" si="27"/>
        <v/>
      </c>
    </row>
    <row r="722" spans="3:5">
      <c r="C722" s="190" t="s">
        <v>595</v>
      </c>
      <c r="D722" s="190" t="s">
        <v>595</v>
      </c>
      <c r="E722" s="190" t="str">
        <f t="shared" si="27"/>
        <v/>
      </c>
    </row>
    <row r="723" spans="3:5">
      <c r="C723" s="190" t="s">
        <v>595</v>
      </c>
      <c r="D723" s="190" t="s">
        <v>595</v>
      </c>
      <c r="E723" s="190" t="str">
        <f t="shared" si="27"/>
        <v/>
      </c>
    </row>
    <row r="724" spans="3:5">
      <c r="C724" s="190" t="s">
        <v>595</v>
      </c>
      <c r="D724" s="190" t="s">
        <v>595</v>
      </c>
      <c r="E724" s="190" t="str">
        <f t="shared" si="27"/>
        <v/>
      </c>
    </row>
    <row r="725" spans="3:5">
      <c r="C725" s="190" t="s">
        <v>595</v>
      </c>
      <c r="D725" s="190" t="s">
        <v>595</v>
      </c>
      <c r="E725" s="190" t="str">
        <f t="shared" si="27"/>
        <v/>
      </c>
    </row>
    <row r="726" spans="3:5">
      <c r="C726" s="190" t="s">
        <v>595</v>
      </c>
      <c r="D726" s="190" t="s">
        <v>595</v>
      </c>
      <c r="E726" s="190" t="str">
        <f t="shared" si="27"/>
        <v/>
      </c>
    </row>
    <row r="727" spans="3:5">
      <c r="C727" s="190" t="s">
        <v>595</v>
      </c>
      <c r="D727" s="190" t="s">
        <v>595</v>
      </c>
      <c r="E727" s="190" t="str">
        <f t="shared" si="27"/>
        <v/>
      </c>
    </row>
    <row r="728" spans="3:5">
      <c r="C728" s="190" t="s">
        <v>595</v>
      </c>
      <c r="D728" s="190" t="s">
        <v>595</v>
      </c>
      <c r="E728" s="190" t="str">
        <f t="shared" si="27"/>
        <v/>
      </c>
    </row>
    <row r="729" spans="3:5">
      <c r="C729" s="190" t="s">
        <v>595</v>
      </c>
      <c r="D729" s="190" t="s">
        <v>595</v>
      </c>
      <c r="E729" s="190" t="str">
        <f t="shared" si="27"/>
        <v/>
      </c>
    </row>
    <row r="730" spans="3:5">
      <c r="C730" s="190" t="s">
        <v>595</v>
      </c>
      <c r="D730" s="190" t="s">
        <v>595</v>
      </c>
      <c r="E730" s="190" t="str">
        <f t="shared" si="27"/>
        <v/>
      </c>
    </row>
    <row r="731" spans="3:5">
      <c r="C731" s="190" t="s">
        <v>595</v>
      </c>
      <c r="D731" s="190" t="s">
        <v>595</v>
      </c>
      <c r="E731" s="190" t="str">
        <f t="shared" si="27"/>
        <v/>
      </c>
    </row>
    <row r="732" spans="3:5">
      <c r="C732" s="190" t="s">
        <v>595</v>
      </c>
      <c r="D732" s="190" t="s">
        <v>595</v>
      </c>
      <c r="E732" s="190" t="str">
        <f t="shared" si="27"/>
        <v/>
      </c>
    </row>
    <row r="733" spans="3:5">
      <c r="C733" s="190" t="s">
        <v>595</v>
      </c>
      <c r="D733" s="190" t="s">
        <v>595</v>
      </c>
      <c r="E733" s="190" t="str">
        <f t="shared" si="27"/>
        <v/>
      </c>
    </row>
    <row r="734" spans="3:5">
      <c r="C734" s="190" t="s">
        <v>595</v>
      </c>
      <c r="D734" s="190" t="s">
        <v>595</v>
      </c>
      <c r="E734" s="190" t="str">
        <f t="shared" si="27"/>
        <v/>
      </c>
    </row>
    <row r="735" spans="3:5">
      <c r="C735" s="190" t="s">
        <v>595</v>
      </c>
      <c r="D735" s="190" t="s">
        <v>595</v>
      </c>
      <c r="E735" s="190" t="str">
        <f t="shared" si="27"/>
        <v/>
      </c>
    </row>
    <row r="736" spans="3:5">
      <c r="C736" s="190" t="s">
        <v>595</v>
      </c>
      <c r="D736" s="190" t="s">
        <v>595</v>
      </c>
      <c r="E736" s="190" t="str">
        <f t="shared" si="27"/>
        <v/>
      </c>
    </row>
    <row r="737" spans="3:5">
      <c r="C737" s="190" t="s">
        <v>595</v>
      </c>
      <c r="D737" s="190" t="s">
        <v>595</v>
      </c>
      <c r="E737" s="190" t="str">
        <f t="shared" si="27"/>
        <v/>
      </c>
    </row>
    <row r="738" spans="3:5">
      <c r="C738" s="190" t="s">
        <v>595</v>
      </c>
      <c r="D738" s="190" t="s">
        <v>595</v>
      </c>
      <c r="E738" s="190" t="str">
        <f t="shared" si="27"/>
        <v/>
      </c>
    </row>
    <row r="739" spans="3:5">
      <c r="C739" s="190" t="s">
        <v>595</v>
      </c>
      <c r="D739" s="190" t="s">
        <v>595</v>
      </c>
      <c r="E739" s="190" t="str">
        <f t="shared" si="27"/>
        <v/>
      </c>
    </row>
    <row r="740" spans="3:5">
      <c r="C740" s="190" t="s">
        <v>595</v>
      </c>
      <c r="D740" s="190" t="s">
        <v>595</v>
      </c>
      <c r="E740" s="190" t="str">
        <f t="shared" si="27"/>
        <v/>
      </c>
    </row>
    <row r="741" spans="3:5">
      <c r="C741" s="190" t="s">
        <v>595</v>
      </c>
      <c r="D741" s="190" t="s">
        <v>595</v>
      </c>
      <c r="E741" s="190" t="str">
        <f t="shared" si="27"/>
        <v/>
      </c>
    </row>
    <row r="742" spans="3:5">
      <c r="C742" s="190" t="s">
        <v>595</v>
      </c>
      <c r="D742" s="190" t="s">
        <v>595</v>
      </c>
      <c r="E742" s="190" t="str">
        <f t="shared" si="27"/>
        <v/>
      </c>
    </row>
    <row r="743" spans="3:5">
      <c r="C743" s="190" t="s">
        <v>595</v>
      </c>
      <c r="D743" s="190" t="s">
        <v>595</v>
      </c>
      <c r="E743" s="190" t="str">
        <f t="shared" si="27"/>
        <v/>
      </c>
    </row>
    <row r="744" spans="3:5">
      <c r="C744" s="190" t="s">
        <v>595</v>
      </c>
      <c r="D744" s="190" t="s">
        <v>595</v>
      </c>
      <c r="E744" s="190" t="str">
        <f t="shared" si="27"/>
        <v/>
      </c>
    </row>
    <row r="745" spans="3:5">
      <c r="C745" s="190" t="s">
        <v>595</v>
      </c>
      <c r="D745" s="190" t="s">
        <v>595</v>
      </c>
      <c r="E745" s="190" t="str">
        <f t="shared" si="27"/>
        <v/>
      </c>
    </row>
    <row r="746" spans="3:5">
      <c r="C746" s="190" t="s">
        <v>595</v>
      </c>
      <c r="D746" s="190" t="s">
        <v>595</v>
      </c>
      <c r="E746" s="190" t="str">
        <f t="shared" si="27"/>
        <v/>
      </c>
    </row>
    <row r="747" spans="3:5">
      <c r="C747" s="190" t="s">
        <v>595</v>
      </c>
      <c r="D747" s="190" t="s">
        <v>595</v>
      </c>
      <c r="E747" s="190" t="str">
        <f t="shared" si="27"/>
        <v/>
      </c>
    </row>
    <row r="748" spans="3:5">
      <c r="C748" s="190" t="s">
        <v>595</v>
      </c>
      <c r="D748" s="190" t="s">
        <v>595</v>
      </c>
      <c r="E748" s="190" t="str">
        <f t="shared" si="27"/>
        <v/>
      </c>
    </row>
    <row r="749" spans="3:5">
      <c r="C749" s="190" t="s">
        <v>595</v>
      </c>
      <c r="D749" s="190" t="s">
        <v>595</v>
      </c>
      <c r="E749" s="190" t="str">
        <f t="shared" si="27"/>
        <v/>
      </c>
    </row>
    <row r="750" spans="3:5">
      <c r="C750" s="190" t="s">
        <v>595</v>
      </c>
      <c r="D750" s="190" t="s">
        <v>595</v>
      </c>
      <c r="E750" s="190" t="str">
        <f t="shared" si="27"/>
        <v/>
      </c>
    </row>
    <row r="751" spans="3:5">
      <c r="C751" s="190" t="s">
        <v>595</v>
      </c>
      <c r="D751" s="190" t="s">
        <v>595</v>
      </c>
      <c r="E751" s="190" t="str">
        <f t="shared" si="27"/>
        <v/>
      </c>
    </row>
    <row r="752" spans="3:5">
      <c r="C752" s="190" t="s">
        <v>595</v>
      </c>
      <c r="D752" s="190" t="s">
        <v>595</v>
      </c>
      <c r="E752" s="190" t="str">
        <f t="shared" si="27"/>
        <v/>
      </c>
    </row>
    <row r="753" spans="3:5">
      <c r="C753" s="190" t="s">
        <v>595</v>
      </c>
      <c r="D753" s="190" t="s">
        <v>595</v>
      </c>
      <c r="E753" s="190" t="str">
        <f t="shared" si="27"/>
        <v/>
      </c>
    </row>
    <row r="754" spans="3:5">
      <c r="C754" s="190" t="s">
        <v>595</v>
      </c>
      <c r="D754" s="190" t="s">
        <v>595</v>
      </c>
      <c r="E754" s="190" t="str">
        <f t="shared" si="27"/>
        <v/>
      </c>
    </row>
    <row r="755" spans="3:5">
      <c r="C755" s="190" t="s">
        <v>595</v>
      </c>
      <c r="D755" s="190" t="s">
        <v>595</v>
      </c>
      <c r="E755" s="190" t="str">
        <f t="shared" si="27"/>
        <v/>
      </c>
    </row>
    <row r="756" spans="3:5">
      <c r="C756" s="190" t="s">
        <v>595</v>
      </c>
      <c r="D756" s="190" t="s">
        <v>595</v>
      </c>
      <c r="E756" s="190" t="str">
        <f t="shared" si="27"/>
        <v/>
      </c>
    </row>
    <row r="757" spans="3:5">
      <c r="C757" s="190" t="s">
        <v>595</v>
      </c>
      <c r="D757" s="190" t="s">
        <v>595</v>
      </c>
      <c r="E757" s="190" t="str">
        <f t="shared" si="27"/>
        <v/>
      </c>
    </row>
    <row r="758" spans="3:5">
      <c r="C758" s="190" t="s">
        <v>595</v>
      </c>
      <c r="D758" s="190" t="s">
        <v>595</v>
      </c>
      <c r="E758" s="190" t="str">
        <f t="shared" si="27"/>
        <v/>
      </c>
    </row>
    <row r="759" spans="3:5">
      <c r="C759" s="190" t="s">
        <v>595</v>
      </c>
      <c r="D759" s="190" t="s">
        <v>595</v>
      </c>
      <c r="E759" s="190" t="str">
        <f t="shared" si="27"/>
        <v/>
      </c>
    </row>
    <row r="760" spans="3:5">
      <c r="C760" s="190" t="s">
        <v>595</v>
      </c>
      <c r="D760" s="190" t="s">
        <v>595</v>
      </c>
      <c r="E760" s="190" t="str">
        <f t="shared" si="27"/>
        <v/>
      </c>
    </row>
    <row r="761" spans="3:5">
      <c r="C761" s="190" t="s">
        <v>595</v>
      </c>
      <c r="D761" s="190" t="s">
        <v>595</v>
      </c>
      <c r="E761" s="190" t="str">
        <f t="shared" si="27"/>
        <v/>
      </c>
    </row>
    <row r="762" spans="3:5">
      <c r="C762" s="190" t="s">
        <v>595</v>
      </c>
      <c r="D762" s="190" t="s">
        <v>595</v>
      </c>
      <c r="E762" s="190" t="str">
        <f t="shared" si="27"/>
        <v/>
      </c>
    </row>
    <row r="763" spans="3:5">
      <c r="C763" s="190" t="s">
        <v>595</v>
      </c>
      <c r="D763" s="190" t="s">
        <v>595</v>
      </c>
      <c r="E763" s="190" t="str">
        <f t="shared" si="27"/>
        <v/>
      </c>
    </row>
    <row r="764" spans="3:5">
      <c r="C764" s="190" t="s">
        <v>595</v>
      </c>
      <c r="D764" s="190" t="s">
        <v>595</v>
      </c>
      <c r="E764" s="190" t="str">
        <f t="shared" si="27"/>
        <v/>
      </c>
    </row>
    <row r="765" spans="3:5">
      <c r="C765" s="190" t="s">
        <v>595</v>
      </c>
      <c r="D765" s="190" t="s">
        <v>595</v>
      </c>
      <c r="E765" s="190" t="str">
        <f t="shared" si="27"/>
        <v/>
      </c>
    </row>
    <row r="766" spans="3:5">
      <c r="C766" s="190" t="s">
        <v>595</v>
      </c>
      <c r="D766" s="190" t="s">
        <v>595</v>
      </c>
      <c r="E766" s="190" t="str">
        <f t="shared" si="27"/>
        <v/>
      </c>
    </row>
    <row r="767" spans="3:5">
      <c r="C767" s="190" t="s">
        <v>595</v>
      </c>
      <c r="D767" s="190" t="s">
        <v>595</v>
      </c>
      <c r="E767" s="190" t="str">
        <f t="shared" si="27"/>
        <v/>
      </c>
    </row>
    <row r="768" spans="3:5">
      <c r="C768" s="190" t="s">
        <v>595</v>
      </c>
      <c r="D768" s="190" t="s">
        <v>595</v>
      </c>
      <c r="E768" s="190" t="str">
        <f t="shared" si="27"/>
        <v/>
      </c>
    </row>
    <row r="769" spans="3:5">
      <c r="C769" s="190" t="s">
        <v>595</v>
      </c>
      <c r="D769" s="190" t="s">
        <v>595</v>
      </c>
      <c r="E769" s="190" t="str">
        <f t="shared" si="27"/>
        <v/>
      </c>
    </row>
    <row r="770" spans="3:5">
      <c r="C770" s="190" t="s">
        <v>595</v>
      </c>
      <c r="D770" s="190" t="s">
        <v>595</v>
      </c>
      <c r="E770" s="190" t="str">
        <f t="shared" si="27"/>
        <v/>
      </c>
    </row>
    <row r="771" spans="3:5">
      <c r="C771" s="190" t="s">
        <v>595</v>
      </c>
      <c r="D771" s="190" t="s">
        <v>595</v>
      </c>
      <c r="E771" s="190" t="str">
        <f t="shared" si="27"/>
        <v/>
      </c>
    </row>
    <row r="772" spans="3:5">
      <c r="C772" s="190" t="s">
        <v>595</v>
      </c>
      <c r="D772" s="190" t="s">
        <v>595</v>
      </c>
      <c r="E772" s="190" t="str">
        <f t="shared" ref="E772:E835" si="28">IF(C772&lt;D772,C772,D772)</f>
        <v/>
      </c>
    </row>
    <row r="773" spans="3:5">
      <c r="C773" s="190" t="s">
        <v>595</v>
      </c>
      <c r="D773" s="190" t="s">
        <v>595</v>
      </c>
      <c r="E773" s="190" t="str">
        <f t="shared" si="28"/>
        <v/>
      </c>
    </row>
    <row r="774" spans="3:5">
      <c r="C774" s="190" t="s">
        <v>595</v>
      </c>
      <c r="D774" s="190" t="s">
        <v>595</v>
      </c>
      <c r="E774" s="190" t="str">
        <f t="shared" si="28"/>
        <v/>
      </c>
    </row>
    <row r="775" spans="3:5">
      <c r="C775" s="190" t="s">
        <v>595</v>
      </c>
      <c r="D775" s="190" t="s">
        <v>595</v>
      </c>
      <c r="E775" s="190" t="str">
        <f t="shared" si="28"/>
        <v/>
      </c>
    </row>
    <row r="776" spans="3:5">
      <c r="C776" s="190" t="s">
        <v>595</v>
      </c>
      <c r="D776" s="190" t="s">
        <v>595</v>
      </c>
      <c r="E776" s="190" t="str">
        <f t="shared" si="28"/>
        <v/>
      </c>
    </row>
    <row r="777" spans="3:5">
      <c r="C777" s="190" t="s">
        <v>595</v>
      </c>
      <c r="D777" s="190" t="s">
        <v>595</v>
      </c>
      <c r="E777" s="190" t="str">
        <f t="shared" si="28"/>
        <v/>
      </c>
    </row>
    <row r="778" spans="3:5">
      <c r="C778" s="190" t="s">
        <v>595</v>
      </c>
      <c r="D778" s="190" t="s">
        <v>595</v>
      </c>
      <c r="E778" s="190" t="str">
        <f t="shared" si="28"/>
        <v/>
      </c>
    </row>
    <row r="779" spans="3:5">
      <c r="C779" s="190" t="s">
        <v>595</v>
      </c>
      <c r="D779" s="190" t="s">
        <v>595</v>
      </c>
      <c r="E779" s="190" t="str">
        <f t="shared" si="28"/>
        <v/>
      </c>
    </row>
    <row r="780" spans="3:5">
      <c r="C780" s="190" t="s">
        <v>595</v>
      </c>
      <c r="D780" s="190" t="s">
        <v>595</v>
      </c>
      <c r="E780" s="190" t="str">
        <f t="shared" si="28"/>
        <v/>
      </c>
    </row>
    <row r="781" spans="3:5">
      <c r="C781" s="190" t="s">
        <v>595</v>
      </c>
      <c r="D781" s="190" t="s">
        <v>595</v>
      </c>
      <c r="E781" s="190" t="str">
        <f t="shared" si="28"/>
        <v/>
      </c>
    </row>
    <row r="782" spans="3:5">
      <c r="C782" s="190" t="s">
        <v>595</v>
      </c>
      <c r="D782" s="190" t="s">
        <v>595</v>
      </c>
      <c r="E782" s="190" t="str">
        <f t="shared" si="28"/>
        <v/>
      </c>
    </row>
    <row r="783" spans="3:5">
      <c r="C783" s="190" t="s">
        <v>595</v>
      </c>
      <c r="D783" s="190" t="s">
        <v>595</v>
      </c>
      <c r="E783" s="190" t="str">
        <f t="shared" si="28"/>
        <v/>
      </c>
    </row>
    <row r="784" spans="3:5">
      <c r="C784" s="190" t="s">
        <v>595</v>
      </c>
      <c r="D784" s="190" t="s">
        <v>595</v>
      </c>
      <c r="E784" s="190" t="str">
        <f t="shared" si="28"/>
        <v/>
      </c>
    </row>
    <row r="785" spans="3:5">
      <c r="C785" s="190" t="s">
        <v>595</v>
      </c>
      <c r="D785" s="190" t="s">
        <v>595</v>
      </c>
      <c r="E785" s="190" t="str">
        <f t="shared" si="28"/>
        <v/>
      </c>
    </row>
    <row r="786" spans="3:5">
      <c r="C786" s="190" t="s">
        <v>595</v>
      </c>
      <c r="D786" s="190" t="s">
        <v>595</v>
      </c>
      <c r="E786" s="190" t="str">
        <f t="shared" si="28"/>
        <v/>
      </c>
    </row>
    <row r="787" spans="3:5">
      <c r="C787" s="190" t="s">
        <v>595</v>
      </c>
      <c r="D787" s="190" t="s">
        <v>595</v>
      </c>
      <c r="E787" s="190" t="str">
        <f t="shared" si="28"/>
        <v/>
      </c>
    </row>
    <row r="788" spans="3:5">
      <c r="C788" s="190" t="s">
        <v>595</v>
      </c>
      <c r="D788" s="190" t="s">
        <v>595</v>
      </c>
      <c r="E788" s="190" t="str">
        <f t="shared" si="28"/>
        <v/>
      </c>
    </row>
    <row r="789" spans="3:5">
      <c r="C789" s="190" t="s">
        <v>595</v>
      </c>
      <c r="D789" s="190" t="s">
        <v>595</v>
      </c>
      <c r="E789" s="190" t="str">
        <f t="shared" si="28"/>
        <v/>
      </c>
    </row>
    <row r="790" spans="3:5">
      <c r="C790" s="190" t="s">
        <v>595</v>
      </c>
      <c r="D790" s="190" t="s">
        <v>595</v>
      </c>
      <c r="E790" s="190" t="str">
        <f t="shared" si="28"/>
        <v/>
      </c>
    </row>
    <row r="791" spans="3:5">
      <c r="C791" s="190" t="s">
        <v>595</v>
      </c>
      <c r="D791" s="190" t="s">
        <v>595</v>
      </c>
      <c r="E791" s="190" t="str">
        <f t="shared" si="28"/>
        <v/>
      </c>
    </row>
    <row r="792" spans="3:5">
      <c r="C792" s="190" t="s">
        <v>595</v>
      </c>
      <c r="D792" s="190" t="s">
        <v>595</v>
      </c>
      <c r="E792" s="190" t="str">
        <f t="shared" si="28"/>
        <v/>
      </c>
    </row>
    <row r="793" spans="3:5">
      <c r="C793" s="190" t="s">
        <v>595</v>
      </c>
      <c r="D793" s="190" t="s">
        <v>595</v>
      </c>
      <c r="E793" s="190" t="str">
        <f t="shared" si="28"/>
        <v/>
      </c>
    </row>
    <row r="794" spans="3:5">
      <c r="C794" s="190" t="s">
        <v>595</v>
      </c>
      <c r="D794" s="190" t="s">
        <v>595</v>
      </c>
      <c r="E794" s="190" t="str">
        <f t="shared" si="28"/>
        <v/>
      </c>
    </row>
    <row r="795" spans="3:5">
      <c r="C795" s="190" t="s">
        <v>595</v>
      </c>
      <c r="D795" s="190" t="s">
        <v>595</v>
      </c>
      <c r="E795" s="190" t="str">
        <f t="shared" si="28"/>
        <v/>
      </c>
    </row>
    <row r="796" spans="3:5">
      <c r="C796" s="190" t="s">
        <v>595</v>
      </c>
      <c r="D796" s="190" t="s">
        <v>595</v>
      </c>
      <c r="E796" s="190" t="str">
        <f t="shared" si="28"/>
        <v/>
      </c>
    </row>
    <row r="797" spans="3:5">
      <c r="C797" s="190" t="s">
        <v>595</v>
      </c>
      <c r="D797" s="190" t="s">
        <v>595</v>
      </c>
      <c r="E797" s="190" t="str">
        <f t="shared" si="28"/>
        <v/>
      </c>
    </row>
    <row r="798" spans="3:5">
      <c r="C798" s="190" t="s">
        <v>595</v>
      </c>
      <c r="D798" s="190" t="s">
        <v>595</v>
      </c>
      <c r="E798" s="190" t="str">
        <f t="shared" si="28"/>
        <v/>
      </c>
    </row>
    <row r="799" spans="3:5">
      <c r="C799" s="190" t="s">
        <v>595</v>
      </c>
      <c r="D799" s="190" t="s">
        <v>595</v>
      </c>
      <c r="E799" s="190" t="str">
        <f t="shared" si="28"/>
        <v/>
      </c>
    </row>
    <row r="800" spans="3:5">
      <c r="C800" s="190" t="s">
        <v>595</v>
      </c>
      <c r="D800" s="190" t="s">
        <v>595</v>
      </c>
      <c r="E800" s="190" t="str">
        <f t="shared" si="28"/>
        <v/>
      </c>
    </row>
    <row r="801" spans="3:5">
      <c r="C801" s="190" t="s">
        <v>595</v>
      </c>
      <c r="D801" s="190" t="s">
        <v>595</v>
      </c>
      <c r="E801" s="190" t="str">
        <f t="shared" si="28"/>
        <v/>
      </c>
    </row>
    <row r="802" spans="3:5">
      <c r="C802" s="190" t="s">
        <v>595</v>
      </c>
      <c r="D802" s="190" t="s">
        <v>595</v>
      </c>
      <c r="E802" s="190" t="str">
        <f t="shared" si="28"/>
        <v/>
      </c>
    </row>
    <row r="803" spans="3:5">
      <c r="C803" s="190" t="s">
        <v>595</v>
      </c>
      <c r="D803" s="190" t="s">
        <v>595</v>
      </c>
      <c r="E803" s="190" t="str">
        <f t="shared" si="28"/>
        <v/>
      </c>
    </row>
    <row r="804" spans="3:5">
      <c r="C804" s="190" t="s">
        <v>595</v>
      </c>
      <c r="D804" s="190" t="s">
        <v>595</v>
      </c>
      <c r="E804" s="190" t="str">
        <f t="shared" si="28"/>
        <v/>
      </c>
    </row>
    <row r="805" spans="3:5">
      <c r="C805" s="190" t="s">
        <v>595</v>
      </c>
      <c r="D805" s="190" t="s">
        <v>595</v>
      </c>
      <c r="E805" s="190" t="str">
        <f t="shared" si="28"/>
        <v/>
      </c>
    </row>
    <row r="806" spans="3:5">
      <c r="C806" s="190" t="s">
        <v>595</v>
      </c>
      <c r="D806" s="190" t="s">
        <v>595</v>
      </c>
      <c r="E806" s="190" t="str">
        <f t="shared" si="28"/>
        <v/>
      </c>
    </row>
    <row r="807" spans="3:5">
      <c r="C807" s="190" t="s">
        <v>595</v>
      </c>
      <c r="D807" s="190" t="s">
        <v>595</v>
      </c>
      <c r="E807" s="190" t="str">
        <f t="shared" si="28"/>
        <v/>
      </c>
    </row>
    <row r="808" spans="3:5">
      <c r="C808" s="190" t="s">
        <v>595</v>
      </c>
      <c r="D808" s="190" t="s">
        <v>595</v>
      </c>
      <c r="E808" s="190" t="str">
        <f t="shared" si="28"/>
        <v/>
      </c>
    </row>
    <row r="809" spans="3:5">
      <c r="C809" s="190" t="s">
        <v>595</v>
      </c>
      <c r="D809" s="190" t="s">
        <v>595</v>
      </c>
      <c r="E809" s="190" t="str">
        <f t="shared" si="28"/>
        <v/>
      </c>
    </row>
    <row r="810" spans="3:5">
      <c r="C810" s="190" t="s">
        <v>595</v>
      </c>
      <c r="D810" s="190" t="s">
        <v>595</v>
      </c>
      <c r="E810" s="190" t="str">
        <f t="shared" si="28"/>
        <v/>
      </c>
    </row>
    <row r="811" spans="3:5">
      <c r="C811" s="190" t="s">
        <v>595</v>
      </c>
      <c r="D811" s="190" t="s">
        <v>595</v>
      </c>
      <c r="E811" s="190" t="str">
        <f t="shared" si="28"/>
        <v/>
      </c>
    </row>
    <row r="812" spans="3:5">
      <c r="C812" s="190" t="s">
        <v>595</v>
      </c>
      <c r="D812" s="190" t="s">
        <v>595</v>
      </c>
      <c r="E812" s="190" t="str">
        <f t="shared" si="28"/>
        <v/>
      </c>
    </row>
    <row r="813" spans="3:5">
      <c r="C813" s="190" t="s">
        <v>595</v>
      </c>
      <c r="D813" s="190" t="s">
        <v>595</v>
      </c>
      <c r="E813" s="190" t="str">
        <f t="shared" si="28"/>
        <v/>
      </c>
    </row>
    <row r="814" spans="3:5">
      <c r="C814" s="190" t="s">
        <v>595</v>
      </c>
      <c r="D814" s="190" t="s">
        <v>595</v>
      </c>
      <c r="E814" s="190" t="str">
        <f t="shared" si="28"/>
        <v/>
      </c>
    </row>
    <row r="815" spans="3:5">
      <c r="C815" s="190" t="s">
        <v>595</v>
      </c>
      <c r="D815" s="190" t="s">
        <v>595</v>
      </c>
      <c r="E815" s="190" t="str">
        <f t="shared" si="28"/>
        <v/>
      </c>
    </row>
    <row r="816" spans="3:5">
      <c r="C816" s="190" t="s">
        <v>595</v>
      </c>
      <c r="D816" s="190" t="s">
        <v>595</v>
      </c>
      <c r="E816" s="190" t="str">
        <f t="shared" si="28"/>
        <v/>
      </c>
    </row>
    <row r="817" spans="3:5">
      <c r="C817" s="190" t="s">
        <v>595</v>
      </c>
      <c r="D817" s="190" t="s">
        <v>595</v>
      </c>
      <c r="E817" s="190" t="str">
        <f t="shared" si="28"/>
        <v/>
      </c>
    </row>
    <row r="818" spans="3:5">
      <c r="C818" s="190" t="s">
        <v>595</v>
      </c>
      <c r="D818" s="190" t="s">
        <v>595</v>
      </c>
      <c r="E818" s="190" t="str">
        <f t="shared" si="28"/>
        <v/>
      </c>
    </row>
    <row r="819" spans="3:5">
      <c r="C819" s="190" t="s">
        <v>595</v>
      </c>
      <c r="D819" s="190" t="s">
        <v>595</v>
      </c>
      <c r="E819" s="190" t="str">
        <f t="shared" si="28"/>
        <v/>
      </c>
    </row>
    <row r="820" spans="3:5">
      <c r="C820" s="190" t="s">
        <v>595</v>
      </c>
      <c r="D820" s="190" t="s">
        <v>595</v>
      </c>
      <c r="E820" s="190" t="str">
        <f t="shared" si="28"/>
        <v/>
      </c>
    </row>
    <row r="821" spans="3:5">
      <c r="C821" s="190" t="s">
        <v>595</v>
      </c>
      <c r="D821" s="190" t="s">
        <v>595</v>
      </c>
      <c r="E821" s="190" t="str">
        <f t="shared" si="28"/>
        <v/>
      </c>
    </row>
    <row r="822" spans="3:5">
      <c r="C822" s="190" t="s">
        <v>595</v>
      </c>
      <c r="D822" s="190" t="s">
        <v>595</v>
      </c>
      <c r="E822" s="190" t="str">
        <f t="shared" si="28"/>
        <v/>
      </c>
    </row>
    <row r="823" spans="3:5">
      <c r="C823" s="190" t="s">
        <v>595</v>
      </c>
      <c r="D823" s="190" t="s">
        <v>595</v>
      </c>
      <c r="E823" s="190" t="str">
        <f t="shared" si="28"/>
        <v/>
      </c>
    </row>
    <row r="824" spans="3:5">
      <c r="C824" s="190" t="s">
        <v>595</v>
      </c>
      <c r="D824" s="190" t="s">
        <v>595</v>
      </c>
      <c r="E824" s="190" t="str">
        <f t="shared" si="28"/>
        <v/>
      </c>
    </row>
    <row r="825" spans="3:5">
      <c r="C825" s="190" t="s">
        <v>595</v>
      </c>
      <c r="D825" s="190" t="s">
        <v>595</v>
      </c>
      <c r="E825" s="190" t="str">
        <f t="shared" si="28"/>
        <v/>
      </c>
    </row>
    <row r="826" spans="3:5">
      <c r="C826" s="190" t="s">
        <v>595</v>
      </c>
      <c r="D826" s="190" t="s">
        <v>595</v>
      </c>
      <c r="E826" s="190" t="str">
        <f t="shared" si="28"/>
        <v/>
      </c>
    </row>
    <row r="827" spans="3:5">
      <c r="C827" s="190" t="s">
        <v>595</v>
      </c>
      <c r="D827" s="190" t="s">
        <v>595</v>
      </c>
      <c r="E827" s="190" t="str">
        <f t="shared" si="28"/>
        <v/>
      </c>
    </row>
    <row r="828" spans="3:5">
      <c r="C828" s="190" t="s">
        <v>595</v>
      </c>
      <c r="D828" s="190" t="s">
        <v>595</v>
      </c>
      <c r="E828" s="190" t="str">
        <f t="shared" si="28"/>
        <v/>
      </c>
    </row>
    <row r="829" spans="3:5">
      <c r="C829" s="190" t="s">
        <v>595</v>
      </c>
      <c r="D829" s="190" t="s">
        <v>595</v>
      </c>
      <c r="E829" s="190" t="str">
        <f t="shared" si="28"/>
        <v/>
      </c>
    </row>
    <row r="830" spans="3:5">
      <c r="C830" s="190" t="s">
        <v>595</v>
      </c>
      <c r="D830" s="190" t="s">
        <v>595</v>
      </c>
      <c r="E830" s="190" t="str">
        <f t="shared" si="28"/>
        <v/>
      </c>
    </row>
    <row r="831" spans="3:5">
      <c r="C831" s="190" t="s">
        <v>595</v>
      </c>
      <c r="D831" s="190" t="s">
        <v>595</v>
      </c>
      <c r="E831" s="190" t="str">
        <f t="shared" si="28"/>
        <v/>
      </c>
    </row>
    <row r="832" spans="3:5">
      <c r="C832" s="190" t="s">
        <v>595</v>
      </c>
      <c r="D832" s="190" t="s">
        <v>595</v>
      </c>
      <c r="E832" s="190" t="str">
        <f t="shared" si="28"/>
        <v/>
      </c>
    </row>
    <row r="833" spans="3:5">
      <c r="C833" s="190" t="s">
        <v>595</v>
      </c>
      <c r="D833" s="190" t="s">
        <v>595</v>
      </c>
      <c r="E833" s="190" t="str">
        <f t="shared" si="28"/>
        <v/>
      </c>
    </row>
    <row r="834" spans="3:5">
      <c r="C834" s="190" t="s">
        <v>595</v>
      </c>
      <c r="D834" s="190" t="s">
        <v>595</v>
      </c>
      <c r="E834" s="190" t="str">
        <f t="shared" si="28"/>
        <v/>
      </c>
    </row>
    <row r="835" spans="3:5">
      <c r="C835" s="190" t="s">
        <v>595</v>
      </c>
      <c r="D835" s="190" t="s">
        <v>595</v>
      </c>
      <c r="E835" s="190" t="str">
        <f t="shared" si="28"/>
        <v/>
      </c>
    </row>
    <row r="836" spans="3:5">
      <c r="C836" s="190" t="s">
        <v>595</v>
      </c>
      <c r="D836" s="190" t="s">
        <v>595</v>
      </c>
      <c r="E836" s="190" t="str">
        <f t="shared" ref="E836:E899" si="29">IF(C836&lt;D836,C836,D836)</f>
        <v/>
      </c>
    </row>
    <row r="837" spans="3:5">
      <c r="C837" s="190" t="s">
        <v>595</v>
      </c>
      <c r="D837" s="190" t="s">
        <v>595</v>
      </c>
      <c r="E837" s="190" t="str">
        <f t="shared" si="29"/>
        <v/>
      </c>
    </row>
    <row r="838" spans="3:5">
      <c r="C838" s="190" t="s">
        <v>595</v>
      </c>
      <c r="D838" s="190" t="s">
        <v>595</v>
      </c>
      <c r="E838" s="190" t="str">
        <f t="shared" si="29"/>
        <v/>
      </c>
    </row>
    <row r="839" spans="3:5">
      <c r="C839" s="190" t="s">
        <v>595</v>
      </c>
      <c r="D839" s="190" t="s">
        <v>595</v>
      </c>
      <c r="E839" s="190" t="str">
        <f t="shared" si="29"/>
        <v/>
      </c>
    </row>
    <row r="840" spans="3:5">
      <c r="C840" s="190" t="s">
        <v>595</v>
      </c>
      <c r="D840" s="190" t="s">
        <v>595</v>
      </c>
      <c r="E840" s="190" t="str">
        <f t="shared" si="29"/>
        <v/>
      </c>
    </row>
    <row r="841" spans="3:5">
      <c r="C841" s="190" t="s">
        <v>595</v>
      </c>
      <c r="D841" s="190" t="s">
        <v>595</v>
      </c>
      <c r="E841" s="190" t="str">
        <f t="shared" si="29"/>
        <v/>
      </c>
    </row>
    <row r="842" spans="3:5">
      <c r="C842" s="190" t="s">
        <v>595</v>
      </c>
      <c r="D842" s="190" t="s">
        <v>595</v>
      </c>
      <c r="E842" s="190" t="str">
        <f t="shared" si="29"/>
        <v/>
      </c>
    </row>
    <row r="843" spans="3:5">
      <c r="C843" s="190" t="s">
        <v>595</v>
      </c>
      <c r="D843" s="190" t="s">
        <v>595</v>
      </c>
      <c r="E843" s="190" t="str">
        <f t="shared" si="29"/>
        <v/>
      </c>
    </row>
    <row r="844" spans="3:5">
      <c r="C844" s="190" t="s">
        <v>595</v>
      </c>
      <c r="D844" s="190" t="s">
        <v>595</v>
      </c>
      <c r="E844" s="190" t="str">
        <f t="shared" si="29"/>
        <v/>
      </c>
    </row>
    <row r="845" spans="3:5">
      <c r="C845" s="190" t="s">
        <v>595</v>
      </c>
      <c r="D845" s="190" t="s">
        <v>595</v>
      </c>
      <c r="E845" s="190" t="str">
        <f t="shared" si="29"/>
        <v/>
      </c>
    </row>
    <row r="846" spans="3:5">
      <c r="C846" s="190" t="s">
        <v>595</v>
      </c>
      <c r="D846" s="190" t="s">
        <v>595</v>
      </c>
      <c r="E846" s="190" t="str">
        <f t="shared" si="29"/>
        <v/>
      </c>
    </row>
    <row r="847" spans="3:5">
      <c r="C847" s="190" t="s">
        <v>595</v>
      </c>
      <c r="D847" s="190" t="s">
        <v>595</v>
      </c>
      <c r="E847" s="190" t="str">
        <f t="shared" si="29"/>
        <v/>
      </c>
    </row>
    <row r="848" spans="3:5">
      <c r="C848" s="190" t="s">
        <v>595</v>
      </c>
      <c r="D848" s="190" t="s">
        <v>595</v>
      </c>
      <c r="E848" s="190" t="str">
        <f t="shared" si="29"/>
        <v/>
      </c>
    </row>
    <row r="849" spans="3:5">
      <c r="C849" s="190" t="s">
        <v>595</v>
      </c>
      <c r="D849" s="190" t="s">
        <v>595</v>
      </c>
      <c r="E849" s="190" t="str">
        <f t="shared" si="29"/>
        <v/>
      </c>
    </row>
    <row r="850" spans="3:5">
      <c r="C850" s="190" t="s">
        <v>595</v>
      </c>
      <c r="D850" s="190" t="s">
        <v>595</v>
      </c>
      <c r="E850" s="190" t="str">
        <f t="shared" si="29"/>
        <v/>
      </c>
    </row>
    <row r="851" spans="3:5">
      <c r="C851" s="190" t="s">
        <v>595</v>
      </c>
      <c r="D851" s="190" t="s">
        <v>595</v>
      </c>
      <c r="E851" s="190" t="str">
        <f t="shared" si="29"/>
        <v/>
      </c>
    </row>
    <row r="852" spans="3:5">
      <c r="C852" s="190" t="s">
        <v>595</v>
      </c>
      <c r="D852" s="190" t="s">
        <v>595</v>
      </c>
      <c r="E852" s="190" t="str">
        <f t="shared" si="29"/>
        <v/>
      </c>
    </row>
    <row r="853" spans="3:5">
      <c r="C853" s="190" t="s">
        <v>595</v>
      </c>
      <c r="D853" s="190" t="s">
        <v>595</v>
      </c>
      <c r="E853" s="190" t="str">
        <f t="shared" si="29"/>
        <v/>
      </c>
    </row>
    <row r="854" spans="3:5">
      <c r="C854" s="190" t="s">
        <v>595</v>
      </c>
      <c r="D854" s="190" t="s">
        <v>595</v>
      </c>
      <c r="E854" s="190" t="str">
        <f t="shared" si="29"/>
        <v/>
      </c>
    </row>
    <row r="855" spans="3:5">
      <c r="C855" s="190" t="s">
        <v>595</v>
      </c>
      <c r="D855" s="190" t="s">
        <v>595</v>
      </c>
      <c r="E855" s="190" t="str">
        <f t="shared" si="29"/>
        <v/>
      </c>
    </row>
    <row r="856" spans="3:5">
      <c r="C856" s="190" t="s">
        <v>595</v>
      </c>
      <c r="D856" s="190" t="s">
        <v>595</v>
      </c>
      <c r="E856" s="190" t="str">
        <f t="shared" si="29"/>
        <v/>
      </c>
    </row>
    <row r="857" spans="3:5">
      <c r="C857" s="190" t="s">
        <v>595</v>
      </c>
      <c r="D857" s="190" t="s">
        <v>595</v>
      </c>
      <c r="E857" s="190" t="str">
        <f t="shared" si="29"/>
        <v/>
      </c>
    </row>
    <row r="858" spans="3:5">
      <c r="C858" s="190" t="s">
        <v>595</v>
      </c>
      <c r="D858" s="190" t="s">
        <v>595</v>
      </c>
      <c r="E858" s="190" t="str">
        <f t="shared" si="29"/>
        <v/>
      </c>
    </row>
    <row r="859" spans="3:5">
      <c r="C859" s="190" t="s">
        <v>595</v>
      </c>
      <c r="D859" s="190" t="s">
        <v>595</v>
      </c>
      <c r="E859" s="190" t="str">
        <f t="shared" si="29"/>
        <v/>
      </c>
    </row>
    <row r="860" spans="3:5">
      <c r="C860" s="190" t="s">
        <v>595</v>
      </c>
      <c r="D860" s="190" t="s">
        <v>595</v>
      </c>
      <c r="E860" s="190" t="str">
        <f t="shared" si="29"/>
        <v/>
      </c>
    </row>
    <row r="861" spans="3:5">
      <c r="C861" s="190" t="s">
        <v>595</v>
      </c>
      <c r="D861" s="190" t="s">
        <v>595</v>
      </c>
      <c r="E861" s="190" t="str">
        <f t="shared" si="29"/>
        <v/>
      </c>
    </row>
    <row r="862" spans="3:5">
      <c r="C862" s="190" t="s">
        <v>595</v>
      </c>
      <c r="D862" s="190" t="s">
        <v>595</v>
      </c>
      <c r="E862" s="190" t="str">
        <f t="shared" si="29"/>
        <v/>
      </c>
    </row>
    <row r="863" spans="3:5">
      <c r="C863" s="190" t="s">
        <v>595</v>
      </c>
      <c r="D863" s="190" t="s">
        <v>595</v>
      </c>
      <c r="E863" s="190" t="str">
        <f t="shared" si="29"/>
        <v/>
      </c>
    </row>
    <row r="864" spans="3:5">
      <c r="C864" s="190" t="s">
        <v>595</v>
      </c>
      <c r="D864" s="190" t="s">
        <v>595</v>
      </c>
      <c r="E864" s="190" t="str">
        <f t="shared" si="29"/>
        <v/>
      </c>
    </row>
    <row r="865" spans="3:5">
      <c r="C865" s="190" t="s">
        <v>595</v>
      </c>
      <c r="D865" s="190" t="s">
        <v>595</v>
      </c>
      <c r="E865" s="190" t="str">
        <f t="shared" si="29"/>
        <v/>
      </c>
    </row>
    <row r="866" spans="3:5">
      <c r="C866" s="190" t="s">
        <v>595</v>
      </c>
      <c r="D866" s="190" t="s">
        <v>595</v>
      </c>
      <c r="E866" s="190" t="str">
        <f t="shared" si="29"/>
        <v/>
      </c>
    </row>
    <row r="867" spans="3:5">
      <c r="C867" s="190" t="s">
        <v>595</v>
      </c>
      <c r="D867" s="190" t="s">
        <v>595</v>
      </c>
      <c r="E867" s="190" t="str">
        <f t="shared" si="29"/>
        <v/>
      </c>
    </row>
    <row r="868" spans="3:5">
      <c r="C868" s="190" t="s">
        <v>595</v>
      </c>
      <c r="D868" s="190" t="s">
        <v>595</v>
      </c>
      <c r="E868" s="190" t="str">
        <f t="shared" si="29"/>
        <v/>
      </c>
    </row>
    <row r="869" spans="3:5">
      <c r="C869" s="190" t="s">
        <v>595</v>
      </c>
      <c r="D869" s="190" t="s">
        <v>595</v>
      </c>
      <c r="E869" s="190" t="str">
        <f t="shared" si="29"/>
        <v/>
      </c>
    </row>
    <row r="870" spans="3:5">
      <c r="C870" s="190" t="s">
        <v>595</v>
      </c>
      <c r="D870" s="190" t="s">
        <v>595</v>
      </c>
      <c r="E870" s="190" t="str">
        <f t="shared" si="29"/>
        <v/>
      </c>
    </row>
    <row r="871" spans="3:5">
      <c r="C871" s="190" t="s">
        <v>595</v>
      </c>
      <c r="D871" s="190" t="s">
        <v>595</v>
      </c>
      <c r="E871" s="190" t="str">
        <f t="shared" si="29"/>
        <v/>
      </c>
    </row>
    <row r="872" spans="3:5">
      <c r="C872" s="190" t="s">
        <v>595</v>
      </c>
      <c r="D872" s="190" t="s">
        <v>595</v>
      </c>
      <c r="E872" s="190" t="str">
        <f t="shared" si="29"/>
        <v/>
      </c>
    </row>
    <row r="873" spans="3:5">
      <c r="C873" s="190" t="s">
        <v>595</v>
      </c>
      <c r="D873" s="190" t="s">
        <v>595</v>
      </c>
      <c r="E873" s="190" t="str">
        <f t="shared" si="29"/>
        <v/>
      </c>
    </row>
    <row r="874" spans="3:5">
      <c r="C874" s="190" t="s">
        <v>595</v>
      </c>
      <c r="D874" s="190" t="s">
        <v>595</v>
      </c>
      <c r="E874" s="190" t="str">
        <f t="shared" si="29"/>
        <v/>
      </c>
    </row>
    <row r="875" spans="3:5">
      <c r="C875" s="190" t="s">
        <v>595</v>
      </c>
      <c r="D875" s="190" t="s">
        <v>595</v>
      </c>
      <c r="E875" s="190" t="str">
        <f t="shared" si="29"/>
        <v/>
      </c>
    </row>
    <row r="876" spans="3:5">
      <c r="C876" s="190" t="s">
        <v>595</v>
      </c>
      <c r="D876" s="190" t="s">
        <v>595</v>
      </c>
      <c r="E876" s="190" t="str">
        <f t="shared" si="29"/>
        <v/>
      </c>
    </row>
    <row r="877" spans="3:5">
      <c r="C877" s="190" t="s">
        <v>595</v>
      </c>
      <c r="D877" s="190" t="s">
        <v>595</v>
      </c>
      <c r="E877" s="190" t="str">
        <f t="shared" si="29"/>
        <v/>
      </c>
    </row>
    <row r="878" spans="3:5">
      <c r="C878" s="190" t="s">
        <v>595</v>
      </c>
      <c r="D878" s="190" t="s">
        <v>595</v>
      </c>
      <c r="E878" s="190" t="str">
        <f t="shared" si="29"/>
        <v/>
      </c>
    </row>
    <row r="879" spans="3:5">
      <c r="C879" s="190" t="s">
        <v>595</v>
      </c>
      <c r="D879" s="190" t="s">
        <v>595</v>
      </c>
      <c r="E879" s="190" t="str">
        <f t="shared" si="29"/>
        <v/>
      </c>
    </row>
    <row r="880" spans="3:5">
      <c r="C880" s="190" t="s">
        <v>595</v>
      </c>
      <c r="D880" s="190" t="s">
        <v>595</v>
      </c>
      <c r="E880" s="190" t="str">
        <f t="shared" si="29"/>
        <v/>
      </c>
    </row>
    <row r="881" spans="3:5">
      <c r="C881" s="190" t="s">
        <v>595</v>
      </c>
      <c r="D881" s="190" t="s">
        <v>595</v>
      </c>
      <c r="E881" s="190" t="str">
        <f t="shared" si="29"/>
        <v/>
      </c>
    </row>
    <row r="882" spans="3:5">
      <c r="C882" s="190" t="s">
        <v>595</v>
      </c>
      <c r="D882" s="190" t="s">
        <v>595</v>
      </c>
      <c r="E882" s="190" t="str">
        <f t="shared" si="29"/>
        <v/>
      </c>
    </row>
    <row r="883" spans="3:5">
      <c r="C883" s="190" t="s">
        <v>595</v>
      </c>
      <c r="D883" s="190" t="s">
        <v>595</v>
      </c>
      <c r="E883" s="190" t="str">
        <f t="shared" si="29"/>
        <v/>
      </c>
    </row>
    <row r="884" spans="3:5">
      <c r="C884" s="190" t="s">
        <v>595</v>
      </c>
      <c r="D884" s="190" t="s">
        <v>595</v>
      </c>
      <c r="E884" s="190" t="str">
        <f t="shared" si="29"/>
        <v/>
      </c>
    </row>
    <row r="885" spans="3:5">
      <c r="C885" s="190" t="s">
        <v>595</v>
      </c>
      <c r="D885" s="190" t="s">
        <v>595</v>
      </c>
      <c r="E885" s="190" t="str">
        <f t="shared" si="29"/>
        <v/>
      </c>
    </row>
    <row r="886" spans="3:5">
      <c r="C886" s="190" t="s">
        <v>595</v>
      </c>
      <c r="D886" s="190" t="s">
        <v>595</v>
      </c>
      <c r="E886" s="190" t="str">
        <f t="shared" si="29"/>
        <v/>
      </c>
    </row>
    <row r="887" spans="3:5">
      <c r="C887" s="190" t="s">
        <v>595</v>
      </c>
      <c r="D887" s="190" t="s">
        <v>595</v>
      </c>
      <c r="E887" s="190" t="str">
        <f t="shared" si="29"/>
        <v/>
      </c>
    </row>
    <row r="888" spans="3:5">
      <c r="C888" s="190" t="s">
        <v>595</v>
      </c>
      <c r="D888" s="190" t="s">
        <v>595</v>
      </c>
      <c r="E888" s="190" t="str">
        <f t="shared" si="29"/>
        <v/>
      </c>
    </row>
    <row r="889" spans="3:5">
      <c r="C889" s="190" t="s">
        <v>595</v>
      </c>
      <c r="D889" s="190" t="s">
        <v>595</v>
      </c>
      <c r="E889" s="190" t="str">
        <f t="shared" si="29"/>
        <v/>
      </c>
    </row>
    <row r="890" spans="3:5">
      <c r="C890" s="190" t="s">
        <v>595</v>
      </c>
      <c r="D890" s="190" t="s">
        <v>595</v>
      </c>
      <c r="E890" s="190" t="str">
        <f t="shared" si="29"/>
        <v/>
      </c>
    </row>
    <row r="891" spans="3:5">
      <c r="C891" s="190" t="s">
        <v>595</v>
      </c>
      <c r="D891" s="190" t="s">
        <v>595</v>
      </c>
      <c r="E891" s="190" t="str">
        <f t="shared" si="29"/>
        <v/>
      </c>
    </row>
    <row r="892" spans="3:5">
      <c r="C892" s="190" t="s">
        <v>595</v>
      </c>
      <c r="D892" s="190" t="s">
        <v>595</v>
      </c>
      <c r="E892" s="190" t="str">
        <f t="shared" si="29"/>
        <v/>
      </c>
    </row>
    <row r="893" spans="3:5">
      <c r="C893" s="190" t="s">
        <v>595</v>
      </c>
      <c r="D893" s="190" t="s">
        <v>595</v>
      </c>
      <c r="E893" s="190" t="str">
        <f t="shared" si="29"/>
        <v/>
      </c>
    </row>
    <row r="894" spans="3:5">
      <c r="C894" s="190" t="s">
        <v>595</v>
      </c>
      <c r="D894" s="190" t="s">
        <v>595</v>
      </c>
      <c r="E894" s="190" t="str">
        <f t="shared" si="29"/>
        <v/>
      </c>
    </row>
    <row r="895" spans="3:5">
      <c r="C895" s="190" t="s">
        <v>595</v>
      </c>
      <c r="D895" s="190" t="s">
        <v>595</v>
      </c>
      <c r="E895" s="190" t="str">
        <f t="shared" si="29"/>
        <v/>
      </c>
    </row>
    <row r="896" spans="3:5">
      <c r="C896" s="190" t="s">
        <v>595</v>
      </c>
      <c r="D896" s="190" t="s">
        <v>595</v>
      </c>
      <c r="E896" s="190" t="str">
        <f t="shared" si="29"/>
        <v/>
      </c>
    </row>
    <row r="897" spans="3:5">
      <c r="C897" s="190" t="s">
        <v>595</v>
      </c>
      <c r="D897" s="190" t="s">
        <v>595</v>
      </c>
      <c r="E897" s="190" t="str">
        <f t="shared" si="29"/>
        <v/>
      </c>
    </row>
    <row r="898" spans="3:5">
      <c r="C898" s="190" t="s">
        <v>595</v>
      </c>
      <c r="D898" s="190" t="s">
        <v>595</v>
      </c>
      <c r="E898" s="190" t="str">
        <f t="shared" si="29"/>
        <v/>
      </c>
    </row>
    <row r="899" spans="3:5">
      <c r="C899" s="190" t="s">
        <v>595</v>
      </c>
      <c r="D899" s="190" t="s">
        <v>595</v>
      </c>
      <c r="E899" s="190" t="str">
        <f t="shared" si="29"/>
        <v/>
      </c>
    </row>
    <row r="900" spans="3:5">
      <c r="C900" s="190" t="s">
        <v>595</v>
      </c>
      <c r="D900" s="190" t="s">
        <v>595</v>
      </c>
      <c r="E900" s="190" t="str">
        <f t="shared" ref="E900:E963" si="30">IF(C900&lt;D900,C900,D900)</f>
        <v/>
      </c>
    </row>
    <row r="901" spans="3:5">
      <c r="C901" s="190" t="s">
        <v>595</v>
      </c>
      <c r="D901" s="190" t="s">
        <v>595</v>
      </c>
      <c r="E901" s="190" t="str">
        <f t="shared" si="30"/>
        <v/>
      </c>
    </row>
    <row r="902" spans="3:5">
      <c r="C902" s="190" t="s">
        <v>595</v>
      </c>
      <c r="D902" s="190" t="s">
        <v>595</v>
      </c>
      <c r="E902" s="190" t="str">
        <f t="shared" si="30"/>
        <v/>
      </c>
    </row>
    <row r="903" spans="3:5">
      <c r="C903" s="190" t="s">
        <v>595</v>
      </c>
      <c r="D903" s="190" t="s">
        <v>595</v>
      </c>
      <c r="E903" s="190" t="str">
        <f t="shared" si="30"/>
        <v/>
      </c>
    </row>
    <row r="904" spans="3:5">
      <c r="C904" s="190" t="s">
        <v>595</v>
      </c>
      <c r="D904" s="190" t="s">
        <v>595</v>
      </c>
      <c r="E904" s="190" t="str">
        <f t="shared" si="30"/>
        <v/>
      </c>
    </row>
    <row r="905" spans="3:5">
      <c r="C905" s="190" t="s">
        <v>595</v>
      </c>
      <c r="D905" s="190" t="s">
        <v>595</v>
      </c>
      <c r="E905" s="190" t="str">
        <f t="shared" si="30"/>
        <v/>
      </c>
    </row>
    <row r="906" spans="3:5">
      <c r="C906" s="190" t="s">
        <v>595</v>
      </c>
      <c r="D906" s="190" t="s">
        <v>595</v>
      </c>
      <c r="E906" s="190" t="str">
        <f t="shared" si="30"/>
        <v/>
      </c>
    </row>
    <row r="907" spans="3:5">
      <c r="C907" s="190" t="s">
        <v>595</v>
      </c>
      <c r="D907" s="190" t="s">
        <v>595</v>
      </c>
      <c r="E907" s="190" t="str">
        <f t="shared" si="30"/>
        <v/>
      </c>
    </row>
    <row r="908" spans="3:5">
      <c r="C908" s="190" t="s">
        <v>595</v>
      </c>
      <c r="D908" s="190" t="s">
        <v>595</v>
      </c>
      <c r="E908" s="190" t="str">
        <f t="shared" si="30"/>
        <v/>
      </c>
    </row>
    <row r="909" spans="3:5">
      <c r="C909" s="190" t="s">
        <v>595</v>
      </c>
      <c r="D909" s="190" t="s">
        <v>595</v>
      </c>
      <c r="E909" s="190" t="str">
        <f t="shared" si="30"/>
        <v/>
      </c>
    </row>
    <row r="910" spans="3:5">
      <c r="C910" s="190" t="s">
        <v>595</v>
      </c>
      <c r="D910" s="190" t="s">
        <v>595</v>
      </c>
      <c r="E910" s="190" t="str">
        <f t="shared" si="30"/>
        <v/>
      </c>
    </row>
    <row r="911" spans="3:5">
      <c r="C911" s="190" t="s">
        <v>595</v>
      </c>
      <c r="D911" s="190" t="s">
        <v>595</v>
      </c>
      <c r="E911" s="190" t="str">
        <f t="shared" si="30"/>
        <v/>
      </c>
    </row>
    <row r="912" spans="3:5">
      <c r="C912" s="190" t="s">
        <v>595</v>
      </c>
      <c r="D912" s="190" t="s">
        <v>595</v>
      </c>
      <c r="E912" s="190" t="str">
        <f t="shared" si="30"/>
        <v/>
      </c>
    </row>
    <row r="913" spans="3:5">
      <c r="C913" s="190" t="s">
        <v>595</v>
      </c>
      <c r="D913" s="190" t="s">
        <v>595</v>
      </c>
      <c r="E913" s="190" t="str">
        <f t="shared" si="30"/>
        <v/>
      </c>
    </row>
    <row r="914" spans="3:5">
      <c r="C914" s="190" t="s">
        <v>595</v>
      </c>
      <c r="D914" s="190" t="s">
        <v>595</v>
      </c>
      <c r="E914" s="190" t="str">
        <f t="shared" si="30"/>
        <v/>
      </c>
    </row>
    <row r="915" spans="3:5">
      <c r="C915" s="190" t="s">
        <v>595</v>
      </c>
      <c r="D915" s="190" t="s">
        <v>595</v>
      </c>
      <c r="E915" s="190" t="str">
        <f t="shared" si="30"/>
        <v/>
      </c>
    </row>
    <row r="916" spans="3:5">
      <c r="C916" s="190" t="s">
        <v>595</v>
      </c>
      <c r="D916" s="190" t="s">
        <v>595</v>
      </c>
      <c r="E916" s="190" t="str">
        <f t="shared" si="30"/>
        <v/>
      </c>
    </row>
    <row r="917" spans="3:5">
      <c r="C917" s="190" t="s">
        <v>595</v>
      </c>
      <c r="D917" s="190" t="s">
        <v>595</v>
      </c>
      <c r="E917" s="190" t="str">
        <f t="shared" si="30"/>
        <v/>
      </c>
    </row>
    <row r="918" spans="3:5">
      <c r="C918" s="190" t="s">
        <v>595</v>
      </c>
      <c r="D918" s="190" t="s">
        <v>595</v>
      </c>
      <c r="E918" s="190" t="str">
        <f t="shared" si="30"/>
        <v/>
      </c>
    </row>
    <row r="919" spans="3:5">
      <c r="C919" s="190" t="s">
        <v>595</v>
      </c>
      <c r="D919" s="190" t="s">
        <v>595</v>
      </c>
      <c r="E919" s="190" t="str">
        <f t="shared" si="30"/>
        <v/>
      </c>
    </row>
    <row r="920" spans="3:5">
      <c r="C920" s="190" t="s">
        <v>595</v>
      </c>
      <c r="D920" s="190" t="s">
        <v>595</v>
      </c>
      <c r="E920" s="190" t="str">
        <f t="shared" si="30"/>
        <v/>
      </c>
    </row>
    <row r="921" spans="3:5">
      <c r="C921" s="190" t="s">
        <v>595</v>
      </c>
      <c r="D921" s="190" t="s">
        <v>595</v>
      </c>
      <c r="E921" s="190" t="str">
        <f t="shared" si="30"/>
        <v/>
      </c>
    </row>
    <row r="922" spans="3:5">
      <c r="C922" s="190" t="s">
        <v>595</v>
      </c>
      <c r="D922" s="190" t="s">
        <v>595</v>
      </c>
      <c r="E922" s="190" t="str">
        <f t="shared" si="30"/>
        <v/>
      </c>
    </row>
    <row r="923" spans="3:5">
      <c r="C923" s="190" t="s">
        <v>595</v>
      </c>
      <c r="D923" s="190" t="s">
        <v>595</v>
      </c>
      <c r="E923" s="190" t="str">
        <f t="shared" si="30"/>
        <v/>
      </c>
    </row>
    <row r="924" spans="3:5">
      <c r="C924" s="190" t="s">
        <v>595</v>
      </c>
      <c r="D924" s="190" t="s">
        <v>595</v>
      </c>
      <c r="E924" s="190" t="str">
        <f t="shared" si="30"/>
        <v/>
      </c>
    </row>
    <row r="925" spans="3:5">
      <c r="C925" s="190" t="s">
        <v>595</v>
      </c>
      <c r="D925" s="190" t="s">
        <v>595</v>
      </c>
      <c r="E925" s="190" t="str">
        <f t="shared" si="30"/>
        <v/>
      </c>
    </row>
    <row r="926" spans="3:5">
      <c r="C926" s="190" t="s">
        <v>595</v>
      </c>
      <c r="D926" s="190" t="s">
        <v>595</v>
      </c>
      <c r="E926" s="190" t="str">
        <f t="shared" si="30"/>
        <v/>
      </c>
    </row>
    <row r="927" spans="3:5">
      <c r="C927" s="190" t="s">
        <v>595</v>
      </c>
      <c r="D927" s="190" t="s">
        <v>595</v>
      </c>
      <c r="E927" s="190" t="str">
        <f t="shared" si="30"/>
        <v/>
      </c>
    </row>
    <row r="928" spans="3:5">
      <c r="C928" s="190" t="s">
        <v>595</v>
      </c>
      <c r="D928" s="190" t="s">
        <v>595</v>
      </c>
      <c r="E928" s="190" t="str">
        <f t="shared" si="30"/>
        <v/>
      </c>
    </row>
    <row r="929" spans="3:5">
      <c r="C929" s="190" t="s">
        <v>595</v>
      </c>
      <c r="D929" s="190" t="s">
        <v>595</v>
      </c>
      <c r="E929" s="190" t="str">
        <f t="shared" si="30"/>
        <v/>
      </c>
    </row>
    <row r="930" spans="3:5">
      <c r="C930" s="190" t="s">
        <v>595</v>
      </c>
      <c r="D930" s="190" t="s">
        <v>595</v>
      </c>
      <c r="E930" s="190" t="str">
        <f t="shared" si="30"/>
        <v/>
      </c>
    </row>
    <row r="931" spans="3:5">
      <c r="C931" s="190" t="s">
        <v>595</v>
      </c>
      <c r="D931" s="190" t="s">
        <v>595</v>
      </c>
      <c r="E931" s="190" t="str">
        <f t="shared" si="30"/>
        <v/>
      </c>
    </row>
    <row r="932" spans="3:5">
      <c r="C932" s="190" t="s">
        <v>595</v>
      </c>
      <c r="D932" s="190" t="s">
        <v>595</v>
      </c>
      <c r="E932" s="190" t="str">
        <f t="shared" si="30"/>
        <v/>
      </c>
    </row>
    <row r="933" spans="3:5">
      <c r="C933" s="190" t="s">
        <v>595</v>
      </c>
      <c r="D933" s="190" t="s">
        <v>595</v>
      </c>
      <c r="E933" s="190" t="str">
        <f t="shared" si="30"/>
        <v/>
      </c>
    </row>
    <row r="934" spans="3:5">
      <c r="C934" s="190" t="s">
        <v>595</v>
      </c>
      <c r="D934" s="190" t="s">
        <v>595</v>
      </c>
      <c r="E934" s="190" t="str">
        <f t="shared" si="30"/>
        <v/>
      </c>
    </row>
    <row r="935" spans="3:5">
      <c r="C935" s="190" t="s">
        <v>595</v>
      </c>
      <c r="D935" s="190" t="s">
        <v>595</v>
      </c>
      <c r="E935" s="190" t="str">
        <f t="shared" si="30"/>
        <v/>
      </c>
    </row>
    <row r="936" spans="3:5">
      <c r="C936" s="190" t="s">
        <v>595</v>
      </c>
      <c r="D936" s="190" t="s">
        <v>595</v>
      </c>
      <c r="E936" s="190" t="str">
        <f t="shared" si="30"/>
        <v/>
      </c>
    </row>
    <row r="937" spans="3:5">
      <c r="C937" s="190" t="s">
        <v>595</v>
      </c>
      <c r="D937" s="190" t="s">
        <v>595</v>
      </c>
      <c r="E937" s="190" t="str">
        <f t="shared" si="30"/>
        <v/>
      </c>
    </row>
    <row r="938" spans="3:5">
      <c r="C938" s="190" t="s">
        <v>595</v>
      </c>
      <c r="D938" s="190" t="s">
        <v>595</v>
      </c>
      <c r="E938" s="190" t="str">
        <f t="shared" si="30"/>
        <v/>
      </c>
    </row>
    <row r="939" spans="3:5">
      <c r="C939" s="190" t="s">
        <v>595</v>
      </c>
      <c r="D939" s="190" t="s">
        <v>595</v>
      </c>
      <c r="E939" s="190" t="str">
        <f t="shared" si="30"/>
        <v/>
      </c>
    </row>
    <row r="940" spans="3:5">
      <c r="C940" s="190" t="s">
        <v>595</v>
      </c>
      <c r="D940" s="190" t="s">
        <v>595</v>
      </c>
      <c r="E940" s="190" t="str">
        <f t="shared" si="30"/>
        <v/>
      </c>
    </row>
    <row r="941" spans="3:5">
      <c r="C941" s="190" t="s">
        <v>595</v>
      </c>
      <c r="D941" s="190" t="s">
        <v>595</v>
      </c>
      <c r="E941" s="190" t="str">
        <f t="shared" si="30"/>
        <v/>
      </c>
    </row>
    <row r="942" spans="3:5">
      <c r="C942" s="190" t="s">
        <v>595</v>
      </c>
      <c r="D942" s="190" t="s">
        <v>595</v>
      </c>
      <c r="E942" s="190" t="str">
        <f t="shared" si="30"/>
        <v/>
      </c>
    </row>
    <row r="943" spans="3:5">
      <c r="C943" s="190" t="s">
        <v>595</v>
      </c>
      <c r="D943" s="190" t="s">
        <v>595</v>
      </c>
      <c r="E943" s="190" t="str">
        <f t="shared" si="30"/>
        <v/>
      </c>
    </row>
    <row r="944" spans="3:5">
      <c r="C944" s="190" t="s">
        <v>595</v>
      </c>
      <c r="D944" s="190" t="s">
        <v>595</v>
      </c>
      <c r="E944" s="190" t="str">
        <f t="shared" si="30"/>
        <v/>
      </c>
    </row>
    <row r="945" spans="3:5">
      <c r="C945" s="190" t="s">
        <v>595</v>
      </c>
      <c r="D945" s="190" t="s">
        <v>595</v>
      </c>
      <c r="E945" s="190" t="str">
        <f t="shared" si="30"/>
        <v/>
      </c>
    </row>
    <row r="946" spans="3:5">
      <c r="C946" s="190" t="s">
        <v>595</v>
      </c>
      <c r="D946" s="190" t="s">
        <v>595</v>
      </c>
      <c r="E946" s="190" t="str">
        <f t="shared" si="30"/>
        <v/>
      </c>
    </row>
    <row r="947" spans="3:5">
      <c r="C947" s="190" t="s">
        <v>595</v>
      </c>
      <c r="D947" s="190" t="s">
        <v>595</v>
      </c>
      <c r="E947" s="190" t="str">
        <f t="shared" si="30"/>
        <v/>
      </c>
    </row>
    <row r="948" spans="3:5">
      <c r="C948" s="190" t="s">
        <v>595</v>
      </c>
      <c r="D948" s="190" t="s">
        <v>595</v>
      </c>
      <c r="E948" s="190" t="str">
        <f t="shared" si="30"/>
        <v/>
      </c>
    </row>
    <row r="949" spans="3:5">
      <c r="C949" s="190" t="s">
        <v>595</v>
      </c>
      <c r="D949" s="190" t="s">
        <v>595</v>
      </c>
      <c r="E949" s="190" t="str">
        <f t="shared" si="30"/>
        <v/>
      </c>
    </row>
    <row r="950" spans="3:5">
      <c r="C950" s="190" t="s">
        <v>595</v>
      </c>
      <c r="D950" s="190" t="s">
        <v>595</v>
      </c>
      <c r="E950" s="190" t="str">
        <f t="shared" si="30"/>
        <v/>
      </c>
    </row>
    <row r="951" spans="3:5">
      <c r="C951" s="190" t="s">
        <v>595</v>
      </c>
      <c r="D951" s="190" t="s">
        <v>595</v>
      </c>
      <c r="E951" s="190" t="str">
        <f t="shared" si="30"/>
        <v/>
      </c>
    </row>
    <row r="952" spans="3:5">
      <c r="C952" s="190" t="s">
        <v>595</v>
      </c>
      <c r="D952" s="190" t="s">
        <v>595</v>
      </c>
      <c r="E952" s="190" t="str">
        <f t="shared" si="30"/>
        <v/>
      </c>
    </row>
    <row r="953" spans="3:5">
      <c r="C953" s="190" t="s">
        <v>595</v>
      </c>
      <c r="D953" s="190" t="s">
        <v>595</v>
      </c>
      <c r="E953" s="190" t="str">
        <f t="shared" si="30"/>
        <v/>
      </c>
    </row>
    <row r="954" spans="3:5">
      <c r="C954" s="190" t="s">
        <v>595</v>
      </c>
      <c r="D954" s="190" t="s">
        <v>595</v>
      </c>
      <c r="E954" s="190" t="str">
        <f t="shared" si="30"/>
        <v/>
      </c>
    </row>
    <row r="955" spans="3:5">
      <c r="C955" s="190" t="s">
        <v>595</v>
      </c>
      <c r="D955" s="190" t="s">
        <v>595</v>
      </c>
      <c r="E955" s="190" t="str">
        <f t="shared" si="30"/>
        <v/>
      </c>
    </row>
    <row r="956" spans="3:5">
      <c r="C956" s="190" t="s">
        <v>595</v>
      </c>
      <c r="D956" s="190" t="s">
        <v>595</v>
      </c>
      <c r="E956" s="190" t="str">
        <f t="shared" si="30"/>
        <v/>
      </c>
    </row>
    <row r="957" spans="3:5">
      <c r="C957" s="190" t="s">
        <v>595</v>
      </c>
      <c r="D957" s="190" t="s">
        <v>595</v>
      </c>
      <c r="E957" s="190" t="str">
        <f t="shared" si="30"/>
        <v/>
      </c>
    </row>
    <row r="958" spans="3:5">
      <c r="C958" s="190" t="s">
        <v>595</v>
      </c>
      <c r="D958" s="190" t="s">
        <v>595</v>
      </c>
      <c r="E958" s="190" t="str">
        <f t="shared" si="30"/>
        <v/>
      </c>
    </row>
    <row r="959" spans="3:5">
      <c r="C959" s="190" t="s">
        <v>595</v>
      </c>
      <c r="D959" s="190" t="s">
        <v>595</v>
      </c>
      <c r="E959" s="190" t="str">
        <f t="shared" si="30"/>
        <v/>
      </c>
    </row>
    <row r="960" spans="3:5">
      <c r="C960" s="190" t="s">
        <v>595</v>
      </c>
      <c r="D960" s="190" t="s">
        <v>595</v>
      </c>
      <c r="E960" s="190" t="str">
        <f t="shared" si="30"/>
        <v/>
      </c>
    </row>
    <row r="961" spans="3:5">
      <c r="C961" s="190" t="s">
        <v>595</v>
      </c>
      <c r="D961" s="190" t="s">
        <v>595</v>
      </c>
      <c r="E961" s="190" t="str">
        <f t="shared" si="30"/>
        <v/>
      </c>
    </row>
    <row r="962" spans="3:5">
      <c r="C962" s="190" t="s">
        <v>595</v>
      </c>
      <c r="D962" s="190" t="s">
        <v>595</v>
      </c>
      <c r="E962" s="190" t="str">
        <f t="shared" si="30"/>
        <v/>
      </c>
    </row>
    <row r="963" spans="3:5">
      <c r="C963" s="190" t="s">
        <v>595</v>
      </c>
      <c r="D963" s="190" t="s">
        <v>595</v>
      </c>
      <c r="E963" s="190" t="str">
        <f t="shared" si="30"/>
        <v/>
      </c>
    </row>
    <row r="964" spans="3:5">
      <c r="C964" s="190" t="s">
        <v>595</v>
      </c>
      <c r="D964" s="190" t="s">
        <v>595</v>
      </c>
      <c r="E964" s="190" t="str">
        <f t="shared" ref="E964:E1027" si="31">IF(C964&lt;D964,C964,D964)</f>
        <v/>
      </c>
    </row>
    <row r="965" spans="3:5">
      <c r="C965" s="190" t="s">
        <v>595</v>
      </c>
      <c r="D965" s="190" t="s">
        <v>595</v>
      </c>
      <c r="E965" s="190" t="str">
        <f t="shared" si="31"/>
        <v/>
      </c>
    </row>
    <row r="966" spans="3:5">
      <c r="C966" s="190" t="s">
        <v>595</v>
      </c>
      <c r="D966" s="190" t="s">
        <v>595</v>
      </c>
      <c r="E966" s="190" t="str">
        <f t="shared" si="31"/>
        <v/>
      </c>
    </row>
    <row r="967" spans="3:5">
      <c r="C967" s="190" t="s">
        <v>595</v>
      </c>
      <c r="D967" s="190" t="s">
        <v>595</v>
      </c>
      <c r="E967" s="190" t="str">
        <f t="shared" si="31"/>
        <v/>
      </c>
    </row>
    <row r="968" spans="3:5">
      <c r="C968" s="190" t="s">
        <v>595</v>
      </c>
      <c r="D968" s="190" t="s">
        <v>595</v>
      </c>
      <c r="E968" s="190" t="str">
        <f t="shared" si="31"/>
        <v/>
      </c>
    </row>
    <row r="969" spans="3:5">
      <c r="C969" s="190" t="s">
        <v>595</v>
      </c>
      <c r="D969" s="190" t="s">
        <v>595</v>
      </c>
      <c r="E969" s="190" t="str">
        <f t="shared" si="31"/>
        <v/>
      </c>
    </row>
    <row r="970" spans="3:5">
      <c r="C970" s="190" t="s">
        <v>595</v>
      </c>
      <c r="D970" s="190" t="s">
        <v>595</v>
      </c>
      <c r="E970" s="190" t="str">
        <f t="shared" si="31"/>
        <v/>
      </c>
    </row>
    <row r="971" spans="3:5">
      <c r="C971" s="190" t="s">
        <v>595</v>
      </c>
      <c r="D971" s="190" t="s">
        <v>595</v>
      </c>
      <c r="E971" s="190" t="str">
        <f t="shared" si="31"/>
        <v/>
      </c>
    </row>
    <row r="972" spans="3:5">
      <c r="C972" s="190" t="s">
        <v>595</v>
      </c>
      <c r="D972" s="190" t="s">
        <v>595</v>
      </c>
      <c r="E972" s="190" t="str">
        <f t="shared" si="31"/>
        <v/>
      </c>
    </row>
    <row r="973" spans="3:5">
      <c r="C973" s="190" t="s">
        <v>595</v>
      </c>
      <c r="D973" s="190" t="s">
        <v>595</v>
      </c>
      <c r="E973" s="190" t="str">
        <f t="shared" si="31"/>
        <v/>
      </c>
    </row>
    <row r="974" spans="3:5">
      <c r="C974" s="190" t="s">
        <v>595</v>
      </c>
      <c r="D974" s="190" t="s">
        <v>595</v>
      </c>
      <c r="E974" s="190" t="str">
        <f t="shared" si="31"/>
        <v/>
      </c>
    </row>
    <row r="975" spans="3:5">
      <c r="C975" s="190" t="s">
        <v>595</v>
      </c>
      <c r="D975" s="190" t="s">
        <v>595</v>
      </c>
      <c r="E975" s="190" t="str">
        <f t="shared" si="31"/>
        <v/>
      </c>
    </row>
    <row r="976" spans="3:5">
      <c r="C976" s="190" t="s">
        <v>595</v>
      </c>
      <c r="D976" s="190" t="s">
        <v>595</v>
      </c>
      <c r="E976" s="190" t="str">
        <f t="shared" si="31"/>
        <v/>
      </c>
    </row>
    <row r="977" spans="3:5">
      <c r="C977" s="190" t="s">
        <v>595</v>
      </c>
      <c r="D977" s="190" t="s">
        <v>595</v>
      </c>
      <c r="E977" s="190" t="str">
        <f t="shared" si="31"/>
        <v/>
      </c>
    </row>
    <row r="978" spans="3:5">
      <c r="C978" s="190" t="s">
        <v>595</v>
      </c>
      <c r="D978" s="190" t="s">
        <v>595</v>
      </c>
      <c r="E978" s="190" t="str">
        <f t="shared" si="31"/>
        <v/>
      </c>
    </row>
    <row r="979" spans="3:5">
      <c r="C979" s="190" t="s">
        <v>595</v>
      </c>
      <c r="D979" s="190" t="s">
        <v>595</v>
      </c>
      <c r="E979" s="190" t="str">
        <f t="shared" si="31"/>
        <v/>
      </c>
    </row>
    <row r="980" spans="3:5">
      <c r="C980" s="190" t="s">
        <v>595</v>
      </c>
      <c r="D980" s="190" t="s">
        <v>595</v>
      </c>
      <c r="E980" s="190" t="str">
        <f t="shared" si="31"/>
        <v/>
      </c>
    </row>
    <row r="981" spans="3:5">
      <c r="C981" s="190" t="s">
        <v>595</v>
      </c>
      <c r="D981" s="190" t="s">
        <v>595</v>
      </c>
      <c r="E981" s="190" t="str">
        <f t="shared" si="31"/>
        <v/>
      </c>
    </row>
    <row r="982" spans="3:5">
      <c r="C982" s="190" t="s">
        <v>595</v>
      </c>
      <c r="D982" s="190" t="s">
        <v>595</v>
      </c>
      <c r="E982" s="190" t="str">
        <f t="shared" si="31"/>
        <v/>
      </c>
    </row>
    <row r="983" spans="3:5">
      <c r="C983" s="190" t="s">
        <v>595</v>
      </c>
      <c r="D983" s="190" t="s">
        <v>595</v>
      </c>
      <c r="E983" s="190" t="str">
        <f t="shared" si="31"/>
        <v/>
      </c>
    </row>
    <row r="984" spans="3:5">
      <c r="C984" s="190" t="s">
        <v>595</v>
      </c>
      <c r="D984" s="190" t="s">
        <v>595</v>
      </c>
      <c r="E984" s="190" t="str">
        <f t="shared" si="31"/>
        <v/>
      </c>
    </row>
    <row r="985" spans="3:5">
      <c r="C985" s="190" t="s">
        <v>595</v>
      </c>
      <c r="D985" s="190" t="s">
        <v>595</v>
      </c>
      <c r="E985" s="190" t="str">
        <f t="shared" si="31"/>
        <v/>
      </c>
    </row>
    <row r="986" spans="3:5">
      <c r="C986" s="190" t="s">
        <v>595</v>
      </c>
      <c r="D986" s="190" t="s">
        <v>595</v>
      </c>
      <c r="E986" s="190" t="str">
        <f t="shared" si="31"/>
        <v/>
      </c>
    </row>
    <row r="987" spans="3:5">
      <c r="C987" s="190" t="s">
        <v>595</v>
      </c>
      <c r="D987" s="190" t="s">
        <v>595</v>
      </c>
      <c r="E987" s="190" t="str">
        <f t="shared" si="31"/>
        <v/>
      </c>
    </row>
    <row r="988" spans="3:5">
      <c r="C988" s="190" t="s">
        <v>595</v>
      </c>
      <c r="D988" s="190" t="s">
        <v>595</v>
      </c>
      <c r="E988" s="190" t="str">
        <f t="shared" si="31"/>
        <v/>
      </c>
    </row>
    <row r="989" spans="3:5">
      <c r="C989" s="190" t="s">
        <v>595</v>
      </c>
      <c r="D989" s="190" t="s">
        <v>595</v>
      </c>
      <c r="E989" s="190" t="str">
        <f t="shared" si="31"/>
        <v/>
      </c>
    </row>
    <row r="990" spans="3:5">
      <c r="C990" s="190" t="s">
        <v>595</v>
      </c>
      <c r="D990" s="190" t="s">
        <v>595</v>
      </c>
      <c r="E990" s="190" t="str">
        <f t="shared" si="31"/>
        <v/>
      </c>
    </row>
    <row r="991" spans="3:5">
      <c r="C991" s="190" t="s">
        <v>595</v>
      </c>
      <c r="D991" s="190" t="s">
        <v>595</v>
      </c>
      <c r="E991" s="190" t="str">
        <f t="shared" si="31"/>
        <v/>
      </c>
    </row>
    <row r="992" spans="3:5">
      <c r="C992" s="190" t="s">
        <v>595</v>
      </c>
      <c r="D992" s="190" t="s">
        <v>595</v>
      </c>
      <c r="E992" s="190" t="str">
        <f t="shared" si="31"/>
        <v/>
      </c>
    </row>
    <row r="993" spans="3:5">
      <c r="C993" s="190" t="s">
        <v>595</v>
      </c>
      <c r="D993" s="190" t="s">
        <v>595</v>
      </c>
      <c r="E993" s="190" t="str">
        <f t="shared" si="31"/>
        <v/>
      </c>
    </row>
    <row r="994" spans="3:5">
      <c r="C994" s="190" t="s">
        <v>595</v>
      </c>
      <c r="D994" s="190" t="s">
        <v>595</v>
      </c>
      <c r="E994" s="190" t="str">
        <f t="shared" si="31"/>
        <v/>
      </c>
    </row>
    <row r="995" spans="3:5">
      <c r="C995" s="190" t="s">
        <v>595</v>
      </c>
      <c r="D995" s="190" t="s">
        <v>595</v>
      </c>
      <c r="E995" s="190" t="str">
        <f t="shared" si="31"/>
        <v/>
      </c>
    </row>
    <row r="996" spans="3:5">
      <c r="C996" s="190" t="s">
        <v>595</v>
      </c>
      <c r="D996" s="190" t="s">
        <v>595</v>
      </c>
      <c r="E996" s="190" t="str">
        <f t="shared" si="31"/>
        <v/>
      </c>
    </row>
    <row r="997" spans="3:5">
      <c r="C997" s="190" t="s">
        <v>595</v>
      </c>
      <c r="D997" s="190" t="s">
        <v>595</v>
      </c>
      <c r="E997" s="190" t="str">
        <f t="shared" si="31"/>
        <v/>
      </c>
    </row>
    <row r="998" spans="3:5">
      <c r="C998" s="190" t="s">
        <v>595</v>
      </c>
      <c r="D998" s="190" t="s">
        <v>595</v>
      </c>
      <c r="E998" s="190" t="str">
        <f t="shared" si="31"/>
        <v/>
      </c>
    </row>
    <row r="999" spans="3:5">
      <c r="C999" s="190" t="s">
        <v>595</v>
      </c>
      <c r="D999" s="190" t="s">
        <v>595</v>
      </c>
      <c r="E999" s="190" t="str">
        <f t="shared" si="31"/>
        <v/>
      </c>
    </row>
    <row r="1000" spans="3:5">
      <c r="C1000" s="190" t="s">
        <v>595</v>
      </c>
      <c r="D1000" s="190" t="s">
        <v>595</v>
      </c>
      <c r="E1000" s="190" t="str">
        <f t="shared" si="31"/>
        <v/>
      </c>
    </row>
    <row r="1001" spans="3:5">
      <c r="C1001" s="190" t="s">
        <v>595</v>
      </c>
      <c r="D1001" s="190" t="s">
        <v>595</v>
      </c>
      <c r="E1001" s="190" t="str">
        <f t="shared" si="31"/>
        <v/>
      </c>
    </row>
    <row r="1002" spans="3:5">
      <c r="C1002" s="190" t="s">
        <v>595</v>
      </c>
      <c r="D1002" s="190" t="s">
        <v>595</v>
      </c>
      <c r="E1002" s="190" t="str">
        <f t="shared" si="31"/>
        <v/>
      </c>
    </row>
    <row r="1003" spans="3:5">
      <c r="C1003" s="190" t="s">
        <v>595</v>
      </c>
      <c r="D1003" s="190" t="s">
        <v>595</v>
      </c>
      <c r="E1003" s="190" t="str">
        <f t="shared" si="31"/>
        <v/>
      </c>
    </row>
    <row r="1004" spans="3:5">
      <c r="C1004" s="190" t="s">
        <v>595</v>
      </c>
      <c r="D1004" s="190" t="s">
        <v>595</v>
      </c>
      <c r="E1004" s="190" t="str">
        <f t="shared" si="31"/>
        <v/>
      </c>
    </row>
    <row r="1005" spans="3:5">
      <c r="C1005" s="190" t="s">
        <v>595</v>
      </c>
      <c r="D1005" s="190" t="s">
        <v>595</v>
      </c>
      <c r="E1005" s="190" t="str">
        <f t="shared" si="31"/>
        <v/>
      </c>
    </row>
    <row r="1006" spans="3:5">
      <c r="C1006" s="190" t="s">
        <v>595</v>
      </c>
      <c r="D1006" s="190" t="s">
        <v>595</v>
      </c>
      <c r="E1006" s="190" t="str">
        <f t="shared" si="31"/>
        <v/>
      </c>
    </row>
    <row r="1007" spans="3:5">
      <c r="C1007" s="190" t="s">
        <v>595</v>
      </c>
      <c r="D1007" s="190" t="s">
        <v>595</v>
      </c>
      <c r="E1007" s="190" t="str">
        <f t="shared" si="31"/>
        <v/>
      </c>
    </row>
    <row r="1008" spans="3:5">
      <c r="C1008" s="190" t="s">
        <v>595</v>
      </c>
      <c r="D1008" s="190" t="s">
        <v>595</v>
      </c>
      <c r="E1008" s="190" t="str">
        <f t="shared" si="31"/>
        <v/>
      </c>
    </row>
    <row r="1009" spans="3:5">
      <c r="C1009" s="190" t="s">
        <v>595</v>
      </c>
      <c r="D1009" s="190" t="s">
        <v>595</v>
      </c>
      <c r="E1009" s="190" t="str">
        <f t="shared" si="31"/>
        <v/>
      </c>
    </row>
    <row r="1010" spans="3:5">
      <c r="C1010" s="190" t="s">
        <v>595</v>
      </c>
      <c r="D1010" s="190" t="s">
        <v>595</v>
      </c>
      <c r="E1010" s="190" t="str">
        <f t="shared" si="31"/>
        <v/>
      </c>
    </row>
    <row r="1011" spans="3:5">
      <c r="C1011" s="190" t="s">
        <v>595</v>
      </c>
      <c r="D1011" s="190" t="s">
        <v>595</v>
      </c>
      <c r="E1011" s="190" t="str">
        <f t="shared" si="31"/>
        <v/>
      </c>
    </row>
    <row r="1012" spans="3:5">
      <c r="C1012" s="190" t="s">
        <v>595</v>
      </c>
      <c r="D1012" s="190" t="s">
        <v>595</v>
      </c>
      <c r="E1012" s="190" t="str">
        <f t="shared" si="31"/>
        <v/>
      </c>
    </row>
    <row r="1013" spans="3:5">
      <c r="C1013" s="190" t="s">
        <v>595</v>
      </c>
      <c r="D1013" s="190" t="s">
        <v>595</v>
      </c>
      <c r="E1013" s="190" t="str">
        <f t="shared" si="31"/>
        <v/>
      </c>
    </row>
    <row r="1014" spans="3:5">
      <c r="C1014" s="190" t="s">
        <v>595</v>
      </c>
      <c r="D1014" s="190" t="s">
        <v>595</v>
      </c>
      <c r="E1014" s="190" t="str">
        <f t="shared" si="31"/>
        <v/>
      </c>
    </row>
    <row r="1015" spans="3:5">
      <c r="C1015" s="190" t="s">
        <v>595</v>
      </c>
      <c r="D1015" s="190" t="s">
        <v>595</v>
      </c>
      <c r="E1015" s="190" t="str">
        <f t="shared" si="31"/>
        <v/>
      </c>
    </row>
    <row r="1016" spans="3:5">
      <c r="C1016" s="190" t="s">
        <v>595</v>
      </c>
      <c r="D1016" s="190" t="s">
        <v>595</v>
      </c>
      <c r="E1016" s="190" t="str">
        <f t="shared" si="31"/>
        <v/>
      </c>
    </row>
    <row r="1017" spans="3:5">
      <c r="C1017" s="190" t="s">
        <v>595</v>
      </c>
      <c r="D1017" s="190" t="s">
        <v>595</v>
      </c>
      <c r="E1017" s="190" t="str">
        <f t="shared" si="31"/>
        <v/>
      </c>
    </row>
    <row r="1018" spans="3:5">
      <c r="C1018" s="190" t="s">
        <v>595</v>
      </c>
      <c r="D1018" s="190" t="s">
        <v>595</v>
      </c>
      <c r="E1018" s="190" t="str">
        <f t="shared" si="31"/>
        <v/>
      </c>
    </row>
    <row r="1019" spans="3:5">
      <c r="C1019" s="190" t="s">
        <v>595</v>
      </c>
      <c r="D1019" s="190" t="s">
        <v>595</v>
      </c>
      <c r="E1019" s="190" t="str">
        <f t="shared" si="31"/>
        <v/>
      </c>
    </row>
    <row r="1020" spans="3:5">
      <c r="C1020" s="190" t="s">
        <v>595</v>
      </c>
      <c r="D1020" s="190" t="s">
        <v>595</v>
      </c>
      <c r="E1020" s="190" t="str">
        <f t="shared" si="31"/>
        <v/>
      </c>
    </row>
    <row r="1021" spans="3:5">
      <c r="C1021" s="190" t="s">
        <v>595</v>
      </c>
      <c r="D1021" s="190" t="s">
        <v>595</v>
      </c>
      <c r="E1021" s="190" t="str">
        <f t="shared" si="31"/>
        <v/>
      </c>
    </row>
    <row r="1022" spans="3:5">
      <c r="C1022" s="190" t="s">
        <v>595</v>
      </c>
      <c r="D1022" s="190" t="s">
        <v>595</v>
      </c>
      <c r="E1022" s="190" t="str">
        <f t="shared" si="31"/>
        <v/>
      </c>
    </row>
    <row r="1023" spans="3:5">
      <c r="C1023" s="190" t="s">
        <v>595</v>
      </c>
      <c r="D1023" s="190" t="s">
        <v>595</v>
      </c>
      <c r="E1023" s="190" t="str">
        <f t="shared" si="31"/>
        <v/>
      </c>
    </row>
    <row r="1024" spans="3:5">
      <c r="C1024" s="190" t="s">
        <v>595</v>
      </c>
      <c r="D1024" s="190" t="s">
        <v>595</v>
      </c>
      <c r="E1024" s="190" t="str">
        <f t="shared" si="31"/>
        <v/>
      </c>
    </row>
    <row r="1025" spans="3:5">
      <c r="C1025" s="190" t="s">
        <v>595</v>
      </c>
      <c r="D1025" s="190" t="s">
        <v>595</v>
      </c>
      <c r="E1025" s="190" t="str">
        <f t="shared" si="31"/>
        <v/>
      </c>
    </row>
    <row r="1026" spans="3:5">
      <c r="C1026" s="190" t="s">
        <v>595</v>
      </c>
      <c r="D1026" s="190" t="s">
        <v>595</v>
      </c>
      <c r="E1026" s="190" t="str">
        <f t="shared" si="31"/>
        <v/>
      </c>
    </row>
    <row r="1027" spans="3:5">
      <c r="C1027" s="190" t="s">
        <v>595</v>
      </c>
      <c r="D1027" s="190" t="s">
        <v>595</v>
      </c>
      <c r="E1027" s="190" t="str">
        <f t="shared" si="31"/>
        <v/>
      </c>
    </row>
    <row r="1028" spans="3:5">
      <c r="C1028" s="190" t="s">
        <v>595</v>
      </c>
      <c r="D1028" s="190" t="s">
        <v>595</v>
      </c>
      <c r="E1028" s="190" t="str">
        <f t="shared" ref="E1028:E1091" si="32">IF(C1028&lt;D1028,C1028,D1028)</f>
        <v/>
      </c>
    </row>
    <row r="1029" spans="3:5">
      <c r="C1029" s="190" t="s">
        <v>595</v>
      </c>
      <c r="D1029" s="190" t="s">
        <v>595</v>
      </c>
      <c r="E1029" s="190" t="str">
        <f t="shared" si="32"/>
        <v/>
      </c>
    </row>
    <row r="1030" spans="3:5">
      <c r="C1030" s="190" t="s">
        <v>595</v>
      </c>
      <c r="D1030" s="190" t="s">
        <v>595</v>
      </c>
      <c r="E1030" s="190" t="str">
        <f t="shared" si="32"/>
        <v/>
      </c>
    </row>
    <row r="1031" spans="3:5">
      <c r="C1031" s="190" t="s">
        <v>595</v>
      </c>
      <c r="D1031" s="190" t="s">
        <v>595</v>
      </c>
      <c r="E1031" s="190" t="str">
        <f t="shared" si="32"/>
        <v/>
      </c>
    </row>
    <row r="1032" spans="3:5">
      <c r="C1032" s="190" t="s">
        <v>595</v>
      </c>
      <c r="D1032" s="190" t="s">
        <v>595</v>
      </c>
      <c r="E1032" s="190" t="str">
        <f t="shared" si="32"/>
        <v/>
      </c>
    </row>
    <row r="1033" spans="3:5">
      <c r="C1033" s="190" t="s">
        <v>595</v>
      </c>
      <c r="D1033" s="190" t="s">
        <v>595</v>
      </c>
      <c r="E1033" s="190" t="str">
        <f t="shared" si="32"/>
        <v/>
      </c>
    </row>
    <row r="1034" spans="3:5">
      <c r="C1034" s="190" t="s">
        <v>595</v>
      </c>
      <c r="D1034" s="190" t="s">
        <v>595</v>
      </c>
      <c r="E1034" s="190" t="str">
        <f t="shared" si="32"/>
        <v/>
      </c>
    </row>
    <row r="1035" spans="3:5">
      <c r="C1035" s="190" t="s">
        <v>595</v>
      </c>
      <c r="D1035" s="190" t="s">
        <v>595</v>
      </c>
      <c r="E1035" s="190" t="str">
        <f t="shared" si="32"/>
        <v/>
      </c>
    </row>
    <row r="1036" spans="3:5">
      <c r="C1036" s="190" t="s">
        <v>595</v>
      </c>
      <c r="D1036" s="190" t="s">
        <v>595</v>
      </c>
      <c r="E1036" s="190" t="str">
        <f t="shared" si="32"/>
        <v/>
      </c>
    </row>
    <row r="1037" spans="3:5">
      <c r="C1037" s="190" t="s">
        <v>595</v>
      </c>
      <c r="D1037" s="190" t="s">
        <v>595</v>
      </c>
      <c r="E1037" s="190" t="str">
        <f t="shared" si="32"/>
        <v/>
      </c>
    </row>
    <row r="1038" spans="3:5">
      <c r="C1038" s="190" t="s">
        <v>595</v>
      </c>
      <c r="D1038" s="190" t="s">
        <v>595</v>
      </c>
      <c r="E1038" s="190" t="str">
        <f t="shared" si="32"/>
        <v/>
      </c>
    </row>
    <row r="1039" spans="3:5">
      <c r="C1039" s="190" t="s">
        <v>595</v>
      </c>
      <c r="D1039" s="190" t="s">
        <v>595</v>
      </c>
      <c r="E1039" s="190" t="str">
        <f t="shared" si="32"/>
        <v/>
      </c>
    </row>
    <row r="1040" spans="3:5">
      <c r="C1040" s="190" t="s">
        <v>595</v>
      </c>
      <c r="D1040" s="190" t="s">
        <v>595</v>
      </c>
      <c r="E1040" s="190" t="str">
        <f t="shared" si="32"/>
        <v/>
      </c>
    </row>
    <row r="1041" spans="3:5">
      <c r="C1041" s="190" t="s">
        <v>595</v>
      </c>
      <c r="D1041" s="190" t="s">
        <v>595</v>
      </c>
      <c r="E1041" s="190" t="str">
        <f t="shared" si="32"/>
        <v/>
      </c>
    </row>
    <row r="1042" spans="3:5">
      <c r="C1042" s="190" t="s">
        <v>595</v>
      </c>
      <c r="D1042" s="190" t="s">
        <v>595</v>
      </c>
      <c r="E1042" s="190" t="str">
        <f t="shared" si="32"/>
        <v/>
      </c>
    </row>
    <row r="1043" spans="3:5">
      <c r="C1043" s="190" t="s">
        <v>595</v>
      </c>
      <c r="D1043" s="190" t="s">
        <v>595</v>
      </c>
      <c r="E1043" s="190" t="str">
        <f t="shared" si="32"/>
        <v/>
      </c>
    </row>
    <row r="1044" spans="3:5">
      <c r="C1044" s="190" t="s">
        <v>595</v>
      </c>
      <c r="D1044" s="190" t="s">
        <v>595</v>
      </c>
      <c r="E1044" s="190" t="str">
        <f t="shared" si="32"/>
        <v/>
      </c>
    </row>
    <row r="1045" spans="3:5">
      <c r="C1045" s="190" t="s">
        <v>595</v>
      </c>
      <c r="D1045" s="190" t="s">
        <v>595</v>
      </c>
      <c r="E1045" s="190" t="str">
        <f t="shared" si="32"/>
        <v/>
      </c>
    </row>
    <row r="1046" spans="3:5">
      <c r="C1046" s="190" t="s">
        <v>595</v>
      </c>
      <c r="D1046" s="190" t="s">
        <v>595</v>
      </c>
      <c r="E1046" s="190" t="str">
        <f t="shared" si="32"/>
        <v/>
      </c>
    </row>
    <row r="1047" spans="3:5">
      <c r="C1047" s="190" t="s">
        <v>595</v>
      </c>
      <c r="D1047" s="190" t="s">
        <v>595</v>
      </c>
      <c r="E1047" s="190" t="str">
        <f t="shared" si="32"/>
        <v/>
      </c>
    </row>
    <row r="1048" spans="3:5">
      <c r="C1048" s="190" t="s">
        <v>595</v>
      </c>
      <c r="D1048" s="190" t="s">
        <v>595</v>
      </c>
      <c r="E1048" s="190" t="str">
        <f t="shared" si="32"/>
        <v/>
      </c>
    </row>
    <row r="1049" spans="3:5">
      <c r="C1049" s="190" t="s">
        <v>595</v>
      </c>
      <c r="D1049" s="190" t="s">
        <v>595</v>
      </c>
      <c r="E1049" s="190" t="str">
        <f t="shared" si="32"/>
        <v/>
      </c>
    </row>
    <row r="1050" spans="3:5">
      <c r="C1050" s="190" t="s">
        <v>595</v>
      </c>
      <c r="D1050" s="190" t="s">
        <v>595</v>
      </c>
      <c r="E1050" s="190" t="str">
        <f t="shared" si="32"/>
        <v/>
      </c>
    </row>
    <row r="1051" spans="3:5">
      <c r="C1051" s="190" t="s">
        <v>595</v>
      </c>
      <c r="D1051" s="190" t="s">
        <v>595</v>
      </c>
      <c r="E1051" s="190" t="str">
        <f t="shared" si="32"/>
        <v/>
      </c>
    </row>
    <row r="1052" spans="3:5">
      <c r="C1052" s="190" t="s">
        <v>595</v>
      </c>
      <c r="D1052" s="190" t="s">
        <v>595</v>
      </c>
      <c r="E1052" s="190" t="str">
        <f t="shared" si="32"/>
        <v/>
      </c>
    </row>
    <row r="1053" spans="3:5">
      <c r="C1053" s="190" t="s">
        <v>595</v>
      </c>
      <c r="D1053" s="190" t="s">
        <v>595</v>
      </c>
      <c r="E1053" s="190" t="str">
        <f t="shared" si="32"/>
        <v/>
      </c>
    </row>
    <row r="1054" spans="3:5">
      <c r="C1054" s="190" t="s">
        <v>595</v>
      </c>
      <c r="D1054" s="190" t="s">
        <v>595</v>
      </c>
      <c r="E1054" s="190" t="str">
        <f t="shared" si="32"/>
        <v/>
      </c>
    </row>
    <row r="1055" spans="3:5">
      <c r="C1055" s="190" t="s">
        <v>595</v>
      </c>
      <c r="D1055" s="190" t="s">
        <v>595</v>
      </c>
      <c r="E1055" s="190" t="str">
        <f t="shared" si="32"/>
        <v/>
      </c>
    </row>
    <row r="1056" spans="3:5">
      <c r="C1056" s="190" t="s">
        <v>595</v>
      </c>
      <c r="D1056" s="190" t="s">
        <v>595</v>
      </c>
      <c r="E1056" s="190" t="str">
        <f t="shared" si="32"/>
        <v/>
      </c>
    </row>
    <row r="1057" spans="3:5">
      <c r="C1057" s="190" t="s">
        <v>595</v>
      </c>
      <c r="D1057" s="190" t="s">
        <v>595</v>
      </c>
      <c r="E1057" s="190" t="str">
        <f t="shared" si="32"/>
        <v/>
      </c>
    </row>
    <row r="1058" spans="3:5">
      <c r="C1058" s="190" t="s">
        <v>595</v>
      </c>
      <c r="D1058" s="190" t="s">
        <v>595</v>
      </c>
      <c r="E1058" s="190" t="str">
        <f t="shared" si="32"/>
        <v/>
      </c>
    </row>
    <row r="1059" spans="3:5">
      <c r="C1059" s="190" t="s">
        <v>595</v>
      </c>
      <c r="D1059" s="190" t="s">
        <v>595</v>
      </c>
      <c r="E1059" s="190" t="str">
        <f t="shared" si="32"/>
        <v/>
      </c>
    </row>
    <row r="1060" spans="3:5">
      <c r="C1060" s="190" t="s">
        <v>595</v>
      </c>
      <c r="D1060" s="190" t="s">
        <v>595</v>
      </c>
      <c r="E1060" s="190" t="str">
        <f t="shared" si="32"/>
        <v/>
      </c>
    </row>
    <row r="1061" spans="3:5">
      <c r="C1061" s="190" t="s">
        <v>595</v>
      </c>
      <c r="D1061" s="190" t="s">
        <v>595</v>
      </c>
      <c r="E1061" s="190" t="str">
        <f t="shared" si="32"/>
        <v/>
      </c>
    </row>
    <row r="1062" spans="3:5">
      <c r="C1062" s="190" t="s">
        <v>595</v>
      </c>
      <c r="D1062" s="190" t="s">
        <v>595</v>
      </c>
      <c r="E1062" s="190" t="str">
        <f t="shared" si="32"/>
        <v/>
      </c>
    </row>
    <row r="1063" spans="3:5">
      <c r="C1063" s="190" t="s">
        <v>595</v>
      </c>
      <c r="D1063" s="190" t="s">
        <v>595</v>
      </c>
      <c r="E1063" s="190" t="str">
        <f t="shared" si="32"/>
        <v/>
      </c>
    </row>
    <row r="1064" spans="3:5">
      <c r="C1064" s="190" t="s">
        <v>595</v>
      </c>
      <c r="D1064" s="190" t="s">
        <v>595</v>
      </c>
      <c r="E1064" s="190" t="str">
        <f t="shared" si="32"/>
        <v/>
      </c>
    </row>
    <row r="1065" spans="3:5">
      <c r="C1065" s="190" t="s">
        <v>595</v>
      </c>
      <c r="D1065" s="190" t="s">
        <v>595</v>
      </c>
      <c r="E1065" s="190" t="str">
        <f t="shared" si="32"/>
        <v/>
      </c>
    </row>
    <row r="1066" spans="3:5">
      <c r="C1066" s="190" t="s">
        <v>595</v>
      </c>
      <c r="D1066" s="190" t="s">
        <v>595</v>
      </c>
      <c r="E1066" s="190" t="str">
        <f t="shared" si="32"/>
        <v/>
      </c>
    </row>
    <row r="1067" spans="3:5">
      <c r="C1067" s="190" t="s">
        <v>595</v>
      </c>
      <c r="D1067" s="190" t="s">
        <v>595</v>
      </c>
      <c r="E1067" s="190" t="str">
        <f t="shared" si="32"/>
        <v/>
      </c>
    </row>
    <row r="1068" spans="3:5">
      <c r="C1068" s="190" t="s">
        <v>595</v>
      </c>
      <c r="D1068" s="190" t="s">
        <v>595</v>
      </c>
      <c r="E1068" s="190" t="str">
        <f t="shared" si="32"/>
        <v/>
      </c>
    </row>
    <row r="1069" spans="3:5">
      <c r="C1069" s="190" t="s">
        <v>595</v>
      </c>
      <c r="D1069" s="190" t="s">
        <v>595</v>
      </c>
      <c r="E1069" s="190" t="str">
        <f t="shared" si="32"/>
        <v/>
      </c>
    </row>
    <row r="1070" spans="3:5">
      <c r="C1070" s="190" t="s">
        <v>595</v>
      </c>
      <c r="D1070" s="190" t="s">
        <v>595</v>
      </c>
      <c r="E1070" s="190" t="str">
        <f t="shared" si="32"/>
        <v/>
      </c>
    </row>
    <row r="1071" spans="3:5">
      <c r="C1071" s="190" t="s">
        <v>595</v>
      </c>
      <c r="D1071" s="190" t="s">
        <v>595</v>
      </c>
      <c r="E1071" s="190" t="str">
        <f t="shared" si="32"/>
        <v/>
      </c>
    </row>
    <row r="1072" spans="3:5">
      <c r="C1072" s="190" t="s">
        <v>595</v>
      </c>
      <c r="D1072" s="190" t="s">
        <v>595</v>
      </c>
      <c r="E1072" s="190" t="str">
        <f t="shared" si="32"/>
        <v/>
      </c>
    </row>
    <row r="1073" spans="3:5">
      <c r="C1073" s="190" t="s">
        <v>595</v>
      </c>
      <c r="D1073" s="190" t="s">
        <v>595</v>
      </c>
      <c r="E1073" s="190" t="str">
        <f t="shared" si="32"/>
        <v/>
      </c>
    </row>
    <row r="1074" spans="3:5">
      <c r="C1074" s="190" t="s">
        <v>595</v>
      </c>
      <c r="D1074" s="190" t="s">
        <v>595</v>
      </c>
      <c r="E1074" s="190" t="str">
        <f t="shared" si="32"/>
        <v/>
      </c>
    </row>
    <row r="1075" spans="3:5">
      <c r="C1075" s="190" t="s">
        <v>595</v>
      </c>
      <c r="D1075" s="190" t="s">
        <v>595</v>
      </c>
      <c r="E1075" s="190" t="str">
        <f t="shared" si="32"/>
        <v/>
      </c>
    </row>
    <row r="1076" spans="3:5">
      <c r="C1076" s="190" t="s">
        <v>595</v>
      </c>
      <c r="D1076" s="190" t="s">
        <v>595</v>
      </c>
      <c r="E1076" s="190" t="str">
        <f t="shared" si="32"/>
        <v/>
      </c>
    </row>
    <row r="1077" spans="3:5">
      <c r="C1077" s="190" t="s">
        <v>595</v>
      </c>
      <c r="D1077" s="190" t="s">
        <v>595</v>
      </c>
      <c r="E1077" s="190" t="str">
        <f t="shared" si="32"/>
        <v/>
      </c>
    </row>
    <row r="1078" spans="3:5">
      <c r="C1078" s="190" t="s">
        <v>595</v>
      </c>
      <c r="D1078" s="190" t="s">
        <v>595</v>
      </c>
      <c r="E1078" s="190" t="str">
        <f t="shared" si="32"/>
        <v/>
      </c>
    </row>
    <row r="1079" spans="3:5">
      <c r="C1079" s="190" t="s">
        <v>595</v>
      </c>
      <c r="D1079" s="190" t="s">
        <v>595</v>
      </c>
      <c r="E1079" s="190" t="str">
        <f t="shared" si="32"/>
        <v/>
      </c>
    </row>
    <row r="1080" spans="3:5">
      <c r="C1080" s="190" t="s">
        <v>595</v>
      </c>
      <c r="D1080" s="190" t="s">
        <v>595</v>
      </c>
      <c r="E1080" s="190" t="str">
        <f t="shared" si="32"/>
        <v/>
      </c>
    </row>
    <row r="1081" spans="3:5">
      <c r="C1081" s="190" t="s">
        <v>595</v>
      </c>
      <c r="D1081" s="190" t="s">
        <v>595</v>
      </c>
      <c r="E1081" s="190" t="str">
        <f t="shared" si="32"/>
        <v/>
      </c>
    </row>
    <row r="1082" spans="3:5">
      <c r="C1082" s="190" t="s">
        <v>595</v>
      </c>
      <c r="D1082" s="190" t="s">
        <v>595</v>
      </c>
      <c r="E1082" s="190" t="str">
        <f t="shared" si="32"/>
        <v/>
      </c>
    </row>
    <row r="1083" spans="3:5">
      <c r="C1083" s="190" t="s">
        <v>595</v>
      </c>
      <c r="D1083" s="190" t="s">
        <v>595</v>
      </c>
      <c r="E1083" s="190" t="str">
        <f t="shared" si="32"/>
        <v/>
      </c>
    </row>
    <row r="1084" spans="3:5">
      <c r="C1084" s="190" t="s">
        <v>595</v>
      </c>
      <c r="D1084" s="190" t="s">
        <v>595</v>
      </c>
      <c r="E1084" s="190" t="str">
        <f t="shared" si="32"/>
        <v/>
      </c>
    </row>
    <row r="1085" spans="3:5">
      <c r="C1085" s="190" t="s">
        <v>595</v>
      </c>
      <c r="D1085" s="190" t="s">
        <v>595</v>
      </c>
      <c r="E1085" s="190" t="str">
        <f t="shared" si="32"/>
        <v/>
      </c>
    </row>
    <row r="1086" spans="3:5">
      <c r="C1086" s="190" t="s">
        <v>595</v>
      </c>
      <c r="D1086" s="190" t="s">
        <v>595</v>
      </c>
      <c r="E1086" s="190" t="str">
        <f t="shared" si="32"/>
        <v/>
      </c>
    </row>
    <row r="1087" spans="3:5">
      <c r="C1087" s="190" t="s">
        <v>595</v>
      </c>
      <c r="D1087" s="190" t="s">
        <v>595</v>
      </c>
      <c r="E1087" s="190" t="str">
        <f t="shared" si="32"/>
        <v/>
      </c>
    </row>
    <row r="1088" spans="3:5">
      <c r="C1088" s="190" t="s">
        <v>595</v>
      </c>
      <c r="D1088" s="190" t="s">
        <v>595</v>
      </c>
      <c r="E1088" s="190" t="str">
        <f t="shared" si="32"/>
        <v/>
      </c>
    </row>
    <row r="1089" spans="3:5">
      <c r="C1089" s="190" t="s">
        <v>595</v>
      </c>
      <c r="D1089" s="190" t="s">
        <v>595</v>
      </c>
      <c r="E1089" s="190" t="str">
        <f t="shared" si="32"/>
        <v/>
      </c>
    </row>
    <row r="1090" spans="3:5">
      <c r="C1090" s="190" t="s">
        <v>595</v>
      </c>
      <c r="D1090" s="190" t="s">
        <v>595</v>
      </c>
      <c r="E1090" s="190" t="str">
        <f t="shared" si="32"/>
        <v/>
      </c>
    </row>
    <row r="1091" spans="3:5">
      <c r="C1091" s="190" t="s">
        <v>595</v>
      </c>
      <c r="D1091" s="190" t="s">
        <v>595</v>
      </c>
      <c r="E1091" s="190" t="str">
        <f t="shared" si="32"/>
        <v/>
      </c>
    </row>
    <row r="1092" spans="3:5">
      <c r="C1092" s="190" t="s">
        <v>595</v>
      </c>
      <c r="D1092" s="190" t="s">
        <v>595</v>
      </c>
      <c r="E1092" s="190" t="str">
        <f t="shared" ref="E1092:E1155" si="33">IF(C1092&lt;D1092,C1092,D1092)</f>
        <v/>
      </c>
    </row>
    <row r="1093" spans="3:5">
      <c r="C1093" s="190" t="s">
        <v>595</v>
      </c>
      <c r="D1093" s="190" t="s">
        <v>595</v>
      </c>
      <c r="E1093" s="190" t="str">
        <f t="shared" si="33"/>
        <v/>
      </c>
    </row>
    <row r="1094" spans="3:5">
      <c r="C1094" s="190" t="s">
        <v>595</v>
      </c>
      <c r="D1094" s="190" t="s">
        <v>595</v>
      </c>
      <c r="E1094" s="190" t="str">
        <f t="shared" si="33"/>
        <v/>
      </c>
    </row>
    <row r="1095" spans="3:5">
      <c r="C1095" s="190" t="s">
        <v>595</v>
      </c>
      <c r="D1095" s="190" t="s">
        <v>595</v>
      </c>
      <c r="E1095" s="190" t="str">
        <f t="shared" si="33"/>
        <v/>
      </c>
    </row>
    <row r="1096" spans="3:5">
      <c r="C1096" s="190" t="s">
        <v>595</v>
      </c>
      <c r="D1096" s="190" t="s">
        <v>595</v>
      </c>
      <c r="E1096" s="190" t="str">
        <f t="shared" si="33"/>
        <v/>
      </c>
    </row>
    <row r="1097" spans="3:5">
      <c r="C1097" s="190" t="s">
        <v>595</v>
      </c>
      <c r="D1097" s="190" t="s">
        <v>595</v>
      </c>
      <c r="E1097" s="190" t="str">
        <f t="shared" si="33"/>
        <v/>
      </c>
    </row>
    <row r="1098" spans="3:5">
      <c r="C1098" s="190" t="s">
        <v>595</v>
      </c>
      <c r="D1098" s="190" t="s">
        <v>595</v>
      </c>
      <c r="E1098" s="190" t="str">
        <f t="shared" si="33"/>
        <v/>
      </c>
    </row>
    <row r="1099" spans="3:5">
      <c r="C1099" s="190" t="s">
        <v>595</v>
      </c>
      <c r="D1099" s="190" t="s">
        <v>595</v>
      </c>
      <c r="E1099" s="190" t="str">
        <f t="shared" si="33"/>
        <v/>
      </c>
    </row>
    <row r="1100" spans="3:5">
      <c r="C1100" s="190" t="s">
        <v>595</v>
      </c>
      <c r="D1100" s="190" t="s">
        <v>595</v>
      </c>
      <c r="E1100" s="190" t="str">
        <f t="shared" si="33"/>
        <v/>
      </c>
    </row>
    <row r="1101" spans="3:5">
      <c r="C1101" s="190" t="s">
        <v>595</v>
      </c>
      <c r="D1101" s="190" t="s">
        <v>595</v>
      </c>
      <c r="E1101" s="190" t="str">
        <f t="shared" si="33"/>
        <v/>
      </c>
    </row>
    <row r="1102" spans="3:5">
      <c r="C1102" s="190" t="s">
        <v>595</v>
      </c>
      <c r="D1102" s="190" t="s">
        <v>595</v>
      </c>
      <c r="E1102" s="190" t="str">
        <f t="shared" si="33"/>
        <v/>
      </c>
    </row>
    <row r="1103" spans="3:5">
      <c r="C1103" s="190" t="s">
        <v>595</v>
      </c>
      <c r="D1103" s="190" t="s">
        <v>595</v>
      </c>
      <c r="E1103" s="190" t="str">
        <f t="shared" si="33"/>
        <v/>
      </c>
    </row>
    <row r="1104" spans="3:5">
      <c r="C1104" s="190" t="s">
        <v>595</v>
      </c>
      <c r="D1104" s="190" t="s">
        <v>595</v>
      </c>
      <c r="E1104" s="190" t="str">
        <f t="shared" si="33"/>
        <v/>
      </c>
    </row>
    <row r="1105" spans="3:5">
      <c r="C1105" s="190" t="s">
        <v>595</v>
      </c>
      <c r="D1105" s="190" t="s">
        <v>595</v>
      </c>
      <c r="E1105" s="190" t="str">
        <f t="shared" si="33"/>
        <v/>
      </c>
    </row>
    <row r="1106" spans="3:5">
      <c r="C1106" s="190" t="s">
        <v>595</v>
      </c>
      <c r="D1106" s="190" t="s">
        <v>595</v>
      </c>
      <c r="E1106" s="190" t="str">
        <f t="shared" si="33"/>
        <v/>
      </c>
    </row>
    <row r="1107" spans="3:5">
      <c r="C1107" s="190" t="s">
        <v>595</v>
      </c>
      <c r="D1107" s="190" t="s">
        <v>595</v>
      </c>
      <c r="E1107" s="190" t="str">
        <f t="shared" si="33"/>
        <v/>
      </c>
    </row>
    <row r="1108" spans="3:5">
      <c r="C1108" s="190" t="s">
        <v>595</v>
      </c>
      <c r="D1108" s="190" t="s">
        <v>595</v>
      </c>
      <c r="E1108" s="190" t="str">
        <f t="shared" si="33"/>
        <v/>
      </c>
    </row>
    <row r="1109" spans="3:5">
      <c r="C1109" s="190" t="s">
        <v>595</v>
      </c>
      <c r="D1109" s="190" t="s">
        <v>595</v>
      </c>
      <c r="E1109" s="190" t="str">
        <f t="shared" si="33"/>
        <v/>
      </c>
    </row>
    <row r="1110" spans="3:5">
      <c r="C1110" s="190" t="s">
        <v>595</v>
      </c>
      <c r="D1110" s="190" t="s">
        <v>595</v>
      </c>
      <c r="E1110" s="190" t="str">
        <f t="shared" si="33"/>
        <v/>
      </c>
    </row>
    <row r="1111" spans="3:5">
      <c r="C1111" s="190" t="s">
        <v>595</v>
      </c>
      <c r="D1111" s="190" t="s">
        <v>595</v>
      </c>
      <c r="E1111" s="190" t="str">
        <f t="shared" si="33"/>
        <v/>
      </c>
    </row>
    <row r="1112" spans="3:5">
      <c r="C1112" s="190" t="s">
        <v>595</v>
      </c>
      <c r="D1112" s="190" t="s">
        <v>595</v>
      </c>
      <c r="E1112" s="190" t="str">
        <f t="shared" si="33"/>
        <v/>
      </c>
    </row>
    <row r="1113" spans="3:5">
      <c r="C1113" s="190" t="s">
        <v>595</v>
      </c>
      <c r="D1113" s="190" t="s">
        <v>595</v>
      </c>
      <c r="E1113" s="190" t="str">
        <f t="shared" si="33"/>
        <v/>
      </c>
    </row>
    <row r="1114" spans="3:5">
      <c r="C1114" s="190" t="s">
        <v>595</v>
      </c>
      <c r="D1114" s="190" t="s">
        <v>595</v>
      </c>
      <c r="E1114" s="190" t="str">
        <f t="shared" si="33"/>
        <v/>
      </c>
    </row>
    <row r="1115" spans="3:5">
      <c r="C1115" s="190" t="s">
        <v>595</v>
      </c>
      <c r="D1115" s="190" t="s">
        <v>595</v>
      </c>
      <c r="E1115" s="190" t="str">
        <f t="shared" si="33"/>
        <v/>
      </c>
    </row>
    <row r="1116" spans="3:5">
      <c r="C1116" s="190" t="s">
        <v>595</v>
      </c>
      <c r="D1116" s="190" t="s">
        <v>595</v>
      </c>
      <c r="E1116" s="190" t="str">
        <f t="shared" si="33"/>
        <v/>
      </c>
    </row>
    <row r="1117" spans="3:5">
      <c r="C1117" s="190" t="s">
        <v>595</v>
      </c>
      <c r="D1117" s="190" t="s">
        <v>595</v>
      </c>
      <c r="E1117" s="190" t="str">
        <f t="shared" si="33"/>
        <v/>
      </c>
    </row>
    <row r="1118" spans="3:5">
      <c r="C1118" s="190" t="s">
        <v>595</v>
      </c>
      <c r="D1118" s="190" t="s">
        <v>595</v>
      </c>
      <c r="E1118" s="190" t="str">
        <f t="shared" si="33"/>
        <v/>
      </c>
    </row>
    <row r="1119" spans="3:5">
      <c r="C1119" s="190" t="s">
        <v>595</v>
      </c>
      <c r="D1119" s="190" t="s">
        <v>595</v>
      </c>
      <c r="E1119" s="190" t="str">
        <f t="shared" si="33"/>
        <v/>
      </c>
    </row>
    <row r="1120" spans="3:5">
      <c r="C1120" s="190" t="s">
        <v>595</v>
      </c>
      <c r="D1120" s="190" t="s">
        <v>595</v>
      </c>
      <c r="E1120" s="190" t="str">
        <f t="shared" si="33"/>
        <v/>
      </c>
    </row>
    <row r="1121" spans="3:5">
      <c r="C1121" s="190" t="s">
        <v>595</v>
      </c>
      <c r="D1121" s="190" t="s">
        <v>595</v>
      </c>
      <c r="E1121" s="190" t="str">
        <f t="shared" si="33"/>
        <v/>
      </c>
    </row>
    <row r="1122" spans="3:5">
      <c r="C1122" s="190" t="s">
        <v>595</v>
      </c>
      <c r="D1122" s="190" t="s">
        <v>595</v>
      </c>
      <c r="E1122" s="190" t="str">
        <f t="shared" si="33"/>
        <v/>
      </c>
    </row>
    <row r="1123" spans="3:5">
      <c r="C1123" s="190" t="s">
        <v>595</v>
      </c>
      <c r="D1123" s="190" t="s">
        <v>595</v>
      </c>
      <c r="E1123" s="190" t="str">
        <f t="shared" si="33"/>
        <v/>
      </c>
    </row>
    <row r="1124" spans="3:5">
      <c r="C1124" s="190" t="s">
        <v>595</v>
      </c>
      <c r="D1124" s="190" t="s">
        <v>595</v>
      </c>
      <c r="E1124" s="190" t="str">
        <f t="shared" si="33"/>
        <v/>
      </c>
    </row>
    <row r="1125" spans="3:5">
      <c r="C1125" s="190" t="s">
        <v>595</v>
      </c>
      <c r="D1125" s="190" t="s">
        <v>595</v>
      </c>
      <c r="E1125" s="190" t="str">
        <f t="shared" si="33"/>
        <v/>
      </c>
    </row>
    <row r="1126" spans="3:5">
      <c r="C1126" s="190" t="s">
        <v>595</v>
      </c>
      <c r="D1126" s="190" t="s">
        <v>595</v>
      </c>
      <c r="E1126" s="190" t="str">
        <f t="shared" si="33"/>
        <v/>
      </c>
    </row>
    <row r="1127" spans="3:5">
      <c r="C1127" s="190" t="s">
        <v>595</v>
      </c>
      <c r="D1127" s="190" t="s">
        <v>595</v>
      </c>
      <c r="E1127" s="190" t="str">
        <f t="shared" si="33"/>
        <v/>
      </c>
    </row>
    <row r="1128" spans="3:5">
      <c r="C1128" s="190" t="s">
        <v>595</v>
      </c>
      <c r="D1128" s="190" t="s">
        <v>595</v>
      </c>
      <c r="E1128" s="190" t="str">
        <f t="shared" si="33"/>
        <v/>
      </c>
    </row>
    <row r="1129" spans="3:5">
      <c r="C1129" s="190" t="s">
        <v>595</v>
      </c>
      <c r="D1129" s="190" t="s">
        <v>595</v>
      </c>
      <c r="E1129" s="190" t="str">
        <f t="shared" si="33"/>
        <v/>
      </c>
    </row>
    <row r="1130" spans="3:5">
      <c r="C1130" s="190" t="s">
        <v>595</v>
      </c>
      <c r="D1130" s="190" t="s">
        <v>595</v>
      </c>
      <c r="E1130" s="190" t="str">
        <f t="shared" si="33"/>
        <v/>
      </c>
    </row>
    <row r="1131" spans="3:5">
      <c r="C1131" s="190" t="s">
        <v>595</v>
      </c>
      <c r="D1131" s="190" t="s">
        <v>595</v>
      </c>
      <c r="E1131" s="190" t="str">
        <f t="shared" si="33"/>
        <v/>
      </c>
    </row>
    <row r="1132" spans="3:5">
      <c r="C1132" s="190" t="s">
        <v>595</v>
      </c>
      <c r="D1132" s="190" t="s">
        <v>595</v>
      </c>
      <c r="E1132" s="190" t="str">
        <f t="shared" si="33"/>
        <v/>
      </c>
    </row>
    <row r="1133" spans="3:5">
      <c r="C1133" s="190" t="s">
        <v>595</v>
      </c>
      <c r="D1133" s="190" t="s">
        <v>595</v>
      </c>
      <c r="E1133" s="190" t="str">
        <f t="shared" si="33"/>
        <v/>
      </c>
    </row>
    <row r="1134" spans="3:5">
      <c r="C1134" s="190" t="s">
        <v>595</v>
      </c>
      <c r="D1134" s="190" t="s">
        <v>595</v>
      </c>
      <c r="E1134" s="190" t="str">
        <f t="shared" si="33"/>
        <v/>
      </c>
    </row>
    <row r="1135" spans="3:5">
      <c r="C1135" s="190" t="s">
        <v>595</v>
      </c>
      <c r="D1135" s="190" t="s">
        <v>595</v>
      </c>
      <c r="E1135" s="190" t="str">
        <f t="shared" si="33"/>
        <v/>
      </c>
    </row>
    <row r="1136" spans="3:5">
      <c r="C1136" s="190" t="s">
        <v>595</v>
      </c>
      <c r="D1136" s="190" t="s">
        <v>595</v>
      </c>
      <c r="E1136" s="190" t="str">
        <f t="shared" si="33"/>
        <v/>
      </c>
    </row>
    <row r="1137" spans="3:5">
      <c r="C1137" s="190" t="s">
        <v>595</v>
      </c>
      <c r="D1137" s="190" t="s">
        <v>595</v>
      </c>
      <c r="E1137" s="190" t="str">
        <f t="shared" si="33"/>
        <v/>
      </c>
    </row>
    <row r="1138" spans="3:5">
      <c r="C1138" s="190" t="s">
        <v>595</v>
      </c>
      <c r="D1138" s="190" t="s">
        <v>595</v>
      </c>
      <c r="E1138" s="190" t="str">
        <f t="shared" si="33"/>
        <v/>
      </c>
    </row>
    <row r="1139" spans="3:5">
      <c r="C1139" s="190" t="s">
        <v>595</v>
      </c>
      <c r="D1139" s="190" t="s">
        <v>595</v>
      </c>
      <c r="E1139" s="190" t="str">
        <f t="shared" si="33"/>
        <v/>
      </c>
    </row>
    <row r="1140" spans="3:5">
      <c r="C1140" s="190" t="s">
        <v>595</v>
      </c>
      <c r="D1140" s="190" t="s">
        <v>595</v>
      </c>
      <c r="E1140" s="190" t="str">
        <f t="shared" si="33"/>
        <v/>
      </c>
    </row>
    <row r="1141" spans="3:5">
      <c r="C1141" s="190" t="s">
        <v>595</v>
      </c>
      <c r="D1141" s="190" t="s">
        <v>595</v>
      </c>
      <c r="E1141" s="190" t="str">
        <f t="shared" si="33"/>
        <v/>
      </c>
    </row>
    <row r="1142" spans="3:5">
      <c r="C1142" s="190" t="s">
        <v>595</v>
      </c>
      <c r="D1142" s="190" t="s">
        <v>595</v>
      </c>
      <c r="E1142" s="190" t="str">
        <f t="shared" si="33"/>
        <v/>
      </c>
    </row>
    <row r="1143" spans="3:5">
      <c r="C1143" s="190" t="s">
        <v>595</v>
      </c>
      <c r="D1143" s="190" t="s">
        <v>595</v>
      </c>
      <c r="E1143" s="190" t="str">
        <f t="shared" si="33"/>
        <v/>
      </c>
    </row>
    <row r="1144" spans="3:5">
      <c r="C1144" s="190" t="s">
        <v>595</v>
      </c>
      <c r="D1144" s="190" t="s">
        <v>595</v>
      </c>
      <c r="E1144" s="190" t="str">
        <f t="shared" si="33"/>
        <v/>
      </c>
    </row>
    <row r="1145" spans="3:5">
      <c r="C1145" s="190" t="s">
        <v>595</v>
      </c>
      <c r="D1145" s="190" t="s">
        <v>595</v>
      </c>
      <c r="E1145" s="190" t="str">
        <f t="shared" si="33"/>
        <v/>
      </c>
    </row>
    <row r="1146" spans="3:5">
      <c r="C1146" s="190" t="s">
        <v>595</v>
      </c>
      <c r="D1146" s="190" t="s">
        <v>595</v>
      </c>
      <c r="E1146" s="190" t="str">
        <f t="shared" si="33"/>
        <v/>
      </c>
    </row>
    <row r="1147" spans="3:5">
      <c r="C1147" s="190" t="s">
        <v>595</v>
      </c>
      <c r="D1147" s="190" t="s">
        <v>595</v>
      </c>
      <c r="E1147" s="190" t="str">
        <f t="shared" si="33"/>
        <v/>
      </c>
    </row>
    <row r="1148" spans="3:5">
      <c r="C1148" s="190" t="s">
        <v>595</v>
      </c>
      <c r="D1148" s="190" t="s">
        <v>595</v>
      </c>
      <c r="E1148" s="190" t="str">
        <f t="shared" si="33"/>
        <v/>
      </c>
    </row>
    <row r="1149" spans="3:5">
      <c r="C1149" s="190" t="s">
        <v>595</v>
      </c>
      <c r="D1149" s="190" t="s">
        <v>595</v>
      </c>
      <c r="E1149" s="190" t="str">
        <f t="shared" si="33"/>
        <v/>
      </c>
    </row>
    <row r="1150" spans="3:5">
      <c r="C1150" s="190" t="s">
        <v>595</v>
      </c>
      <c r="D1150" s="190" t="s">
        <v>595</v>
      </c>
      <c r="E1150" s="190" t="str">
        <f t="shared" si="33"/>
        <v/>
      </c>
    </row>
    <row r="1151" spans="3:5">
      <c r="C1151" s="190" t="s">
        <v>595</v>
      </c>
      <c r="D1151" s="190" t="s">
        <v>595</v>
      </c>
      <c r="E1151" s="190" t="str">
        <f t="shared" si="33"/>
        <v/>
      </c>
    </row>
    <row r="1152" spans="3:5">
      <c r="C1152" s="190" t="s">
        <v>595</v>
      </c>
      <c r="D1152" s="190" t="s">
        <v>595</v>
      </c>
      <c r="E1152" s="190" t="str">
        <f t="shared" si="33"/>
        <v/>
      </c>
    </row>
    <row r="1153" spans="3:5">
      <c r="C1153" s="190" t="s">
        <v>595</v>
      </c>
      <c r="D1153" s="190" t="s">
        <v>595</v>
      </c>
      <c r="E1153" s="190" t="str">
        <f t="shared" si="33"/>
        <v/>
      </c>
    </row>
    <row r="1154" spans="3:5">
      <c r="C1154" s="190" t="s">
        <v>595</v>
      </c>
      <c r="D1154" s="190" t="s">
        <v>595</v>
      </c>
      <c r="E1154" s="190" t="str">
        <f t="shared" si="33"/>
        <v/>
      </c>
    </row>
    <row r="1155" spans="3:5">
      <c r="C1155" s="190" t="s">
        <v>595</v>
      </c>
      <c r="D1155" s="190" t="s">
        <v>595</v>
      </c>
      <c r="E1155" s="190" t="str">
        <f t="shared" si="33"/>
        <v/>
      </c>
    </row>
    <row r="1156" spans="3:5">
      <c r="C1156" s="190" t="s">
        <v>595</v>
      </c>
      <c r="D1156" s="190" t="s">
        <v>595</v>
      </c>
      <c r="E1156" s="190" t="str">
        <f t="shared" ref="E1156:E1209" si="34">IF(C1156&lt;D1156,C1156,D1156)</f>
        <v/>
      </c>
    </row>
    <row r="1157" spans="3:5">
      <c r="C1157" s="190" t="s">
        <v>595</v>
      </c>
      <c r="D1157" s="190" t="s">
        <v>595</v>
      </c>
      <c r="E1157" s="190" t="str">
        <f t="shared" si="34"/>
        <v/>
      </c>
    </row>
    <row r="1158" spans="3:5">
      <c r="C1158" s="190" t="s">
        <v>595</v>
      </c>
      <c r="D1158" s="190" t="s">
        <v>595</v>
      </c>
      <c r="E1158" s="190" t="str">
        <f t="shared" si="34"/>
        <v/>
      </c>
    </row>
    <row r="1159" spans="3:5">
      <c r="C1159" s="190" t="s">
        <v>595</v>
      </c>
      <c r="D1159" s="190" t="s">
        <v>595</v>
      </c>
      <c r="E1159" s="190" t="str">
        <f t="shared" si="34"/>
        <v/>
      </c>
    </row>
    <row r="1160" spans="3:5">
      <c r="C1160" s="190" t="s">
        <v>595</v>
      </c>
      <c r="D1160" s="190" t="s">
        <v>595</v>
      </c>
      <c r="E1160" s="190" t="str">
        <f t="shared" si="34"/>
        <v/>
      </c>
    </row>
    <row r="1161" spans="3:5">
      <c r="C1161" s="190" t="s">
        <v>595</v>
      </c>
      <c r="D1161" s="190" t="s">
        <v>595</v>
      </c>
      <c r="E1161" s="190" t="str">
        <f t="shared" si="34"/>
        <v/>
      </c>
    </row>
    <row r="1162" spans="3:5">
      <c r="C1162" s="190" t="s">
        <v>595</v>
      </c>
      <c r="D1162" s="190" t="s">
        <v>595</v>
      </c>
      <c r="E1162" s="190" t="str">
        <f t="shared" si="34"/>
        <v/>
      </c>
    </row>
    <row r="1163" spans="3:5">
      <c r="C1163" s="190" t="s">
        <v>595</v>
      </c>
      <c r="D1163" s="190" t="s">
        <v>595</v>
      </c>
      <c r="E1163" s="190" t="str">
        <f t="shared" si="34"/>
        <v/>
      </c>
    </row>
    <row r="1164" spans="3:5">
      <c r="C1164" s="190" t="s">
        <v>595</v>
      </c>
      <c r="D1164" s="190" t="s">
        <v>595</v>
      </c>
      <c r="E1164" s="190" t="str">
        <f t="shared" si="34"/>
        <v/>
      </c>
    </row>
    <row r="1165" spans="3:5">
      <c r="C1165" s="190" t="s">
        <v>595</v>
      </c>
      <c r="D1165" s="190" t="s">
        <v>595</v>
      </c>
      <c r="E1165" s="190" t="str">
        <f t="shared" si="34"/>
        <v/>
      </c>
    </row>
    <row r="1166" spans="3:5">
      <c r="C1166" s="190" t="s">
        <v>595</v>
      </c>
      <c r="D1166" s="190" t="s">
        <v>595</v>
      </c>
      <c r="E1166" s="190" t="str">
        <f t="shared" si="34"/>
        <v/>
      </c>
    </row>
    <row r="1167" spans="3:5">
      <c r="C1167" s="190" t="s">
        <v>595</v>
      </c>
      <c r="D1167" s="190" t="s">
        <v>595</v>
      </c>
      <c r="E1167" s="190" t="str">
        <f t="shared" si="34"/>
        <v/>
      </c>
    </row>
    <row r="1168" spans="3:5">
      <c r="C1168" s="190" t="s">
        <v>595</v>
      </c>
      <c r="D1168" s="190" t="s">
        <v>595</v>
      </c>
      <c r="E1168" s="190" t="str">
        <f t="shared" si="34"/>
        <v/>
      </c>
    </row>
    <row r="1169" spans="3:5">
      <c r="C1169" s="190" t="s">
        <v>595</v>
      </c>
      <c r="D1169" s="190" t="s">
        <v>595</v>
      </c>
      <c r="E1169" s="190" t="str">
        <f t="shared" si="34"/>
        <v/>
      </c>
    </row>
    <row r="1170" spans="3:5">
      <c r="C1170" s="190" t="s">
        <v>595</v>
      </c>
      <c r="D1170" s="190" t="s">
        <v>595</v>
      </c>
      <c r="E1170" s="190" t="str">
        <f t="shared" si="34"/>
        <v/>
      </c>
    </row>
    <row r="1171" spans="3:5">
      <c r="C1171" s="190" t="s">
        <v>595</v>
      </c>
      <c r="D1171" s="190" t="s">
        <v>595</v>
      </c>
      <c r="E1171" s="190" t="str">
        <f t="shared" si="34"/>
        <v/>
      </c>
    </row>
    <row r="1172" spans="3:5">
      <c r="C1172" s="190" t="s">
        <v>595</v>
      </c>
      <c r="D1172" s="190" t="s">
        <v>595</v>
      </c>
      <c r="E1172" s="190" t="str">
        <f t="shared" si="34"/>
        <v/>
      </c>
    </row>
    <row r="1173" spans="3:5">
      <c r="C1173" s="190" t="s">
        <v>595</v>
      </c>
      <c r="D1173" s="190" t="s">
        <v>595</v>
      </c>
      <c r="E1173" s="190" t="str">
        <f t="shared" si="34"/>
        <v/>
      </c>
    </row>
    <row r="1174" spans="3:5">
      <c r="C1174" s="190" t="s">
        <v>595</v>
      </c>
      <c r="D1174" s="190" t="s">
        <v>595</v>
      </c>
      <c r="E1174" s="190" t="str">
        <f t="shared" si="34"/>
        <v/>
      </c>
    </row>
    <row r="1175" spans="3:5">
      <c r="C1175" s="190" t="s">
        <v>595</v>
      </c>
      <c r="D1175" s="190" t="s">
        <v>595</v>
      </c>
      <c r="E1175" s="190" t="str">
        <f t="shared" si="34"/>
        <v/>
      </c>
    </row>
    <row r="1176" spans="3:5">
      <c r="C1176" s="190" t="s">
        <v>595</v>
      </c>
      <c r="D1176" s="190" t="s">
        <v>595</v>
      </c>
      <c r="E1176" s="190" t="str">
        <f t="shared" si="34"/>
        <v/>
      </c>
    </row>
    <row r="1177" spans="3:5">
      <c r="C1177" s="190" t="s">
        <v>595</v>
      </c>
      <c r="D1177" s="190" t="s">
        <v>595</v>
      </c>
      <c r="E1177" s="190" t="str">
        <f t="shared" si="34"/>
        <v/>
      </c>
    </row>
    <row r="1178" spans="3:5">
      <c r="C1178" s="190" t="s">
        <v>595</v>
      </c>
      <c r="D1178" s="190" t="s">
        <v>595</v>
      </c>
      <c r="E1178" s="190" t="str">
        <f t="shared" si="34"/>
        <v/>
      </c>
    </row>
    <row r="1179" spans="3:5">
      <c r="C1179" s="190" t="s">
        <v>595</v>
      </c>
      <c r="D1179" s="190" t="s">
        <v>595</v>
      </c>
      <c r="E1179" s="190" t="str">
        <f t="shared" si="34"/>
        <v/>
      </c>
    </row>
    <row r="1180" spans="3:5">
      <c r="C1180" s="190" t="s">
        <v>595</v>
      </c>
      <c r="D1180" s="190" t="s">
        <v>595</v>
      </c>
      <c r="E1180" s="190" t="str">
        <f t="shared" si="34"/>
        <v/>
      </c>
    </row>
    <row r="1181" spans="3:5">
      <c r="C1181" s="190" t="s">
        <v>595</v>
      </c>
      <c r="D1181" s="190" t="s">
        <v>595</v>
      </c>
      <c r="E1181" s="190" t="str">
        <f t="shared" si="34"/>
        <v/>
      </c>
    </row>
    <row r="1182" spans="3:5">
      <c r="C1182" s="190" t="s">
        <v>595</v>
      </c>
      <c r="D1182" s="190" t="s">
        <v>595</v>
      </c>
      <c r="E1182" s="190" t="str">
        <f t="shared" si="34"/>
        <v/>
      </c>
    </row>
    <row r="1183" spans="3:5">
      <c r="C1183" s="190" t="s">
        <v>595</v>
      </c>
      <c r="D1183" s="190" t="s">
        <v>595</v>
      </c>
      <c r="E1183" s="190" t="str">
        <f t="shared" si="34"/>
        <v/>
      </c>
    </row>
    <row r="1184" spans="3:5">
      <c r="C1184" s="190" t="s">
        <v>595</v>
      </c>
      <c r="D1184" s="190" t="s">
        <v>595</v>
      </c>
      <c r="E1184" s="190" t="str">
        <f t="shared" si="34"/>
        <v/>
      </c>
    </row>
    <row r="1185" spans="3:5">
      <c r="C1185" s="190" t="s">
        <v>595</v>
      </c>
      <c r="D1185" s="190" t="s">
        <v>595</v>
      </c>
      <c r="E1185" s="190" t="str">
        <f t="shared" si="34"/>
        <v/>
      </c>
    </row>
    <row r="1186" spans="3:5">
      <c r="C1186" s="190" t="s">
        <v>595</v>
      </c>
      <c r="D1186" s="190" t="s">
        <v>595</v>
      </c>
      <c r="E1186" s="190" t="str">
        <f t="shared" si="34"/>
        <v/>
      </c>
    </row>
    <row r="1187" spans="3:5">
      <c r="C1187" s="190" t="s">
        <v>595</v>
      </c>
      <c r="D1187" s="190" t="s">
        <v>595</v>
      </c>
      <c r="E1187" s="190" t="str">
        <f t="shared" si="34"/>
        <v/>
      </c>
    </row>
    <row r="1188" spans="3:5">
      <c r="C1188" s="190" t="s">
        <v>595</v>
      </c>
      <c r="D1188" s="190" t="s">
        <v>595</v>
      </c>
      <c r="E1188" s="190" t="str">
        <f t="shared" si="34"/>
        <v/>
      </c>
    </row>
    <row r="1189" spans="3:5">
      <c r="C1189" s="190" t="s">
        <v>595</v>
      </c>
      <c r="D1189" s="190" t="s">
        <v>595</v>
      </c>
      <c r="E1189" s="190" t="str">
        <f t="shared" si="34"/>
        <v/>
      </c>
    </row>
    <row r="1190" spans="3:5">
      <c r="C1190" s="190" t="s">
        <v>595</v>
      </c>
      <c r="D1190" s="190" t="s">
        <v>595</v>
      </c>
      <c r="E1190" s="190" t="str">
        <f t="shared" si="34"/>
        <v/>
      </c>
    </row>
    <row r="1191" spans="3:5">
      <c r="C1191" s="190" t="s">
        <v>595</v>
      </c>
      <c r="D1191" s="190" t="s">
        <v>595</v>
      </c>
      <c r="E1191" s="190" t="str">
        <f t="shared" si="34"/>
        <v/>
      </c>
    </row>
    <row r="1192" spans="3:5">
      <c r="C1192" s="190" t="s">
        <v>595</v>
      </c>
      <c r="D1192" s="190" t="s">
        <v>595</v>
      </c>
      <c r="E1192" s="190" t="str">
        <f t="shared" si="34"/>
        <v/>
      </c>
    </row>
    <row r="1193" spans="3:5">
      <c r="C1193" s="190" t="s">
        <v>595</v>
      </c>
      <c r="D1193" s="190" t="s">
        <v>595</v>
      </c>
      <c r="E1193" s="190" t="str">
        <f t="shared" si="34"/>
        <v/>
      </c>
    </row>
    <row r="1194" spans="3:5">
      <c r="C1194" s="190" t="s">
        <v>595</v>
      </c>
      <c r="D1194" s="190" t="s">
        <v>595</v>
      </c>
      <c r="E1194" s="190" t="str">
        <f t="shared" si="34"/>
        <v/>
      </c>
    </row>
    <row r="1195" spans="3:5">
      <c r="C1195" s="190" t="s">
        <v>595</v>
      </c>
      <c r="D1195" s="190" t="s">
        <v>595</v>
      </c>
      <c r="E1195" s="190" t="str">
        <f t="shared" si="34"/>
        <v/>
      </c>
    </row>
    <row r="1196" spans="3:5">
      <c r="C1196" s="190" t="s">
        <v>595</v>
      </c>
      <c r="D1196" s="190" t="s">
        <v>595</v>
      </c>
      <c r="E1196" s="190" t="str">
        <f t="shared" si="34"/>
        <v/>
      </c>
    </row>
    <row r="1197" spans="3:5">
      <c r="C1197" s="190" t="s">
        <v>595</v>
      </c>
      <c r="D1197" s="190" t="s">
        <v>595</v>
      </c>
      <c r="E1197" s="190" t="str">
        <f t="shared" si="34"/>
        <v/>
      </c>
    </row>
    <row r="1198" spans="3:5">
      <c r="C1198" s="190" t="s">
        <v>595</v>
      </c>
      <c r="D1198" s="190" t="s">
        <v>595</v>
      </c>
      <c r="E1198" s="190" t="str">
        <f t="shared" si="34"/>
        <v/>
      </c>
    </row>
    <row r="1199" spans="3:5">
      <c r="C1199" s="190" t="s">
        <v>595</v>
      </c>
      <c r="D1199" s="190" t="s">
        <v>595</v>
      </c>
      <c r="E1199" s="190" t="str">
        <f t="shared" si="34"/>
        <v/>
      </c>
    </row>
    <row r="1200" spans="3:5">
      <c r="C1200" s="190" t="s">
        <v>595</v>
      </c>
      <c r="D1200" s="190" t="s">
        <v>595</v>
      </c>
      <c r="E1200" s="190" t="str">
        <f t="shared" si="34"/>
        <v/>
      </c>
    </row>
    <row r="1201" spans="3:5">
      <c r="C1201" s="190" t="s">
        <v>595</v>
      </c>
      <c r="D1201" s="190" t="s">
        <v>595</v>
      </c>
      <c r="E1201" s="190" t="str">
        <f t="shared" si="34"/>
        <v/>
      </c>
    </row>
    <row r="1202" spans="3:5">
      <c r="C1202" s="190" t="s">
        <v>595</v>
      </c>
      <c r="D1202" s="190" t="s">
        <v>595</v>
      </c>
      <c r="E1202" s="190" t="str">
        <f t="shared" si="34"/>
        <v/>
      </c>
    </row>
    <row r="1203" spans="3:5">
      <c r="C1203" s="190" t="s">
        <v>595</v>
      </c>
      <c r="D1203" s="190" t="s">
        <v>595</v>
      </c>
      <c r="E1203" s="190" t="str">
        <f t="shared" si="34"/>
        <v/>
      </c>
    </row>
    <row r="1204" spans="3:5">
      <c r="C1204" s="190" t="s">
        <v>595</v>
      </c>
      <c r="D1204" s="190" t="s">
        <v>595</v>
      </c>
      <c r="E1204" s="190" t="str">
        <f t="shared" si="34"/>
        <v/>
      </c>
    </row>
    <row r="1205" spans="3:5">
      <c r="C1205" s="190" t="s">
        <v>595</v>
      </c>
      <c r="D1205" s="190" t="s">
        <v>595</v>
      </c>
      <c r="E1205" s="190" t="str">
        <f t="shared" si="34"/>
        <v/>
      </c>
    </row>
    <row r="1206" spans="3:5">
      <c r="C1206" s="190" t="s">
        <v>595</v>
      </c>
      <c r="D1206" s="190" t="s">
        <v>595</v>
      </c>
      <c r="E1206" s="190" t="str">
        <f t="shared" si="34"/>
        <v/>
      </c>
    </row>
    <row r="1207" spans="3:5">
      <c r="C1207" s="190" t="s">
        <v>595</v>
      </c>
      <c r="D1207" s="190" t="s">
        <v>595</v>
      </c>
      <c r="E1207" s="190" t="str">
        <f t="shared" si="34"/>
        <v/>
      </c>
    </row>
    <row r="1208" spans="3:5">
      <c r="C1208" s="190" t="s">
        <v>595</v>
      </c>
      <c r="D1208" s="190" t="s">
        <v>595</v>
      </c>
      <c r="E1208" s="190" t="str">
        <f t="shared" si="34"/>
        <v/>
      </c>
    </row>
    <row r="1209" spans="3:5">
      <c r="C1209" s="190" t="s">
        <v>595</v>
      </c>
      <c r="D1209" s="190" t="s">
        <v>595</v>
      </c>
      <c r="E1209" s="190" t="str">
        <f t="shared" si="34"/>
        <v/>
      </c>
    </row>
  </sheetData>
  <sortState ref="K3:M398">
    <sortCondition ref="K3:K398"/>
  </sortState>
  <mergeCells count="1">
    <mergeCell ref="C2:E2"/>
  </mergeCell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9"/>
  <dimension ref="B2:K449"/>
  <sheetViews>
    <sheetView showGridLines="0" showRowColHeaders="0" topLeftCell="A344" workbookViewId="0">
      <selection activeCell="C17" sqref="C17"/>
    </sheetView>
  </sheetViews>
  <sheetFormatPr baseColWidth="10" defaultRowHeight="11.25"/>
  <cols>
    <col min="1" max="2" width="11.42578125" style="177"/>
    <col min="3" max="3" width="13.42578125" style="177" bestFit="1" customWidth="1"/>
    <col min="4" max="9" width="11.42578125" style="177"/>
    <col min="10" max="10" width="11.42578125" style="253"/>
    <col min="11" max="16384" width="11.42578125" style="177"/>
  </cols>
  <sheetData>
    <row r="2" spans="2:11">
      <c r="B2" s="157" t="s">
        <v>26</v>
      </c>
    </row>
    <row r="3" spans="2:11" ht="22.5">
      <c r="B3" s="254" t="s">
        <v>30</v>
      </c>
      <c r="C3" s="255" t="s">
        <v>31</v>
      </c>
      <c r="D3" s="277" t="s">
        <v>152</v>
      </c>
      <c r="E3" s="256" t="s">
        <v>32</v>
      </c>
      <c r="F3" s="256" t="s">
        <v>33</v>
      </c>
      <c r="G3" s="255" t="s">
        <v>34</v>
      </c>
      <c r="H3" s="257"/>
      <c r="I3" s="258"/>
      <c r="J3" s="259"/>
    </row>
    <row r="4" spans="2:11">
      <c r="B4" s="260" t="s">
        <v>178</v>
      </c>
      <c r="C4" s="261" t="s">
        <v>179</v>
      </c>
      <c r="D4" s="262"/>
      <c r="E4" s="263">
        <f>Dat_02!C3</f>
        <v>161.72530520799984</v>
      </c>
      <c r="F4" s="263">
        <f>Dat_02!D3</f>
        <v>106.79032108965163</v>
      </c>
      <c r="G4" s="263">
        <f>Dat_02!E3</f>
        <v>106.79032108965163</v>
      </c>
      <c r="I4" s="264" t="str">
        <f>Dat_02!F3</f>
        <v/>
      </c>
      <c r="J4" s="276" t="str">
        <f>IF(Dat_02!G3=0,"",Dat_02!G3)</f>
        <v/>
      </c>
      <c r="K4" s="177" t="str">
        <f>IF(J4=0,"",J4)</f>
        <v/>
      </c>
    </row>
    <row r="5" spans="2:11">
      <c r="B5" s="262"/>
      <c r="C5" s="261" t="s">
        <v>180</v>
      </c>
      <c r="D5" s="262"/>
      <c r="E5" s="263">
        <f>Dat_02!C4</f>
        <v>128.14030725199848</v>
      </c>
      <c r="F5" s="263">
        <f>Dat_02!D4</f>
        <v>106.79032108965163</v>
      </c>
      <c r="G5" s="263">
        <f>Dat_02!E4</f>
        <v>106.79032108965163</v>
      </c>
      <c r="I5" s="264" t="str">
        <f>Dat_02!F4</f>
        <v/>
      </c>
      <c r="J5" s="276" t="str">
        <f>IF(Dat_02!G4=0,"",Dat_02!G4)</f>
        <v/>
      </c>
    </row>
    <row r="6" spans="2:11">
      <c r="B6" s="260"/>
      <c r="C6" s="261" t="s">
        <v>181</v>
      </c>
      <c r="D6" s="260"/>
      <c r="E6" s="263">
        <f>Dat_02!C5</f>
        <v>130.10232026000128</v>
      </c>
      <c r="F6" s="263">
        <f>Dat_02!D5</f>
        <v>106.79032108965163</v>
      </c>
      <c r="G6" s="263">
        <f>Dat_02!E5</f>
        <v>106.79032108965163</v>
      </c>
      <c r="I6" s="264" t="str">
        <f>Dat_02!F5</f>
        <v/>
      </c>
      <c r="J6" s="276" t="str">
        <f>IF(Dat_02!G5=0,"",Dat_02!G5)</f>
        <v/>
      </c>
    </row>
    <row r="7" spans="2:11">
      <c r="B7" s="260"/>
      <c r="C7" s="261" t="s">
        <v>182</v>
      </c>
      <c r="D7" s="260"/>
      <c r="E7" s="263">
        <f>Dat_02!C6</f>
        <v>132.97824705199886</v>
      </c>
      <c r="F7" s="263">
        <f>Dat_02!D6</f>
        <v>106.79032108965163</v>
      </c>
      <c r="G7" s="263">
        <f>Dat_02!E6</f>
        <v>106.79032108965163</v>
      </c>
      <c r="I7" s="264" t="str">
        <f>Dat_02!F6</f>
        <v/>
      </c>
      <c r="J7" s="276" t="str">
        <f>IF(Dat_02!G6=0,"",Dat_02!G6)</f>
        <v/>
      </c>
    </row>
    <row r="8" spans="2:11">
      <c r="B8" s="260"/>
      <c r="C8" s="261" t="s">
        <v>183</v>
      </c>
      <c r="D8" s="260"/>
      <c r="E8" s="263">
        <f>Dat_02!C7</f>
        <v>121.63721203200132</v>
      </c>
      <c r="F8" s="263">
        <f>Dat_02!D7</f>
        <v>106.79032108965163</v>
      </c>
      <c r="G8" s="263">
        <f>Dat_02!E7</f>
        <v>106.79032108965163</v>
      </c>
      <c r="I8" s="264" t="str">
        <f>Dat_02!F7</f>
        <v/>
      </c>
      <c r="J8" s="276" t="str">
        <f>IF(Dat_02!G7=0,"",Dat_02!G7)</f>
        <v/>
      </c>
    </row>
    <row r="9" spans="2:11">
      <c r="B9" s="260"/>
      <c r="C9" s="261" t="s">
        <v>184</v>
      </c>
      <c r="D9" s="260"/>
      <c r="E9" s="263">
        <f>Dat_02!C8</f>
        <v>137.34454470200009</v>
      </c>
      <c r="F9" s="263">
        <f>Dat_02!D8</f>
        <v>106.79032108965163</v>
      </c>
      <c r="G9" s="263">
        <f>Dat_02!E8</f>
        <v>106.79032108965163</v>
      </c>
      <c r="I9" s="264" t="str">
        <f>Dat_02!F8</f>
        <v/>
      </c>
      <c r="J9" s="276" t="str">
        <f>IF(Dat_02!G8=0,"",Dat_02!G8)</f>
        <v/>
      </c>
    </row>
    <row r="10" spans="2:11">
      <c r="B10" s="260"/>
      <c r="C10" s="261" t="s">
        <v>185</v>
      </c>
      <c r="D10" s="260"/>
      <c r="E10" s="263">
        <f>Dat_02!C9</f>
        <v>105.71225961999892</v>
      </c>
      <c r="F10" s="263">
        <f>Dat_02!D9</f>
        <v>106.79032108965163</v>
      </c>
      <c r="G10" s="263">
        <f>Dat_02!E9</f>
        <v>105.71225961999892</v>
      </c>
      <c r="I10" s="264" t="str">
        <f>Dat_02!F9</f>
        <v/>
      </c>
      <c r="J10" s="276" t="str">
        <f>IF(Dat_02!G9=0,"",Dat_02!G9)</f>
        <v/>
      </c>
    </row>
    <row r="11" spans="2:11">
      <c r="B11" s="260"/>
      <c r="C11" s="261" t="s">
        <v>186</v>
      </c>
      <c r="D11" s="260"/>
      <c r="E11" s="263">
        <f>Dat_02!C10</f>
        <v>145.71779165999999</v>
      </c>
      <c r="F11" s="263">
        <f>Dat_02!D10</f>
        <v>106.79032108965163</v>
      </c>
      <c r="G11" s="263">
        <f>Dat_02!E10</f>
        <v>106.79032108965163</v>
      </c>
      <c r="I11" s="264" t="str">
        <f>Dat_02!F10</f>
        <v/>
      </c>
      <c r="J11" s="276" t="str">
        <f>IF(Dat_02!G10=0,"",Dat_02!G10)</f>
        <v/>
      </c>
    </row>
    <row r="12" spans="2:11">
      <c r="B12" s="260"/>
      <c r="C12" s="261" t="s">
        <v>187</v>
      </c>
      <c r="D12" s="260"/>
      <c r="E12" s="263">
        <f>Dat_02!C11</f>
        <v>132.12742509399988</v>
      </c>
      <c r="F12" s="263">
        <f>Dat_02!D11</f>
        <v>106.79032108965163</v>
      </c>
      <c r="G12" s="263">
        <f>Dat_02!E11</f>
        <v>106.79032108965163</v>
      </c>
      <c r="I12" s="264" t="str">
        <f>Dat_02!F11</f>
        <v/>
      </c>
      <c r="J12" s="276" t="str">
        <f>IF(Dat_02!G11=0,"",Dat_02!G11)</f>
        <v/>
      </c>
    </row>
    <row r="13" spans="2:11">
      <c r="B13" s="260"/>
      <c r="C13" s="261" t="s">
        <v>188</v>
      </c>
      <c r="D13" s="260"/>
      <c r="E13" s="263">
        <f>Dat_02!C12</f>
        <v>120.99884701200124</v>
      </c>
      <c r="F13" s="263">
        <f>Dat_02!D12</f>
        <v>106.79032108965163</v>
      </c>
      <c r="G13" s="263">
        <f>Dat_02!E12</f>
        <v>106.79032108965163</v>
      </c>
      <c r="I13" s="264" t="str">
        <f>Dat_02!F12</f>
        <v/>
      </c>
      <c r="J13" s="276" t="str">
        <f>IF(Dat_02!G12=0,"",Dat_02!G12)</f>
        <v/>
      </c>
    </row>
    <row r="14" spans="2:11">
      <c r="B14" s="260"/>
      <c r="C14" s="261" t="s">
        <v>189</v>
      </c>
      <c r="D14" s="260"/>
      <c r="E14" s="263">
        <f>Dat_02!C13</f>
        <v>102.25985699999903</v>
      </c>
      <c r="F14" s="263">
        <f>Dat_02!D13</f>
        <v>106.79032108965163</v>
      </c>
      <c r="G14" s="263">
        <f>Dat_02!E13</f>
        <v>102.25985699999903</v>
      </c>
      <c r="I14" s="264" t="str">
        <f>Dat_02!F13</f>
        <v/>
      </c>
      <c r="J14" s="276" t="str">
        <f>IF(Dat_02!G13=0,"",Dat_02!G13)</f>
        <v/>
      </c>
    </row>
    <row r="15" spans="2:11">
      <c r="B15" s="260"/>
      <c r="C15" s="261" t="s">
        <v>190</v>
      </c>
      <c r="D15" s="260"/>
      <c r="E15" s="263">
        <f>Dat_02!C14</f>
        <v>136.62566195999943</v>
      </c>
      <c r="F15" s="263">
        <f>Dat_02!D14</f>
        <v>106.79032108965163</v>
      </c>
      <c r="G15" s="263">
        <f>Dat_02!E14</f>
        <v>106.79032108965163</v>
      </c>
      <c r="I15" s="264" t="str">
        <f>Dat_02!F14</f>
        <v/>
      </c>
      <c r="J15" s="276" t="str">
        <f>IF(Dat_02!G14=0,"",Dat_02!G14)</f>
        <v/>
      </c>
    </row>
    <row r="16" spans="2:11">
      <c r="B16" s="260"/>
      <c r="C16" s="261" t="s">
        <v>191</v>
      </c>
      <c r="D16" s="260"/>
      <c r="E16" s="263">
        <f>Dat_02!C15</f>
        <v>128.66054245799978</v>
      </c>
      <c r="F16" s="263">
        <f>Dat_02!D15</f>
        <v>106.79032108965163</v>
      </c>
      <c r="G16" s="263">
        <f>Dat_02!E15</f>
        <v>106.79032108965163</v>
      </c>
      <c r="I16" s="264" t="str">
        <f>Dat_02!F15</f>
        <v/>
      </c>
      <c r="J16" s="276" t="str">
        <f>IF(Dat_02!G15=0,"",Dat_02!G15)</f>
        <v/>
      </c>
    </row>
    <row r="17" spans="2:10">
      <c r="B17" s="260"/>
      <c r="C17" s="261" t="s">
        <v>192</v>
      </c>
      <c r="D17" s="260"/>
      <c r="E17" s="263">
        <f>Dat_02!C16</f>
        <v>130.08930832800002</v>
      </c>
      <c r="F17" s="263">
        <f>Dat_02!D16</f>
        <v>106.79032108965163</v>
      </c>
      <c r="G17" s="263">
        <f>Dat_02!E16</f>
        <v>106.79032108965163</v>
      </c>
      <c r="I17" s="264" t="str">
        <f>Dat_02!F16</f>
        <v/>
      </c>
      <c r="J17" s="276" t="str">
        <f>IF(Dat_02!G16=0,"",Dat_02!G16)</f>
        <v/>
      </c>
    </row>
    <row r="18" spans="2:10">
      <c r="B18" s="260"/>
      <c r="C18" s="261" t="s">
        <v>193</v>
      </c>
      <c r="D18" s="260"/>
      <c r="E18" s="263">
        <f>Dat_02!C17</f>
        <v>99.303679692001751</v>
      </c>
      <c r="F18" s="263">
        <f>Dat_02!D17</f>
        <v>106.79032108965163</v>
      </c>
      <c r="G18" s="263">
        <f>Dat_02!E17</f>
        <v>99.303679692001751</v>
      </c>
      <c r="I18" s="264" t="str">
        <f>Dat_02!F17</f>
        <v>M</v>
      </c>
      <c r="J18" s="276">
        <f>IF(Dat_02!G17=0,"",Dat_02!G17)</f>
        <v>106.79032108965163</v>
      </c>
    </row>
    <row r="19" spans="2:10">
      <c r="B19" s="260"/>
      <c r="C19" s="261" t="s">
        <v>194</v>
      </c>
      <c r="D19" s="260"/>
      <c r="E19" s="263">
        <f>Dat_02!C18</f>
        <v>88.95340967199833</v>
      </c>
      <c r="F19" s="263">
        <f>Dat_02!D18</f>
        <v>106.79032108965163</v>
      </c>
      <c r="G19" s="263">
        <f>Dat_02!E18</f>
        <v>88.95340967199833</v>
      </c>
      <c r="I19" s="264" t="str">
        <f>Dat_02!F18</f>
        <v/>
      </c>
      <c r="J19" s="276" t="str">
        <f>IF(Dat_02!G18=0,"",Dat_02!G18)</f>
        <v/>
      </c>
    </row>
    <row r="20" spans="2:10">
      <c r="B20" s="260"/>
      <c r="C20" s="261" t="s">
        <v>195</v>
      </c>
      <c r="D20" s="260"/>
      <c r="E20" s="263">
        <f>Dat_02!C19</f>
        <v>87.102957502001004</v>
      </c>
      <c r="F20" s="263">
        <f>Dat_02!D19</f>
        <v>106.79032108965163</v>
      </c>
      <c r="G20" s="263">
        <f>Dat_02!E19</f>
        <v>87.102957502001004</v>
      </c>
      <c r="I20" s="264" t="str">
        <f>Dat_02!F19</f>
        <v/>
      </c>
      <c r="J20" s="276" t="str">
        <f>IF(Dat_02!G19=0,"",Dat_02!G19)</f>
        <v/>
      </c>
    </row>
    <row r="21" spans="2:10">
      <c r="B21" s="260"/>
      <c r="C21" s="261" t="s">
        <v>196</v>
      </c>
      <c r="D21" s="260"/>
      <c r="E21" s="263">
        <f>Dat_02!C20</f>
        <v>84.90524368799916</v>
      </c>
      <c r="F21" s="263">
        <f>Dat_02!D20</f>
        <v>106.79032108965163</v>
      </c>
      <c r="G21" s="263">
        <f>Dat_02!E20</f>
        <v>84.90524368799916</v>
      </c>
      <c r="I21" s="264" t="str">
        <f>Dat_02!F20</f>
        <v/>
      </c>
      <c r="J21" s="276" t="str">
        <f>IF(Dat_02!G20=0,"",Dat_02!G20)</f>
        <v/>
      </c>
    </row>
    <row r="22" spans="2:10">
      <c r="B22" s="260"/>
      <c r="C22" s="261" t="s">
        <v>197</v>
      </c>
      <c r="D22" s="260"/>
      <c r="E22" s="263">
        <f>Dat_02!C21</f>
        <v>106.68403058400047</v>
      </c>
      <c r="F22" s="263">
        <f>Dat_02!D21</f>
        <v>106.79032108965163</v>
      </c>
      <c r="G22" s="263">
        <f>Dat_02!E21</f>
        <v>106.68403058400047</v>
      </c>
      <c r="I22" s="264" t="str">
        <f>Dat_02!F21</f>
        <v/>
      </c>
      <c r="J22" s="276" t="str">
        <f>IF(Dat_02!G21=0,"",Dat_02!G21)</f>
        <v/>
      </c>
    </row>
    <row r="23" spans="2:10">
      <c r="B23" s="260"/>
      <c r="C23" s="261" t="s">
        <v>198</v>
      </c>
      <c r="D23" s="260"/>
      <c r="E23" s="263">
        <f>Dat_02!C22</f>
        <v>94.50606752400013</v>
      </c>
      <c r="F23" s="263">
        <f>Dat_02!D22</f>
        <v>106.79032108965163</v>
      </c>
      <c r="G23" s="263">
        <f>Dat_02!E22</f>
        <v>94.50606752400013</v>
      </c>
      <c r="I23" s="264" t="str">
        <f>Dat_02!F22</f>
        <v/>
      </c>
      <c r="J23" s="276" t="str">
        <f>IF(Dat_02!G22=0,"",Dat_02!G22)</f>
        <v/>
      </c>
    </row>
    <row r="24" spans="2:10">
      <c r="B24" s="260"/>
      <c r="C24" s="261" t="s">
        <v>199</v>
      </c>
      <c r="D24" s="260"/>
      <c r="E24" s="263">
        <f>Dat_02!C23</f>
        <v>111.65829537600005</v>
      </c>
      <c r="F24" s="263">
        <f>Dat_02!D23</f>
        <v>106.79032108965163</v>
      </c>
      <c r="G24" s="263">
        <f>Dat_02!E23</f>
        <v>106.79032108965163</v>
      </c>
      <c r="I24" s="264" t="str">
        <f>Dat_02!F23</f>
        <v/>
      </c>
      <c r="J24" s="276" t="str">
        <f>IF(Dat_02!G23=0,"",Dat_02!G23)</f>
        <v/>
      </c>
    </row>
    <row r="25" spans="2:10">
      <c r="B25" s="260"/>
      <c r="C25" s="261" t="s">
        <v>200</v>
      </c>
      <c r="D25" s="260"/>
      <c r="E25" s="263">
        <f>Dat_02!C24</f>
        <v>106.2375112060008</v>
      </c>
      <c r="F25" s="263">
        <f>Dat_02!D24</f>
        <v>106.79032108965163</v>
      </c>
      <c r="G25" s="263">
        <f>Dat_02!E24</f>
        <v>106.2375112060008</v>
      </c>
      <c r="I25" s="264" t="str">
        <f>Dat_02!F24</f>
        <v/>
      </c>
      <c r="J25" s="276" t="str">
        <f>IF(Dat_02!G24=0,"",Dat_02!G24)</f>
        <v/>
      </c>
    </row>
    <row r="26" spans="2:10">
      <c r="B26" s="260"/>
      <c r="C26" s="261" t="s">
        <v>201</v>
      </c>
      <c r="D26" s="260"/>
      <c r="E26" s="263">
        <f>Dat_02!C25</f>
        <v>88.031645835999271</v>
      </c>
      <c r="F26" s="263">
        <f>Dat_02!D25</f>
        <v>106.79032108965163</v>
      </c>
      <c r="G26" s="263">
        <f>Dat_02!E25</f>
        <v>88.031645835999271</v>
      </c>
      <c r="I26" s="264" t="str">
        <f>Dat_02!F25</f>
        <v/>
      </c>
      <c r="J26" s="276" t="str">
        <f>IF(Dat_02!G25=0,"",Dat_02!G25)</f>
        <v/>
      </c>
    </row>
    <row r="27" spans="2:10">
      <c r="B27" s="260"/>
      <c r="C27" s="261" t="s">
        <v>202</v>
      </c>
      <c r="D27" s="260"/>
      <c r="E27" s="263">
        <f>Dat_02!C26</f>
        <v>114.12441026600068</v>
      </c>
      <c r="F27" s="263">
        <f>Dat_02!D26</f>
        <v>106.79032108965163</v>
      </c>
      <c r="G27" s="263">
        <f>Dat_02!E26</f>
        <v>106.79032108965163</v>
      </c>
      <c r="I27" s="264" t="str">
        <f>Dat_02!F26</f>
        <v/>
      </c>
      <c r="J27" s="276" t="str">
        <f>IF(Dat_02!G26=0,"",Dat_02!G26)</f>
        <v/>
      </c>
    </row>
    <row r="28" spans="2:10">
      <c r="B28" s="260"/>
      <c r="C28" s="261" t="s">
        <v>203</v>
      </c>
      <c r="D28" s="260"/>
      <c r="E28" s="263">
        <f>Dat_02!C27</f>
        <v>107.27422800799881</v>
      </c>
      <c r="F28" s="263">
        <f>Dat_02!D27</f>
        <v>106.79032108965163</v>
      </c>
      <c r="G28" s="263">
        <f>Dat_02!E27</f>
        <v>106.79032108965163</v>
      </c>
      <c r="I28" s="264" t="str">
        <f>Dat_02!F27</f>
        <v/>
      </c>
      <c r="J28" s="276" t="str">
        <f>IF(Dat_02!G27=0,"",Dat_02!G27)</f>
        <v/>
      </c>
    </row>
    <row r="29" spans="2:10">
      <c r="B29" s="260"/>
      <c r="C29" s="261" t="s">
        <v>204</v>
      </c>
      <c r="D29" s="260"/>
      <c r="E29" s="263">
        <f>Dat_02!C28</f>
        <v>136.31577750000025</v>
      </c>
      <c r="F29" s="263">
        <f>Dat_02!D28</f>
        <v>106.79032108965163</v>
      </c>
      <c r="G29" s="263">
        <f>Dat_02!E28</f>
        <v>106.79032108965163</v>
      </c>
      <c r="I29" s="264" t="str">
        <f>Dat_02!F28</f>
        <v/>
      </c>
      <c r="J29" s="276" t="str">
        <f>IF(Dat_02!G28=0,"",Dat_02!G28)</f>
        <v/>
      </c>
    </row>
    <row r="30" spans="2:10">
      <c r="B30" s="260"/>
      <c r="C30" s="261" t="s">
        <v>205</v>
      </c>
      <c r="D30" s="260"/>
      <c r="E30" s="263">
        <f>Dat_02!C29</f>
        <v>113.51445925200046</v>
      </c>
      <c r="F30" s="263">
        <f>Dat_02!D29</f>
        <v>106.79032108965163</v>
      </c>
      <c r="G30" s="263">
        <f>Dat_02!E29</f>
        <v>106.79032108965163</v>
      </c>
      <c r="I30" s="264" t="str">
        <f>Dat_02!F29</f>
        <v/>
      </c>
      <c r="J30" s="276" t="str">
        <f>IF(Dat_02!G29=0,"",Dat_02!G29)</f>
        <v/>
      </c>
    </row>
    <row r="31" spans="2:10">
      <c r="B31" s="260"/>
      <c r="C31" s="261" t="s">
        <v>206</v>
      </c>
      <c r="D31" s="260"/>
      <c r="E31" s="263">
        <f>Dat_02!C30</f>
        <v>133.85437754600059</v>
      </c>
      <c r="F31" s="263">
        <f>Dat_02!D30</f>
        <v>106.79032108965163</v>
      </c>
      <c r="G31" s="263">
        <f>Dat_02!E30</f>
        <v>106.79032108965163</v>
      </c>
      <c r="I31" s="264" t="str">
        <f>Dat_02!F30</f>
        <v/>
      </c>
      <c r="J31" s="276" t="str">
        <f>IF(Dat_02!G30=0,"",Dat_02!G30)</f>
        <v/>
      </c>
    </row>
    <row r="32" spans="2:10">
      <c r="B32" s="260"/>
      <c r="C32" s="261" t="s">
        <v>207</v>
      </c>
      <c r="D32" s="260"/>
      <c r="E32" s="263">
        <f>Dat_02!C31</f>
        <v>196.8115773079987</v>
      </c>
      <c r="F32" s="263">
        <f>Dat_02!D31</f>
        <v>106.79032108965163</v>
      </c>
      <c r="G32" s="263">
        <f>Dat_02!E31</f>
        <v>106.79032108965163</v>
      </c>
      <c r="I32" s="264" t="str">
        <f>Dat_02!F31</f>
        <v/>
      </c>
      <c r="J32" s="276" t="str">
        <f>IF(Dat_02!G31=0,"",Dat_02!G31)</f>
        <v/>
      </c>
    </row>
    <row r="33" spans="2:10">
      <c r="B33" s="260"/>
      <c r="C33" s="261" t="s">
        <v>208</v>
      </c>
      <c r="D33" s="260"/>
      <c r="E33" s="263">
        <f>Dat_02!C32</f>
        <v>102.41424729200045</v>
      </c>
      <c r="F33" s="263">
        <f>Dat_02!D32</f>
        <v>106.79032108965163</v>
      </c>
      <c r="G33" s="263">
        <f>Dat_02!E32</f>
        <v>102.41424729200045</v>
      </c>
      <c r="I33" s="264" t="str">
        <f>Dat_02!F32</f>
        <v/>
      </c>
      <c r="J33" s="276" t="str">
        <f>IF(Dat_02!G32=0,"",Dat_02!G32)</f>
        <v/>
      </c>
    </row>
    <row r="34" spans="2:10">
      <c r="B34" s="260"/>
      <c r="C34" s="261" t="s">
        <v>209</v>
      </c>
      <c r="D34" s="262"/>
      <c r="E34" s="263">
        <f>Dat_02!C33</f>
        <v>135.24416343399946</v>
      </c>
      <c r="F34" s="263">
        <f>Dat_02!D33</f>
        <v>106.79032108965163</v>
      </c>
      <c r="G34" s="263">
        <f>Dat_02!E33</f>
        <v>106.79032108965163</v>
      </c>
      <c r="I34" s="264" t="str">
        <f>Dat_02!F33</f>
        <v/>
      </c>
      <c r="J34" s="276" t="str">
        <f>IF(Dat_02!G33=0,"",Dat_02!G33)</f>
        <v/>
      </c>
    </row>
    <row r="35" spans="2:10">
      <c r="B35" s="262" t="s">
        <v>210</v>
      </c>
      <c r="C35" s="261" t="s">
        <v>211</v>
      </c>
      <c r="D35" s="262"/>
      <c r="E35" s="263">
        <f>Dat_02!C34</f>
        <v>133.4193510379998</v>
      </c>
      <c r="F35" s="263">
        <f>Dat_02!D34</f>
        <v>64.364342968573325</v>
      </c>
      <c r="G35" s="263">
        <f>Dat_02!E34</f>
        <v>64.364342968573325</v>
      </c>
      <c r="I35" s="264" t="str">
        <f>Dat_02!F34</f>
        <v/>
      </c>
      <c r="J35" s="276" t="str">
        <f>IF(Dat_02!G34=0,"",Dat_02!G34)</f>
        <v/>
      </c>
    </row>
    <row r="36" spans="2:10">
      <c r="B36" s="260"/>
      <c r="C36" s="261" t="s">
        <v>212</v>
      </c>
      <c r="D36" s="262"/>
      <c r="E36" s="263">
        <f>Dat_02!C35</f>
        <v>110.18032657600038</v>
      </c>
      <c r="F36" s="263">
        <f>Dat_02!D35</f>
        <v>64.364342968573325</v>
      </c>
      <c r="G36" s="263">
        <f>Dat_02!E35</f>
        <v>64.364342968573325</v>
      </c>
      <c r="I36" s="264" t="str">
        <f>Dat_02!F35</f>
        <v/>
      </c>
      <c r="J36" s="276" t="str">
        <f>IF(Dat_02!G35=0,"",Dat_02!G35)</f>
        <v/>
      </c>
    </row>
    <row r="37" spans="2:10">
      <c r="B37" s="260"/>
      <c r="C37" s="261" t="s">
        <v>213</v>
      </c>
      <c r="D37" s="260"/>
      <c r="E37" s="263">
        <f>Dat_02!C36</f>
        <v>133.15294642200035</v>
      </c>
      <c r="F37" s="263">
        <f>Dat_02!D36</f>
        <v>64.364342968573325</v>
      </c>
      <c r="G37" s="263">
        <f>Dat_02!E36</f>
        <v>64.364342968573325</v>
      </c>
      <c r="I37" s="264" t="str">
        <f>Dat_02!F36</f>
        <v/>
      </c>
      <c r="J37" s="276" t="str">
        <f>IF(Dat_02!G36=0,"",Dat_02!G36)</f>
        <v/>
      </c>
    </row>
    <row r="38" spans="2:10">
      <c r="B38" s="260"/>
      <c r="C38" s="261" t="s">
        <v>214</v>
      </c>
      <c r="D38" s="260"/>
      <c r="E38" s="263">
        <f>Dat_02!C37</f>
        <v>125.17872412600038</v>
      </c>
      <c r="F38" s="263">
        <f>Dat_02!D37</f>
        <v>64.364342968573325</v>
      </c>
      <c r="G38" s="263">
        <f>Dat_02!E37</f>
        <v>64.364342968573325</v>
      </c>
      <c r="I38" s="264" t="str">
        <f>Dat_02!F37</f>
        <v/>
      </c>
      <c r="J38" s="276" t="str">
        <f>IF(Dat_02!G37=0,"",Dat_02!G37)</f>
        <v/>
      </c>
    </row>
    <row r="39" spans="2:10">
      <c r="B39" s="260"/>
      <c r="C39" s="261" t="s">
        <v>215</v>
      </c>
      <c r="D39" s="260"/>
      <c r="E39" s="263">
        <f>Dat_02!C38</f>
        <v>108.23437664799874</v>
      </c>
      <c r="F39" s="263">
        <f>Dat_02!D38</f>
        <v>64.364342968573325</v>
      </c>
      <c r="G39" s="263">
        <f>Dat_02!E38</f>
        <v>64.364342968573325</v>
      </c>
      <c r="I39" s="264" t="str">
        <f>Dat_02!F38</f>
        <v/>
      </c>
      <c r="J39" s="276" t="str">
        <f>IF(Dat_02!G38=0,"",Dat_02!G38)</f>
        <v/>
      </c>
    </row>
    <row r="40" spans="2:10">
      <c r="B40" s="260"/>
      <c r="C40" s="261" t="s">
        <v>216</v>
      </c>
      <c r="D40" s="260"/>
      <c r="E40" s="263">
        <f>Dat_02!C39</f>
        <v>152.09634927200131</v>
      </c>
      <c r="F40" s="263">
        <f>Dat_02!D39</f>
        <v>64.364342968573325</v>
      </c>
      <c r="G40" s="263">
        <f>Dat_02!E39</f>
        <v>64.364342968573325</v>
      </c>
      <c r="I40" s="264" t="str">
        <f>Dat_02!F39</f>
        <v/>
      </c>
      <c r="J40" s="276" t="str">
        <f>IF(Dat_02!G39=0,"",Dat_02!G39)</f>
        <v/>
      </c>
    </row>
    <row r="41" spans="2:10">
      <c r="B41" s="260"/>
      <c r="C41" s="261" t="s">
        <v>217</v>
      </c>
      <c r="D41" s="260"/>
      <c r="E41" s="263">
        <f>Dat_02!C40</f>
        <v>122.25881915199908</v>
      </c>
      <c r="F41" s="263">
        <f>Dat_02!D40</f>
        <v>64.364342968573325</v>
      </c>
      <c r="G41" s="263">
        <f>Dat_02!E40</f>
        <v>64.364342968573325</v>
      </c>
      <c r="I41" s="264" t="str">
        <f>Dat_02!F40</f>
        <v/>
      </c>
      <c r="J41" s="276" t="str">
        <f>IF(Dat_02!G40=0,"",Dat_02!G40)</f>
        <v/>
      </c>
    </row>
    <row r="42" spans="2:10">
      <c r="B42" s="260"/>
      <c r="C42" s="261" t="s">
        <v>218</v>
      </c>
      <c r="D42" s="260"/>
      <c r="E42" s="263">
        <f>Dat_02!C41</f>
        <v>155.68748897000077</v>
      </c>
      <c r="F42" s="263">
        <f>Dat_02!D41</f>
        <v>64.364342968573325</v>
      </c>
      <c r="G42" s="263">
        <f>Dat_02!E41</f>
        <v>64.364342968573325</v>
      </c>
      <c r="I42" s="264" t="str">
        <f>Dat_02!F41</f>
        <v/>
      </c>
      <c r="J42" s="276" t="str">
        <f>IF(Dat_02!G41=0,"",Dat_02!G41)</f>
        <v/>
      </c>
    </row>
    <row r="43" spans="2:10">
      <c r="B43" s="260"/>
      <c r="C43" s="261" t="s">
        <v>219</v>
      </c>
      <c r="D43" s="260"/>
      <c r="E43" s="263">
        <f>Dat_02!C42</f>
        <v>156.4325545899992</v>
      </c>
      <c r="F43" s="263">
        <f>Dat_02!D42</f>
        <v>64.364342968573325</v>
      </c>
      <c r="G43" s="263">
        <f>Dat_02!E42</f>
        <v>64.364342968573325</v>
      </c>
      <c r="I43" s="264" t="str">
        <f>Dat_02!F42</f>
        <v/>
      </c>
      <c r="J43" s="276" t="str">
        <f>IF(Dat_02!G42=0,"",Dat_02!G42)</f>
        <v/>
      </c>
    </row>
    <row r="44" spans="2:10">
      <c r="B44" s="260"/>
      <c r="C44" s="261" t="s">
        <v>220</v>
      </c>
      <c r="D44" s="260"/>
      <c r="E44" s="263">
        <f>Dat_02!C43</f>
        <v>160.33901424999965</v>
      </c>
      <c r="F44" s="263">
        <f>Dat_02!D43</f>
        <v>64.364342968573325</v>
      </c>
      <c r="G44" s="263">
        <f>Dat_02!E43</f>
        <v>64.364342968573325</v>
      </c>
      <c r="I44" s="264" t="str">
        <f>Dat_02!F43</f>
        <v/>
      </c>
      <c r="J44" s="276" t="str">
        <f>IF(Dat_02!G43=0,"",Dat_02!G43)</f>
        <v/>
      </c>
    </row>
    <row r="45" spans="2:10">
      <c r="B45" s="260"/>
      <c r="C45" s="261" t="s">
        <v>221</v>
      </c>
      <c r="D45" s="260"/>
      <c r="E45" s="263">
        <f>Dat_02!C44</f>
        <v>172.07760785200099</v>
      </c>
      <c r="F45" s="263">
        <f>Dat_02!D44</f>
        <v>64.364342968573325</v>
      </c>
      <c r="G45" s="263">
        <f>Dat_02!E44</f>
        <v>64.364342968573325</v>
      </c>
      <c r="I45" s="264" t="str">
        <f>Dat_02!F44</f>
        <v/>
      </c>
      <c r="J45" s="276" t="str">
        <f>IF(Dat_02!G44=0,"",Dat_02!G44)</f>
        <v/>
      </c>
    </row>
    <row r="46" spans="2:10">
      <c r="B46" s="260"/>
      <c r="C46" s="261" t="s">
        <v>222</v>
      </c>
      <c r="D46" s="260"/>
      <c r="E46" s="263">
        <f>Dat_02!C45</f>
        <v>141.57988600799985</v>
      </c>
      <c r="F46" s="263">
        <f>Dat_02!D45</f>
        <v>64.364342968573325</v>
      </c>
      <c r="G46" s="263">
        <f>Dat_02!E45</f>
        <v>64.364342968573325</v>
      </c>
      <c r="I46" s="264" t="str">
        <f>Dat_02!F45</f>
        <v/>
      </c>
      <c r="J46" s="276" t="str">
        <f>IF(Dat_02!G45=0,"",Dat_02!G45)</f>
        <v/>
      </c>
    </row>
    <row r="47" spans="2:10">
      <c r="B47" s="260"/>
      <c r="C47" s="261" t="s">
        <v>223</v>
      </c>
      <c r="D47" s="260"/>
      <c r="E47" s="263">
        <f>Dat_02!C46</f>
        <v>134.07056026200041</v>
      </c>
      <c r="F47" s="263">
        <f>Dat_02!D46</f>
        <v>64.364342968573325</v>
      </c>
      <c r="G47" s="263">
        <f>Dat_02!E46</f>
        <v>64.364342968573325</v>
      </c>
      <c r="I47" s="264" t="str">
        <f>Dat_02!F46</f>
        <v/>
      </c>
      <c r="J47" s="276" t="str">
        <f>IF(Dat_02!G46=0,"",Dat_02!G46)</f>
        <v/>
      </c>
    </row>
    <row r="48" spans="2:10">
      <c r="B48" s="260"/>
      <c r="C48" s="261" t="s">
        <v>224</v>
      </c>
      <c r="D48" s="260"/>
      <c r="E48" s="263">
        <f>Dat_02!C47</f>
        <v>154.59246782799877</v>
      </c>
      <c r="F48" s="263">
        <f>Dat_02!D47</f>
        <v>64.364342968573325</v>
      </c>
      <c r="G48" s="263">
        <f>Dat_02!E47</f>
        <v>64.364342968573325</v>
      </c>
      <c r="I48" s="264" t="str">
        <f>Dat_02!F47</f>
        <v/>
      </c>
      <c r="J48" s="276" t="str">
        <f>IF(Dat_02!G47=0,"",Dat_02!G47)</f>
        <v/>
      </c>
    </row>
    <row r="49" spans="2:10">
      <c r="B49" s="260"/>
      <c r="C49" s="261" t="s">
        <v>225</v>
      </c>
      <c r="D49" s="260"/>
      <c r="E49" s="263">
        <f>Dat_02!C48</f>
        <v>125.90825040400162</v>
      </c>
      <c r="F49" s="263">
        <f>Dat_02!D48</f>
        <v>64.364342968573325</v>
      </c>
      <c r="G49" s="263">
        <f>Dat_02!E48</f>
        <v>64.364342968573325</v>
      </c>
      <c r="I49" s="264" t="str">
        <f>Dat_02!F48</f>
        <v>J</v>
      </c>
      <c r="J49" s="276">
        <f>IF(Dat_02!G48=0,"",Dat_02!G48)</f>
        <v>64.364342968573325</v>
      </c>
    </row>
    <row r="50" spans="2:10">
      <c r="B50" s="260"/>
      <c r="C50" s="261" t="s">
        <v>226</v>
      </c>
      <c r="D50" s="260"/>
      <c r="E50" s="263">
        <f>Dat_02!C49</f>
        <v>133.9081081279995</v>
      </c>
      <c r="F50" s="263">
        <f>Dat_02!D49</f>
        <v>64.364342968573325</v>
      </c>
      <c r="G50" s="263">
        <f>Dat_02!E49</f>
        <v>64.364342968573325</v>
      </c>
      <c r="I50" s="264" t="str">
        <f>Dat_02!F49</f>
        <v/>
      </c>
      <c r="J50" s="276" t="str">
        <f>IF(Dat_02!G49=0,"",Dat_02!G49)</f>
        <v/>
      </c>
    </row>
    <row r="51" spans="2:10">
      <c r="B51" s="260"/>
      <c r="C51" s="261" t="s">
        <v>227</v>
      </c>
      <c r="D51" s="260"/>
      <c r="E51" s="263">
        <f>Dat_02!C50</f>
        <v>101.51889465599892</v>
      </c>
      <c r="F51" s="263">
        <f>Dat_02!D50</f>
        <v>64.364342968573325</v>
      </c>
      <c r="G51" s="263">
        <f>Dat_02!E50</f>
        <v>64.364342968573325</v>
      </c>
      <c r="I51" s="264" t="str">
        <f>Dat_02!F50</f>
        <v/>
      </c>
      <c r="J51" s="276" t="str">
        <f>IF(Dat_02!G50=0,"",Dat_02!G50)</f>
        <v/>
      </c>
    </row>
    <row r="52" spans="2:10">
      <c r="B52" s="260"/>
      <c r="C52" s="261" t="s">
        <v>228</v>
      </c>
      <c r="D52" s="260"/>
      <c r="E52" s="263">
        <f>Dat_02!C51</f>
        <v>131.62562380799994</v>
      </c>
      <c r="F52" s="263">
        <f>Dat_02!D51</f>
        <v>64.364342968573325</v>
      </c>
      <c r="G52" s="263">
        <f>Dat_02!E51</f>
        <v>64.364342968573325</v>
      </c>
      <c r="I52" s="264" t="str">
        <f>Dat_02!F51</f>
        <v/>
      </c>
      <c r="J52" s="276" t="str">
        <f>IF(Dat_02!G51=0,"",Dat_02!G51)</f>
        <v/>
      </c>
    </row>
    <row r="53" spans="2:10">
      <c r="B53" s="260"/>
      <c r="C53" s="261" t="s">
        <v>229</v>
      </c>
      <c r="D53" s="260"/>
      <c r="E53" s="263">
        <f>Dat_02!C52</f>
        <v>94.112740128000382</v>
      </c>
      <c r="F53" s="263">
        <f>Dat_02!D52</f>
        <v>64.364342968573325</v>
      </c>
      <c r="G53" s="263">
        <f>Dat_02!E52</f>
        <v>64.364342968573325</v>
      </c>
      <c r="I53" s="264" t="str">
        <f>Dat_02!F52</f>
        <v/>
      </c>
      <c r="J53" s="276" t="str">
        <f>IF(Dat_02!G52=0,"",Dat_02!G52)</f>
        <v/>
      </c>
    </row>
    <row r="54" spans="2:10">
      <c r="B54" s="260"/>
      <c r="C54" s="261" t="s">
        <v>230</v>
      </c>
      <c r="D54" s="260"/>
      <c r="E54" s="263">
        <f>Dat_02!C53</f>
        <v>98.465471891999769</v>
      </c>
      <c r="F54" s="263">
        <f>Dat_02!D53</f>
        <v>64.364342968573325</v>
      </c>
      <c r="G54" s="263">
        <f>Dat_02!E53</f>
        <v>64.364342968573325</v>
      </c>
      <c r="I54" s="264" t="str">
        <f>Dat_02!F53</f>
        <v/>
      </c>
      <c r="J54" s="276" t="str">
        <f>IF(Dat_02!G53=0,"",Dat_02!G53)</f>
        <v/>
      </c>
    </row>
    <row r="55" spans="2:10">
      <c r="B55" s="260"/>
      <c r="C55" s="261" t="s">
        <v>231</v>
      </c>
      <c r="D55" s="260"/>
      <c r="E55" s="263">
        <f>Dat_02!C54</f>
        <v>94.196145864000982</v>
      </c>
      <c r="F55" s="263">
        <f>Dat_02!D54</f>
        <v>64.364342968573325</v>
      </c>
      <c r="G55" s="263">
        <f>Dat_02!E54</f>
        <v>64.364342968573325</v>
      </c>
      <c r="I55" s="264" t="str">
        <f>Dat_02!F54</f>
        <v/>
      </c>
      <c r="J55" s="276" t="str">
        <f>IF(Dat_02!G54=0,"",Dat_02!G54)</f>
        <v/>
      </c>
    </row>
    <row r="56" spans="2:10">
      <c r="B56" s="260"/>
      <c r="C56" s="261" t="s">
        <v>232</v>
      </c>
      <c r="D56" s="260"/>
      <c r="E56" s="263">
        <f>Dat_02!C55</f>
        <v>97.591259735998847</v>
      </c>
      <c r="F56" s="263">
        <f>Dat_02!D55</f>
        <v>64.364342968573325</v>
      </c>
      <c r="G56" s="263">
        <f>Dat_02!E55</f>
        <v>64.364342968573325</v>
      </c>
      <c r="I56" s="264" t="str">
        <f>Dat_02!F55</f>
        <v/>
      </c>
      <c r="J56" s="276" t="str">
        <f>IF(Dat_02!G55=0,"",Dat_02!G55)</f>
        <v/>
      </c>
    </row>
    <row r="57" spans="2:10">
      <c r="B57" s="260"/>
      <c r="C57" s="261" t="s">
        <v>233</v>
      </c>
      <c r="D57" s="260"/>
      <c r="E57" s="263">
        <f>Dat_02!C56</f>
        <v>69.968979008001455</v>
      </c>
      <c r="F57" s="263">
        <f>Dat_02!D56</f>
        <v>64.364342968573325</v>
      </c>
      <c r="G57" s="263">
        <f>Dat_02!E56</f>
        <v>64.364342968573325</v>
      </c>
      <c r="I57" s="264" t="str">
        <f>Dat_02!F56</f>
        <v/>
      </c>
      <c r="J57" s="276" t="str">
        <f>IF(Dat_02!G56=0,"",Dat_02!G56)</f>
        <v/>
      </c>
    </row>
    <row r="58" spans="2:10">
      <c r="B58" s="260"/>
      <c r="C58" s="261" t="s">
        <v>234</v>
      </c>
      <c r="D58" s="260"/>
      <c r="E58" s="263">
        <f>Dat_02!C57</f>
        <v>80.501374501998754</v>
      </c>
      <c r="F58" s="263">
        <f>Dat_02!D57</f>
        <v>64.364342968573325</v>
      </c>
      <c r="G58" s="263">
        <f>Dat_02!E57</f>
        <v>64.364342968573325</v>
      </c>
      <c r="I58" s="264" t="str">
        <f>Dat_02!F57</f>
        <v/>
      </c>
      <c r="J58" s="276" t="str">
        <f>IF(Dat_02!G57=0,"",Dat_02!G57)</f>
        <v/>
      </c>
    </row>
    <row r="59" spans="2:10">
      <c r="B59" s="260"/>
      <c r="C59" s="261" t="s">
        <v>235</v>
      </c>
      <c r="D59" s="260"/>
      <c r="E59" s="263">
        <f>Dat_02!C58</f>
        <v>98.954845599999828</v>
      </c>
      <c r="F59" s="263">
        <f>Dat_02!D58</f>
        <v>64.364342968573325</v>
      </c>
      <c r="G59" s="263">
        <f>Dat_02!E58</f>
        <v>64.364342968573325</v>
      </c>
      <c r="I59" s="264" t="str">
        <f>Dat_02!F58</f>
        <v/>
      </c>
      <c r="J59" s="276" t="str">
        <f>IF(Dat_02!G58=0,"",Dat_02!G58)</f>
        <v/>
      </c>
    </row>
    <row r="60" spans="2:10">
      <c r="B60" s="260"/>
      <c r="C60" s="261" t="s">
        <v>236</v>
      </c>
      <c r="D60" s="260"/>
      <c r="E60" s="263">
        <f>Dat_02!C59</f>
        <v>80.246829246000971</v>
      </c>
      <c r="F60" s="263">
        <f>Dat_02!D59</f>
        <v>64.364342968573325</v>
      </c>
      <c r="G60" s="263">
        <f>Dat_02!E59</f>
        <v>64.364342968573325</v>
      </c>
      <c r="I60" s="264" t="str">
        <f>Dat_02!F59</f>
        <v/>
      </c>
      <c r="J60" s="276" t="str">
        <f>IF(Dat_02!G59=0,"",Dat_02!G59)</f>
        <v/>
      </c>
    </row>
    <row r="61" spans="2:10">
      <c r="B61" s="260"/>
      <c r="C61" s="261" t="s">
        <v>237</v>
      </c>
      <c r="D61" s="260"/>
      <c r="E61" s="263">
        <f>Dat_02!C60</f>
        <v>70.490488656000196</v>
      </c>
      <c r="F61" s="263">
        <f>Dat_02!D60</f>
        <v>64.364342968573325</v>
      </c>
      <c r="G61" s="263">
        <f>Dat_02!E60</f>
        <v>64.364342968573325</v>
      </c>
      <c r="I61" s="264" t="str">
        <f>Dat_02!F60</f>
        <v/>
      </c>
      <c r="J61" s="276" t="str">
        <f>IF(Dat_02!G60=0,"",Dat_02!G60)</f>
        <v/>
      </c>
    </row>
    <row r="62" spans="2:10">
      <c r="B62" s="260"/>
      <c r="C62" s="261" t="s">
        <v>238</v>
      </c>
      <c r="D62" s="260"/>
      <c r="E62" s="263">
        <f>Dat_02!C61</f>
        <v>76.580155204000334</v>
      </c>
      <c r="F62" s="263">
        <f>Dat_02!D61</f>
        <v>64.364342968573325</v>
      </c>
      <c r="G62" s="263">
        <f>Dat_02!E61</f>
        <v>64.364342968573325</v>
      </c>
      <c r="I62" s="264" t="str">
        <f>Dat_02!F61</f>
        <v/>
      </c>
      <c r="J62" s="276" t="str">
        <f>IF(Dat_02!G61=0,"",Dat_02!G61)</f>
        <v/>
      </c>
    </row>
    <row r="63" spans="2:10">
      <c r="B63" s="260"/>
      <c r="C63" s="261" t="s">
        <v>239</v>
      </c>
      <c r="D63" s="260"/>
      <c r="E63" s="263">
        <f>Dat_02!C62</f>
        <v>84.080646497999098</v>
      </c>
      <c r="F63" s="263">
        <f>Dat_02!D62</f>
        <v>64.364342968573325</v>
      </c>
      <c r="G63" s="263">
        <f>Dat_02!E62</f>
        <v>64.364342968573325</v>
      </c>
      <c r="I63" s="264" t="str">
        <f>Dat_02!F62</f>
        <v/>
      </c>
      <c r="J63" s="276" t="str">
        <f>IF(Dat_02!G62=0,"",Dat_02!G62)</f>
        <v/>
      </c>
    </row>
    <row r="64" spans="2:10">
      <c r="B64" s="262"/>
      <c r="C64" s="267" t="s">
        <v>240</v>
      </c>
      <c r="D64" s="260"/>
      <c r="E64" s="263">
        <f>Dat_02!C63</f>
        <v>94.433545259999349</v>
      </c>
      <c r="F64" s="263">
        <f>Dat_02!D63</f>
        <v>64.364342968573325</v>
      </c>
      <c r="G64" s="263">
        <f>Dat_02!E63</f>
        <v>64.364342968573325</v>
      </c>
      <c r="I64" s="264" t="str">
        <f>Dat_02!F63</f>
        <v/>
      </c>
      <c r="J64" s="276" t="str">
        <f>IF(Dat_02!G63=0,"",Dat_02!G63)</f>
        <v/>
      </c>
    </row>
    <row r="65" spans="2:10">
      <c r="B65" s="260" t="s">
        <v>241</v>
      </c>
      <c r="C65" s="261" t="s">
        <v>242</v>
      </c>
      <c r="D65" s="262"/>
      <c r="E65" s="263">
        <f>Dat_02!C64</f>
        <v>83.330001070001217</v>
      </c>
      <c r="F65" s="263">
        <f>Dat_02!D64</f>
        <v>28.016997662909688</v>
      </c>
      <c r="G65" s="263">
        <f>Dat_02!E64</f>
        <v>28.016997662909688</v>
      </c>
      <c r="I65" s="264" t="str">
        <f>Dat_02!F64</f>
        <v/>
      </c>
      <c r="J65" s="276" t="str">
        <f>IF(Dat_02!G64=0,"",Dat_02!G64)</f>
        <v/>
      </c>
    </row>
    <row r="66" spans="2:10">
      <c r="B66" s="262"/>
      <c r="C66" s="261" t="s">
        <v>243</v>
      </c>
      <c r="D66" s="262"/>
      <c r="E66" s="263">
        <f>Dat_02!C65</f>
        <v>87.416896355998901</v>
      </c>
      <c r="F66" s="263">
        <f>Dat_02!D65</f>
        <v>28.016997662909688</v>
      </c>
      <c r="G66" s="263">
        <f>Dat_02!E65</f>
        <v>28.016997662909688</v>
      </c>
      <c r="I66" s="264" t="str">
        <f>Dat_02!F65</f>
        <v/>
      </c>
      <c r="J66" s="276" t="str">
        <f>IF(Dat_02!G65=0,"",Dat_02!G65)</f>
        <v/>
      </c>
    </row>
    <row r="67" spans="2:10">
      <c r="B67" s="260"/>
      <c r="C67" s="261" t="s">
        <v>244</v>
      </c>
      <c r="D67" s="260"/>
      <c r="E67" s="263">
        <f>Dat_02!C66</f>
        <v>84.809404732000431</v>
      </c>
      <c r="F67" s="263">
        <f>Dat_02!D66</f>
        <v>28.016997662909688</v>
      </c>
      <c r="G67" s="263">
        <f>Dat_02!E66</f>
        <v>28.016997662909688</v>
      </c>
      <c r="I67" s="264" t="str">
        <f>Dat_02!F66</f>
        <v/>
      </c>
      <c r="J67" s="276" t="str">
        <f>IF(Dat_02!G66=0,"",Dat_02!G66)</f>
        <v/>
      </c>
    </row>
    <row r="68" spans="2:10">
      <c r="B68" s="260"/>
      <c r="C68" s="261" t="s">
        <v>245</v>
      </c>
      <c r="D68" s="260"/>
      <c r="E68" s="263">
        <f>Dat_02!C67</f>
        <v>85.798804398000115</v>
      </c>
      <c r="F68" s="263">
        <f>Dat_02!D67</f>
        <v>28.016997662909688</v>
      </c>
      <c r="G68" s="263">
        <f>Dat_02!E67</f>
        <v>28.016997662909688</v>
      </c>
      <c r="I68" s="264" t="str">
        <f>Dat_02!F67</f>
        <v/>
      </c>
      <c r="J68" s="276" t="str">
        <f>IF(Dat_02!G67=0,"",Dat_02!G67)</f>
        <v/>
      </c>
    </row>
    <row r="69" spans="2:10">
      <c r="B69" s="260"/>
      <c r="C69" s="261" t="s">
        <v>246</v>
      </c>
      <c r="D69" s="260"/>
      <c r="E69" s="263">
        <f>Dat_02!C68</f>
        <v>69.064277566000456</v>
      </c>
      <c r="F69" s="263">
        <f>Dat_02!D68</f>
        <v>28.016997662909688</v>
      </c>
      <c r="G69" s="263">
        <f>Dat_02!E68</f>
        <v>28.016997662909688</v>
      </c>
      <c r="I69" s="264" t="str">
        <f>Dat_02!F68</f>
        <v/>
      </c>
      <c r="J69" s="276" t="str">
        <f>IF(Dat_02!G68=0,"",Dat_02!G68)</f>
        <v/>
      </c>
    </row>
    <row r="70" spans="2:10">
      <c r="B70" s="260"/>
      <c r="C70" s="261" t="s">
        <v>247</v>
      </c>
      <c r="D70" s="260"/>
      <c r="E70" s="263">
        <f>Dat_02!C69</f>
        <v>83.773244238000345</v>
      </c>
      <c r="F70" s="263">
        <f>Dat_02!D69</f>
        <v>28.016997662909688</v>
      </c>
      <c r="G70" s="263">
        <f>Dat_02!E69</f>
        <v>28.016997662909688</v>
      </c>
      <c r="I70" s="264" t="str">
        <f>Dat_02!F69</f>
        <v/>
      </c>
      <c r="J70" s="276" t="str">
        <f>IF(Dat_02!G69=0,"",Dat_02!G69)</f>
        <v/>
      </c>
    </row>
    <row r="71" spans="2:10">
      <c r="B71" s="260"/>
      <c r="C71" s="261" t="s">
        <v>248</v>
      </c>
      <c r="D71" s="260"/>
      <c r="E71" s="263">
        <f>Dat_02!C70</f>
        <v>62.496441319999867</v>
      </c>
      <c r="F71" s="263">
        <f>Dat_02!D70</f>
        <v>28.016997662909688</v>
      </c>
      <c r="G71" s="263">
        <f>Dat_02!E70</f>
        <v>28.016997662909688</v>
      </c>
      <c r="I71" s="264" t="str">
        <f>Dat_02!F70</f>
        <v/>
      </c>
      <c r="J71" s="276" t="str">
        <f>IF(Dat_02!G70=0,"",Dat_02!G70)</f>
        <v/>
      </c>
    </row>
    <row r="72" spans="2:10">
      <c r="B72" s="260"/>
      <c r="C72" s="261" t="s">
        <v>249</v>
      </c>
      <c r="D72" s="260"/>
      <c r="E72" s="263">
        <f>Dat_02!C71</f>
        <v>45.635574867999559</v>
      </c>
      <c r="F72" s="263">
        <f>Dat_02!D71</f>
        <v>28.016997662909688</v>
      </c>
      <c r="G72" s="263">
        <f>Dat_02!E71</f>
        <v>28.016997662909688</v>
      </c>
      <c r="I72" s="264" t="str">
        <f>Dat_02!F71</f>
        <v/>
      </c>
      <c r="J72" s="276" t="str">
        <f>IF(Dat_02!G71=0,"",Dat_02!G71)</f>
        <v/>
      </c>
    </row>
    <row r="73" spans="2:10">
      <c r="B73" s="260"/>
      <c r="C73" s="261" t="s">
        <v>250</v>
      </c>
      <c r="D73" s="260"/>
      <c r="E73" s="263">
        <f>Dat_02!C72</f>
        <v>73.313492030000404</v>
      </c>
      <c r="F73" s="263">
        <f>Dat_02!D72</f>
        <v>28.016997662909688</v>
      </c>
      <c r="G73" s="263">
        <f>Dat_02!E72</f>
        <v>28.016997662909688</v>
      </c>
      <c r="I73" s="264" t="str">
        <f>Dat_02!F72</f>
        <v/>
      </c>
      <c r="J73" s="276" t="str">
        <f>IF(Dat_02!G72=0,"",Dat_02!G72)</f>
        <v/>
      </c>
    </row>
    <row r="74" spans="2:10">
      <c r="B74" s="260"/>
      <c r="C74" s="261" t="s">
        <v>251</v>
      </c>
      <c r="D74" s="260"/>
      <c r="E74" s="263">
        <f>Dat_02!C73</f>
        <v>71.796023876000206</v>
      </c>
      <c r="F74" s="263">
        <f>Dat_02!D73</f>
        <v>28.016997662909688</v>
      </c>
      <c r="G74" s="263">
        <f>Dat_02!E73</f>
        <v>28.016997662909688</v>
      </c>
      <c r="I74" s="264" t="str">
        <f>Dat_02!F73</f>
        <v/>
      </c>
      <c r="J74" s="276" t="str">
        <f>IF(Dat_02!G73=0,"",Dat_02!G73)</f>
        <v/>
      </c>
    </row>
    <row r="75" spans="2:10">
      <c r="B75" s="260"/>
      <c r="C75" s="261" t="s">
        <v>252</v>
      </c>
      <c r="D75" s="260"/>
      <c r="E75" s="263">
        <f>Dat_02!C74</f>
        <v>57.793894144000298</v>
      </c>
      <c r="F75" s="263">
        <f>Dat_02!D74</f>
        <v>28.016997662909688</v>
      </c>
      <c r="G75" s="263">
        <f>Dat_02!E74</f>
        <v>28.016997662909688</v>
      </c>
      <c r="I75" s="264" t="str">
        <f>Dat_02!F74</f>
        <v/>
      </c>
      <c r="J75" s="276" t="str">
        <f>IF(Dat_02!G74=0,"",Dat_02!G74)</f>
        <v/>
      </c>
    </row>
    <row r="76" spans="2:10">
      <c r="B76" s="260"/>
      <c r="C76" s="261" t="s">
        <v>253</v>
      </c>
      <c r="D76" s="260"/>
      <c r="E76" s="263">
        <f>Dat_02!C75</f>
        <v>67.746303909999796</v>
      </c>
      <c r="F76" s="263">
        <f>Dat_02!D75</f>
        <v>28.016997662909688</v>
      </c>
      <c r="G76" s="263">
        <f>Dat_02!E75</f>
        <v>28.016997662909688</v>
      </c>
      <c r="I76" s="264" t="str">
        <f>Dat_02!F75</f>
        <v/>
      </c>
      <c r="J76" s="276" t="str">
        <f>IF(Dat_02!G75=0,"",Dat_02!G75)</f>
        <v/>
      </c>
    </row>
    <row r="77" spans="2:10">
      <c r="B77" s="260"/>
      <c r="C77" s="261" t="s">
        <v>254</v>
      </c>
      <c r="D77" s="260"/>
      <c r="E77" s="263">
        <f>Dat_02!C76</f>
        <v>37.334130595998765</v>
      </c>
      <c r="F77" s="263">
        <f>Dat_02!D76</f>
        <v>28.016997662909688</v>
      </c>
      <c r="G77" s="263">
        <f>Dat_02!E76</f>
        <v>28.016997662909688</v>
      </c>
      <c r="I77" s="264" t="str">
        <f>Dat_02!F76</f>
        <v/>
      </c>
      <c r="J77" s="276" t="str">
        <f>IF(Dat_02!G76=0,"",Dat_02!G76)</f>
        <v/>
      </c>
    </row>
    <row r="78" spans="2:10">
      <c r="B78" s="260"/>
      <c r="C78" s="261" t="s">
        <v>255</v>
      </c>
      <c r="D78" s="260"/>
      <c r="E78" s="263">
        <f>Dat_02!C77</f>
        <v>22.40733153000058</v>
      </c>
      <c r="F78" s="263">
        <f>Dat_02!D77</f>
        <v>28.016997662909688</v>
      </c>
      <c r="G78" s="263">
        <f>Dat_02!E77</f>
        <v>22.40733153000058</v>
      </c>
      <c r="I78" s="264" t="str">
        <f>Dat_02!F77</f>
        <v/>
      </c>
      <c r="J78" s="276" t="str">
        <f>IF(Dat_02!G77=0,"",Dat_02!G77)</f>
        <v/>
      </c>
    </row>
    <row r="79" spans="2:10">
      <c r="B79" s="260"/>
      <c r="C79" s="261" t="s">
        <v>256</v>
      </c>
      <c r="D79" s="260"/>
      <c r="E79" s="263">
        <f>Dat_02!C78</f>
        <v>6.4566618000008456</v>
      </c>
      <c r="F79" s="263">
        <f>Dat_02!D78</f>
        <v>28.016997662909688</v>
      </c>
      <c r="G79" s="263">
        <f>Dat_02!E78</f>
        <v>6.4566618000008456</v>
      </c>
      <c r="I79" s="264" t="str">
        <f>Dat_02!F78</f>
        <v>J</v>
      </c>
      <c r="J79" s="276">
        <f>IF(Dat_02!G78=0,"",Dat_02!G78)</f>
        <v>28.016997662909688</v>
      </c>
    </row>
    <row r="80" spans="2:10">
      <c r="B80" s="260"/>
      <c r="C80" s="261" t="s">
        <v>257</v>
      </c>
      <c r="D80" s="260"/>
      <c r="E80" s="263">
        <f>Dat_02!C79</f>
        <v>7.0879540679984059</v>
      </c>
      <c r="F80" s="263">
        <f>Dat_02!D79</f>
        <v>28.016997662909688</v>
      </c>
      <c r="G80" s="263">
        <f>Dat_02!E79</f>
        <v>7.0879540679984059</v>
      </c>
      <c r="I80" s="264" t="str">
        <f>Dat_02!F79</f>
        <v/>
      </c>
      <c r="J80" s="276" t="str">
        <f>IF(Dat_02!G79=0,"",Dat_02!G79)</f>
        <v/>
      </c>
    </row>
    <row r="81" spans="2:10">
      <c r="B81" s="260"/>
      <c r="C81" s="261" t="s">
        <v>258</v>
      </c>
      <c r="D81" s="260"/>
      <c r="E81" s="263">
        <f>Dat_02!C80</f>
        <v>5.5422092060000434</v>
      </c>
      <c r="F81" s="263">
        <f>Dat_02!D80</f>
        <v>28.016997662909688</v>
      </c>
      <c r="G81" s="263">
        <f>Dat_02!E80</f>
        <v>5.5422092060000434</v>
      </c>
      <c r="I81" s="264" t="str">
        <f>Dat_02!F80</f>
        <v/>
      </c>
      <c r="J81" s="276" t="str">
        <f>IF(Dat_02!G80=0,"",Dat_02!G80)</f>
        <v/>
      </c>
    </row>
    <row r="82" spans="2:10">
      <c r="B82" s="260"/>
      <c r="C82" s="261" t="s">
        <v>259</v>
      </c>
      <c r="D82" s="260"/>
      <c r="E82" s="263">
        <f>Dat_02!C81</f>
        <v>6.9238963500000974</v>
      </c>
      <c r="F82" s="263">
        <f>Dat_02!D81</f>
        <v>28.016997662909688</v>
      </c>
      <c r="G82" s="263">
        <f>Dat_02!E81</f>
        <v>6.9238963500000974</v>
      </c>
      <c r="I82" s="264" t="str">
        <f>Dat_02!F81</f>
        <v/>
      </c>
      <c r="J82" s="276" t="str">
        <f>IF(Dat_02!G81=0,"",Dat_02!G81)</f>
        <v/>
      </c>
    </row>
    <row r="83" spans="2:10">
      <c r="B83" s="260"/>
      <c r="C83" s="261" t="s">
        <v>260</v>
      </c>
      <c r="D83" s="260"/>
      <c r="E83" s="263">
        <f>Dat_02!C82</f>
        <v>8.0067131500002144</v>
      </c>
      <c r="F83" s="263">
        <f>Dat_02!D82</f>
        <v>28.016997662909688</v>
      </c>
      <c r="G83" s="263">
        <f>Dat_02!E82</f>
        <v>8.0067131500002144</v>
      </c>
      <c r="I83" s="264" t="str">
        <f>Dat_02!F82</f>
        <v/>
      </c>
      <c r="J83" s="276" t="str">
        <f>IF(Dat_02!G82=0,"",Dat_02!G82)</f>
        <v/>
      </c>
    </row>
    <row r="84" spans="2:10">
      <c r="B84" s="260"/>
      <c r="C84" s="261" t="s">
        <v>261</v>
      </c>
      <c r="D84" s="260"/>
      <c r="E84" s="263">
        <f>Dat_02!C83</f>
        <v>5.3031052739994777</v>
      </c>
      <c r="F84" s="263">
        <f>Dat_02!D83</f>
        <v>28.016997662909688</v>
      </c>
      <c r="G84" s="263">
        <f>Dat_02!E83</f>
        <v>5.3031052739994777</v>
      </c>
      <c r="I84" s="264" t="str">
        <f>Dat_02!F83</f>
        <v/>
      </c>
      <c r="J84" s="276" t="str">
        <f>IF(Dat_02!G83=0,"",Dat_02!G83)</f>
        <v/>
      </c>
    </row>
    <row r="85" spans="2:10">
      <c r="B85" s="260"/>
      <c r="C85" s="261" t="s">
        <v>262</v>
      </c>
      <c r="D85" s="260"/>
      <c r="E85" s="263">
        <f>Dat_02!C84</f>
        <v>4.3046902700016796</v>
      </c>
      <c r="F85" s="263">
        <f>Dat_02!D84</f>
        <v>28.016997662909688</v>
      </c>
      <c r="G85" s="263">
        <f>Dat_02!E84</f>
        <v>4.3046902700016796</v>
      </c>
      <c r="I85" s="264" t="str">
        <f>Dat_02!F84</f>
        <v/>
      </c>
      <c r="J85" s="276" t="str">
        <f>IF(Dat_02!G84=0,"",Dat_02!G84)</f>
        <v/>
      </c>
    </row>
    <row r="86" spans="2:10">
      <c r="B86" s="260"/>
      <c r="C86" s="261" t="s">
        <v>263</v>
      </c>
      <c r="D86" s="260"/>
      <c r="E86" s="263">
        <f>Dat_02!C85</f>
        <v>3.1078996419999458</v>
      </c>
      <c r="F86" s="263">
        <f>Dat_02!D85</f>
        <v>28.016997662909688</v>
      </c>
      <c r="G86" s="263">
        <f>Dat_02!E85</f>
        <v>3.1078996419999458</v>
      </c>
      <c r="I86" s="264" t="str">
        <f>Dat_02!F85</f>
        <v/>
      </c>
      <c r="J86" s="276" t="str">
        <f>IF(Dat_02!G85=0,"",Dat_02!G85)</f>
        <v/>
      </c>
    </row>
    <row r="87" spans="2:10">
      <c r="B87" s="260"/>
      <c r="C87" s="261" t="s">
        <v>264</v>
      </c>
      <c r="D87" s="260"/>
      <c r="E87" s="263">
        <f>Dat_02!C86</f>
        <v>61.243426533999852</v>
      </c>
      <c r="F87" s="263">
        <f>Dat_02!D86</f>
        <v>28.016997662909688</v>
      </c>
      <c r="G87" s="263">
        <f>Dat_02!E86</f>
        <v>28.016997662909688</v>
      </c>
      <c r="I87" s="264" t="str">
        <f>Dat_02!F86</f>
        <v/>
      </c>
      <c r="J87" s="276" t="str">
        <f>IF(Dat_02!G86=0,"",Dat_02!G86)</f>
        <v/>
      </c>
    </row>
    <row r="88" spans="2:10">
      <c r="B88" s="260"/>
      <c r="C88" s="261" t="s">
        <v>265</v>
      </c>
      <c r="D88" s="260"/>
      <c r="E88" s="263">
        <f>Dat_02!C87</f>
        <v>54.403870888000235</v>
      </c>
      <c r="F88" s="263">
        <f>Dat_02!D87</f>
        <v>28.016997662909688</v>
      </c>
      <c r="G88" s="263">
        <f>Dat_02!E87</f>
        <v>28.016997662909688</v>
      </c>
      <c r="I88" s="264" t="str">
        <f>Dat_02!F87</f>
        <v/>
      </c>
      <c r="J88" s="276" t="str">
        <f>IF(Dat_02!G87=0,"",Dat_02!G87)</f>
        <v/>
      </c>
    </row>
    <row r="89" spans="2:10">
      <c r="B89" s="260"/>
      <c r="C89" s="261" t="s">
        <v>266</v>
      </c>
      <c r="D89" s="260"/>
      <c r="E89" s="263">
        <f>Dat_02!C88</f>
        <v>48.696425289998736</v>
      </c>
      <c r="F89" s="263">
        <f>Dat_02!D88</f>
        <v>28.016997662909688</v>
      </c>
      <c r="G89" s="263">
        <f>Dat_02!E88</f>
        <v>28.016997662909688</v>
      </c>
      <c r="I89" s="264" t="str">
        <f>Dat_02!F88</f>
        <v/>
      </c>
      <c r="J89" s="276" t="str">
        <f>IF(Dat_02!G88=0,"",Dat_02!G88)</f>
        <v/>
      </c>
    </row>
    <row r="90" spans="2:10">
      <c r="B90" s="260"/>
      <c r="C90" s="261" t="s">
        <v>267</v>
      </c>
      <c r="D90" s="260"/>
      <c r="E90" s="263">
        <f>Dat_02!C89</f>
        <v>48.202042548000477</v>
      </c>
      <c r="F90" s="263">
        <f>Dat_02!D89</f>
        <v>28.016997662909688</v>
      </c>
      <c r="G90" s="263">
        <f>Dat_02!E89</f>
        <v>28.016997662909688</v>
      </c>
      <c r="I90" s="264" t="str">
        <f>Dat_02!F89</f>
        <v/>
      </c>
      <c r="J90" s="276" t="str">
        <f>IF(Dat_02!G89=0,"",Dat_02!G89)</f>
        <v/>
      </c>
    </row>
    <row r="91" spans="2:10">
      <c r="B91" s="260"/>
      <c r="C91" s="261" t="s">
        <v>268</v>
      </c>
      <c r="D91" s="260"/>
      <c r="E91" s="263">
        <f>Dat_02!C90</f>
        <v>48.637679313999165</v>
      </c>
      <c r="F91" s="263">
        <f>Dat_02!D90</f>
        <v>28.016997662909688</v>
      </c>
      <c r="G91" s="263">
        <f>Dat_02!E90</f>
        <v>28.016997662909688</v>
      </c>
      <c r="I91" s="264" t="str">
        <f>Dat_02!F90</f>
        <v/>
      </c>
      <c r="J91" s="276" t="str">
        <f>IF(Dat_02!G90=0,"",Dat_02!G90)</f>
        <v/>
      </c>
    </row>
    <row r="92" spans="2:10">
      <c r="B92" s="260"/>
      <c r="C92" s="261" t="s">
        <v>269</v>
      </c>
      <c r="D92" s="260"/>
      <c r="E92" s="263">
        <f>Dat_02!C91</f>
        <v>41.126988298001699</v>
      </c>
      <c r="F92" s="263">
        <f>Dat_02!D91</f>
        <v>28.016997662909688</v>
      </c>
      <c r="G92" s="263">
        <f>Dat_02!E91</f>
        <v>28.016997662909688</v>
      </c>
      <c r="I92" s="264" t="str">
        <f>Dat_02!F91</f>
        <v/>
      </c>
      <c r="J92" s="276" t="str">
        <f>IF(Dat_02!G91=0,"",Dat_02!G91)</f>
        <v/>
      </c>
    </row>
    <row r="93" spans="2:10">
      <c r="B93" s="260"/>
      <c r="C93" s="261" t="s">
        <v>270</v>
      </c>
      <c r="D93" s="260"/>
      <c r="E93" s="263">
        <f>Dat_02!C92</f>
        <v>36.661641007999229</v>
      </c>
      <c r="F93" s="263">
        <f>Dat_02!D92</f>
        <v>28.016997662909688</v>
      </c>
      <c r="G93" s="263">
        <f>Dat_02!E92</f>
        <v>28.016997662909688</v>
      </c>
      <c r="I93" s="264" t="str">
        <f>Dat_02!F92</f>
        <v/>
      </c>
      <c r="J93" s="276" t="str">
        <f>IF(Dat_02!G92=0,"",Dat_02!G92)</f>
        <v/>
      </c>
    </row>
    <row r="94" spans="2:10">
      <c r="B94" s="260"/>
      <c r="C94" s="261" t="s">
        <v>271</v>
      </c>
      <c r="D94" s="260"/>
      <c r="E94" s="263">
        <f>Dat_02!C93</f>
        <v>42.795573232000386</v>
      </c>
      <c r="F94" s="263">
        <f>Dat_02!D93</f>
        <v>28.016997662909688</v>
      </c>
      <c r="G94" s="263">
        <f>Dat_02!E93</f>
        <v>28.016997662909688</v>
      </c>
      <c r="I94" s="264" t="str">
        <f>Dat_02!F93</f>
        <v/>
      </c>
      <c r="J94" s="276" t="str">
        <f>IF(Dat_02!G93=0,"",Dat_02!G93)</f>
        <v/>
      </c>
    </row>
    <row r="95" spans="2:10">
      <c r="B95" s="262"/>
      <c r="C95" s="267" t="s">
        <v>272</v>
      </c>
      <c r="D95" s="262"/>
      <c r="E95" s="263">
        <f>Dat_02!C94</f>
        <v>34.617167079999312</v>
      </c>
      <c r="F95" s="263">
        <f>Dat_02!D94</f>
        <v>28.016997662909688</v>
      </c>
      <c r="G95" s="263">
        <f>Dat_02!E94</f>
        <v>28.016997662909688</v>
      </c>
      <c r="I95" s="264" t="str">
        <f>Dat_02!F94</f>
        <v/>
      </c>
      <c r="J95" s="276" t="str">
        <f>IF(Dat_02!G94=0,"",Dat_02!G94)</f>
        <v/>
      </c>
    </row>
    <row r="96" spans="2:10">
      <c r="B96" s="260" t="s">
        <v>273</v>
      </c>
      <c r="C96" s="261" t="s">
        <v>274</v>
      </c>
      <c r="D96" s="262"/>
      <c r="E96" s="263">
        <f>Dat_02!C95</f>
        <v>50.117297983210477</v>
      </c>
      <c r="F96" s="263">
        <f>Dat_02!D95</f>
        <v>16.99706947525484</v>
      </c>
      <c r="G96" s="263">
        <f>Dat_02!E95</f>
        <v>16.99706947525484</v>
      </c>
      <c r="I96" s="264" t="str">
        <f>Dat_02!F95</f>
        <v/>
      </c>
      <c r="J96" s="276" t="str">
        <f>IF(Dat_02!G95=0,"",Dat_02!G95)</f>
        <v/>
      </c>
    </row>
    <row r="97" spans="2:10">
      <c r="B97" s="262"/>
      <c r="C97" s="261" t="s">
        <v>275</v>
      </c>
      <c r="D97" s="262"/>
      <c r="E97" s="263">
        <f>Dat_02!C96</f>
        <v>61.398725113210475</v>
      </c>
      <c r="F97" s="263">
        <f>Dat_02!D96</f>
        <v>16.99706947525484</v>
      </c>
      <c r="G97" s="263">
        <f>Dat_02!E96</f>
        <v>16.99706947525484</v>
      </c>
      <c r="I97" s="264" t="str">
        <f>Dat_02!F96</f>
        <v/>
      </c>
      <c r="J97" s="276" t="str">
        <f>IF(Dat_02!G96=0,"",Dat_02!G96)</f>
        <v/>
      </c>
    </row>
    <row r="98" spans="2:10">
      <c r="B98" s="260"/>
      <c r="C98" s="261" t="s">
        <v>276</v>
      </c>
      <c r="D98" s="260"/>
      <c r="E98" s="263">
        <f>Dat_02!C97</f>
        <v>72.914481039210472</v>
      </c>
      <c r="F98" s="263">
        <f>Dat_02!D97</f>
        <v>16.99706947525484</v>
      </c>
      <c r="G98" s="263">
        <f>Dat_02!E97</f>
        <v>16.99706947525484</v>
      </c>
      <c r="I98" s="264" t="str">
        <f>Dat_02!F97</f>
        <v/>
      </c>
      <c r="J98" s="276" t="str">
        <f>IF(Dat_02!G97=0,"",Dat_02!G97)</f>
        <v/>
      </c>
    </row>
    <row r="99" spans="2:10">
      <c r="B99" s="260"/>
      <c r="C99" s="261" t="s">
        <v>277</v>
      </c>
      <c r="D99" s="260"/>
      <c r="E99" s="263">
        <f>Dat_02!C98</f>
        <v>47.732188181210468</v>
      </c>
      <c r="F99" s="263">
        <f>Dat_02!D98</f>
        <v>16.99706947525484</v>
      </c>
      <c r="G99" s="263">
        <f>Dat_02!E98</f>
        <v>16.99706947525484</v>
      </c>
      <c r="I99" s="264" t="str">
        <f>Dat_02!F98</f>
        <v/>
      </c>
      <c r="J99" s="276" t="str">
        <f>IF(Dat_02!G98=0,"",Dat_02!G98)</f>
        <v/>
      </c>
    </row>
    <row r="100" spans="2:10">
      <c r="B100" s="260"/>
      <c r="C100" s="261" t="s">
        <v>278</v>
      </c>
      <c r="D100" s="260"/>
      <c r="E100" s="263">
        <f>Dat_02!C99</f>
        <v>38.136530667210479</v>
      </c>
      <c r="F100" s="263">
        <f>Dat_02!D99</f>
        <v>16.99706947525484</v>
      </c>
      <c r="G100" s="263">
        <f>Dat_02!E99</f>
        <v>16.99706947525484</v>
      </c>
      <c r="I100" s="264" t="str">
        <f>Dat_02!F99</f>
        <v/>
      </c>
      <c r="J100" s="276" t="str">
        <f>IF(Dat_02!G99=0,"",Dat_02!G99)</f>
        <v/>
      </c>
    </row>
    <row r="101" spans="2:10">
      <c r="B101" s="260"/>
      <c r="C101" s="261" t="s">
        <v>279</v>
      </c>
      <c r="D101" s="260"/>
      <c r="E101" s="263">
        <f>Dat_02!C100</f>
        <v>54.820534509208606</v>
      </c>
      <c r="F101" s="263">
        <f>Dat_02!D100</f>
        <v>16.99706947525484</v>
      </c>
      <c r="G101" s="263">
        <f>Dat_02!E100</f>
        <v>16.99706947525484</v>
      </c>
      <c r="I101" s="264" t="str">
        <f>Dat_02!F100</f>
        <v/>
      </c>
      <c r="J101" s="276" t="str">
        <f>IF(Dat_02!G100=0,"",Dat_02!G100)</f>
        <v/>
      </c>
    </row>
    <row r="102" spans="2:10">
      <c r="B102" s="260"/>
      <c r="C102" s="261" t="s">
        <v>280</v>
      </c>
      <c r="D102" s="260"/>
      <c r="E102" s="263">
        <f>Dat_02!C101</f>
        <v>41.030135483212334</v>
      </c>
      <c r="F102" s="263">
        <f>Dat_02!D101</f>
        <v>16.99706947525484</v>
      </c>
      <c r="G102" s="263">
        <f>Dat_02!E101</f>
        <v>16.99706947525484</v>
      </c>
      <c r="I102" s="264" t="str">
        <f>Dat_02!F101</f>
        <v/>
      </c>
      <c r="J102" s="276" t="str">
        <f>IF(Dat_02!G101=0,"",Dat_02!G101)</f>
        <v/>
      </c>
    </row>
    <row r="103" spans="2:10">
      <c r="B103" s="260"/>
      <c r="C103" s="261" t="s">
        <v>281</v>
      </c>
      <c r="D103" s="260"/>
      <c r="E103" s="263">
        <f>Dat_02!C102</f>
        <v>40.920904410027099</v>
      </c>
      <c r="F103" s="263">
        <f>Dat_02!D102</f>
        <v>16.99706947525484</v>
      </c>
      <c r="G103" s="263">
        <f>Dat_02!E102</f>
        <v>16.99706947525484</v>
      </c>
      <c r="I103" s="264" t="str">
        <f>Dat_02!F102</f>
        <v/>
      </c>
      <c r="J103" s="276" t="str">
        <f>IF(Dat_02!G102=0,"",Dat_02!G102)</f>
        <v/>
      </c>
    </row>
    <row r="104" spans="2:10">
      <c r="B104" s="260"/>
      <c r="C104" s="261" t="s">
        <v>282</v>
      </c>
      <c r="D104" s="260"/>
      <c r="E104" s="263">
        <f>Dat_02!C103</f>
        <v>35.865252946025237</v>
      </c>
      <c r="F104" s="263">
        <f>Dat_02!D103</f>
        <v>16.99706947525484</v>
      </c>
      <c r="G104" s="263">
        <f>Dat_02!E103</f>
        <v>16.99706947525484</v>
      </c>
      <c r="I104" s="264" t="str">
        <f>Dat_02!F103</f>
        <v/>
      </c>
      <c r="J104" s="276" t="str">
        <f>IF(Dat_02!G103=0,"",Dat_02!G103)</f>
        <v/>
      </c>
    </row>
    <row r="105" spans="2:10">
      <c r="B105" s="260"/>
      <c r="C105" s="261" t="s">
        <v>283</v>
      </c>
      <c r="D105" s="260"/>
      <c r="E105" s="263">
        <f>Dat_02!C104</f>
        <v>27.261782104027102</v>
      </c>
      <c r="F105" s="263">
        <f>Dat_02!D104</f>
        <v>16.99706947525484</v>
      </c>
      <c r="G105" s="263">
        <f>Dat_02!E104</f>
        <v>16.99706947525484</v>
      </c>
      <c r="I105" s="264" t="str">
        <f>Dat_02!F104</f>
        <v/>
      </c>
      <c r="J105" s="276" t="str">
        <f>IF(Dat_02!G104=0,"",Dat_02!G104)</f>
        <v/>
      </c>
    </row>
    <row r="106" spans="2:10">
      <c r="B106" s="260"/>
      <c r="C106" s="261" t="s">
        <v>284</v>
      </c>
      <c r="D106" s="260"/>
      <c r="E106" s="263">
        <f>Dat_02!C105</f>
        <v>38.508029088027101</v>
      </c>
      <c r="F106" s="263">
        <f>Dat_02!D105</f>
        <v>16.99706947525484</v>
      </c>
      <c r="G106" s="263">
        <f>Dat_02!E105</f>
        <v>16.99706947525484</v>
      </c>
      <c r="I106" s="264" t="str">
        <f>Dat_02!F105</f>
        <v/>
      </c>
      <c r="J106" s="276" t="str">
        <f>IF(Dat_02!G105=0,"",Dat_02!G105)</f>
        <v/>
      </c>
    </row>
    <row r="107" spans="2:10">
      <c r="B107" s="260"/>
      <c r="C107" s="261" t="s">
        <v>285</v>
      </c>
      <c r="D107" s="260"/>
      <c r="E107" s="263">
        <f>Dat_02!C106</f>
        <v>28.973105410027099</v>
      </c>
      <c r="F107" s="263">
        <f>Dat_02!D106</f>
        <v>16.99706947525484</v>
      </c>
      <c r="G107" s="263">
        <f>Dat_02!E106</f>
        <v>16.99706947525484</v>
      </c>
      <c r="I107" s="264" t="str">
        <f>Dat_02!F106</f>
        <v/>
      </c>
      <c r="J107" s="276" t="str">
        <f>IF(Dat_02!G106=0,"",Dat_02!G106)</f>
        <v/>
      </c>
    </row>
    <row r="108" spans="2:10">
      <c r="B108" s="260"/>
      <c r="C108" s="261" t="s">
        <v>286</v>
      </c>
      <c r="D108" s="260"/>
      <c r="E108" s="263">
        <f>Dat_02!C107</f>
        <v>32.684378826027093</v>
      </c>
      <c r="F108" s="263">
        <f>Dat_02!D107</f>
        <v>16.99706947525484</v>
      </c>
      <c r="G108" s="263">
        <f>Dat_02!E107</f>
        <v>16.99706947525484</v>
      </c>
      <c r="I108" s="264" t="str">
        <f>Dat_02!F107</f>
        <v/>
      </c>
      <c r="J108" s="276" t="str">
        <f>IF(Dat_02!G107=0,"",Dat_02!G107)</f>
        <v/>
      </c>
    </row>
    <row r="109" spans="2:10">
      <c r="B109" s="260"/>
      <c r="C109" s="261" t="s">
        <v>287</v>
      </c>
      <c r="D109" s="260"/>
      <c r="E109" s="263">
        <f>Dat_02!C108</f>
        <v>29.522073512027099</v>
      </c>
      <c r="F109" s="263">
        <f>Dat_02!D108</f>
        <v>16.99706947525484</v>
      </c>
      <c r="G109" s="263">
        <f>Dat_02!E108</f>
        <v>16.99706947525484</v>
      </c>
      <c r="I109" s="264" t="str">
        <f>Dat_02!F108</f>
        <v/>
      </c>
      <c r="J109" s="276" t="str">
        <f>IF(Dat_02!G108=0,"",Dat_02!G108)</f>
        <v/>
      </c>
    </row>
    <row r="110" spans="2:10">
      <c r="B110" s="260"/>
      <c r="C110" s="261" t="s">
        <v>288</v>
      </c>
      <c r="D110" s="260"/>
      <c r="E110" s="263">
        <f>Dat_02!C109</f>
        <v>26.663366136181466</v>
      </c>
      <c r="F110" s="263">
        <f>Dat_02!D109</f>
        <v>16.99706947525484</v>
      </c>
      <c r="G110" s="263">
        <f>Dat_02!E109</f>
        <v>16.99706947525484</v>
      </c>
      <c r="I110" s="264" t="str">
        <f>Dat_02!F109</f>
        <v>A</v>
      </c>
      <c r="J110" s="276">
        <f>IF(Dat_02!G109=0,"",Dat_02!G109)</f>
        <v>16.99706947525484</v>
      </c>
    </row>
    <row r="111" spans="2:10">
      <c r="B111" s="260"/>
      <c r="C111" s="261" t="s">
        <v>289</v>
      </c>
      <c r="D111" s="260"/>
      <c r="E111" s="263">
        <f>Dat_02!C110</f>
        <v>34.920634152181464</v>
      </c>
      <c r="F111" s="263">
        <f>Dat_02!D110</f>
        <v>16.99706947525484</v>
      </c>
      <c r="G111" s="263">
        <f>Dat_02!E110</f>
        <v>16.99706947525484</v>
      </c>
      <c r="I111" s="264" t="str">
        <f>Dat_02!F110</f>
        <v/>
      </c>
      <c r="J111" s="276" t="str">
        <f>IF(Dat_02!G110=0,"",Dat_02!G110)</f>
        <v/>
      </c>
    </row>
    <row r="112" spans="2:10">
      <c r="B112" s="260"/>
      <c r="C112" s="261" t="s">
        <v>290</v>
      </c>
      <c r="D112" s="260"/>
      <c r="E112" s="263">
        <f>Dat_02!C111</f>
        <v>20.845326648181466</v>
      </c>
      <c r="F112" s="263">
        <f>Dat_02!D111</f>
        <v>16.99706947525484</v>
      </c>
      <c r="G112" s="263">
        <f>Dat_02!E111</f>
        <v>16.99706947525484</v>
      </c>
      <c r="I112" s="264" t="str">
        <f>Dat_02!F111</f>
        <v/>
      </c>
      <c r="J112" s="276" t="str">
        <f>IF(Dat_02!G111=0,"",Dat_02!G111)</f>
        <v/>
      </c>
    </row>
    <row r="113" spans="2:10">
      <c r="B113" s="260"/>
      <c r="C113" s="261" t="s">
        <v>291</v>
      </c>
      <c r="D113" s="260"/>
      <c r="E113" s="263">
        <f>Dat_02!C112</f>
        <v>22.25592718018147</v>
      </c>
      <c r="F113" s="263">
        <f>Dat_02!D112</f>
        <v>16.99706947525484</v>
      </c>
      <c r="G113" s="263">
        <f>Dat_02!E112</f>
        <v>16.99706947525484</v>
      </c>
      <c r="I113" s="264" t="str">
        <f>Dat_02!F112</f>
        <v/>
      </c>
      <c r="J113" s="276" t="str">
        <f>IF(Dat_02!G112=0,"",Dat_02!G112)</f>
        <v/>
      </c>
    </row>
    <row r="114" spans="2:10">
      <c r="B114" s="260"/>
      <c r="C114" s="261" t="s">
        <v>292</v>
      </c>
      <c r="D114" s="260"/>
      <c r="E114" s="263">
        <f>Dat_02!C113</f>
        <v>21.562576994183328</v>
      </c>
      <c r="F114" s="263">
        <f>Dat_02!D113</f>
        <v>16.99706947525484</v>
      </c>
      <c r="G114" s="263">
        <f>Dat_02!E113</f>
        <v>16.99706947525484</v>
      </c>
      <c r="I114" s="264" t="str">
        <f>Dat_02!F113</f>
        <v/>
      </c>
      <c r="J114" s="276" t="str">
        <f>IF(Dat_02!G113=0,"",Dat_02!G113)</f>
        <v/>
      </c>
    </row>
    <row r="115" spans="2:10">
      <c r="B115" s="260"/>
      <c r="C115" s="261" t="s">
        <v>293</v>
      </c>
      <c r="D115" s="260"/>
      <c r="E115" s="263">
        <f>Dat_02!C114</f>
        <v>52.049536474181473</v>
      </c>
      <c r="F115" s="263">
        <f>Dat_02!D114</f>
        <v>16.99706947525484</v>
      </c>
      <c r="G115" s="263">
        <f>Dat_02!E114</f>
        <v>16.99706947525484</v>
      </c>
      <c r="I115" s="264" t="str">
        <f>Dat_02!F114</f>
        <v/>
      </c>
      <c r="J115" s="276" t="str">
        <f>IF(Dat_02!G114=0,"",Dat_02!G114)</f>
        <v/>
      </c>
    </row>
    <row r="116" spans="2:10">
      <c r="B116" s="260"/>
      <c r="C116" s="261" t="s">
        <v>294</v>
      </c>
      <c r="D116" s="260"/>
      <c r="E116" s="263">
        <f>Dat_02!C115</f>
        <v>49.615551990181473</v>
      </c>
      <c r="F116" s="263">
        <f>Dat_02!D115</f>
        <v>16.99706947525484</v>
      </c>
      <c r="G116" s="263">
        <f>Dat_02!E115</f>
        <v>16.99706947525484</v>
      </c>
      <c r="I116" s="264" t="str">
        <f>Dat_02!F115</f>
        <v/>
      </c>
      <c r="J116" s="276" t="str">
        <f>IF(Dat_02!G115=0,"",Dat_02!G115)</f>
        <v/>
      </c>
    </row>
    <row r="117" spans="2:10">
      <c r="B117" s="260"/>
      <c r="C117" s="261" t="s">
        <v>295</v>
      </c>
      <c r="D117" s="260"/>
      <c r="E117" s="263">
        <f>Dat_02!C116</f>
        <v>47.516879093241599</v>
      </c>
      <c r="F117" s="263">
        <f>Dat_02!D116</f>
        <v>16.99706947525484</v>
      </c>
      <c r="G117" s="263">
        <f>Dat_02!E116</f>
        <v>16.99706947525484</v>
      </c>
      <c r="I117" s="264" t="str">
        <f>Dat_02!F116</f>
        <v/>
      </c>
      <c r="J117" s="276" t="str">
        <f>IF(Dat_02!G116=0,"",Dat_02!G116)</f>
        <v/>
      </c>
    </row>
    <row r="118" spans="2:10">
      <c r="B118" s="260"/>
      <c r="C118" s="261" t="s">
        <v>296</v>
      </c>
      <c r="D118" s="260"/>
      <c r="E118" s="263">
        <f>Dat_02!C117</f>
        <v>48.318055417243464</v>
      </c>
      <c r="F118" s="263">
        <f>Dat_02!D117</f>
        <v>16.99706947525484</v>
      </c>
      <c r="G118" s="263">
        <f>Dat_02!E117</f>
        <v>16.99706947525484</v>
      </c>
      <c r="I118" s="264" t="str">
        <f>Dat_02!F117</f>
        <v/>
      </c>
      <c r="J118" s="276" t="str">
        <f>IF(Dat_02!G117=0,"",Dat_02!G117)</f>
        <v/>
      </c>
    </row>
    <row r="119" spans="2:10">
      <c r="B119" s="260"/>
      <c r="C119" s="261" t="s">
        <v>297</v>
      </c>
      <c r="D119" s="260"/>
      <c r="E119" s="263">
        <f>Dat_02!C118</f>
        <v>30.095850563243467</v>
      </c>
      <c r="F119" s="263">
        <f>Dat_02!D118</f>
        <v>16.99706947525484</v>
      </c>
      <c r="G119" s="263">
        <f>Dat_02!E118</f>
        <v>16.99706947525484</v>
      </c>
      <c r="I119" s="264" t="str">
        <f>Dat_02!F118</f>
        <v/>
      </c>
      <c r="J119" s="276" t="str">
        <f>IF(Dat_02!G118=0,"",Dat_02!G118)</f>
        <v/>
      </c>
    </row>
    <row r="120" spans="2:10">
      <c r="B120" s="260"/>
      <c r="C120" s="261" t="s">
        <v>298</v>
      </c>
      <c r="D120" s="260"/>
      <c r="E120" s="263">
        <f>Dat_02!C119</f>
        <v>11.079852043241605</v>
      </c>
      <c r="F120" s="263">
        <f>Dat_02!D119</f>
        <v>16.99706947525484</v>
      </c>
      <c r="G120" s="263">
        <f>Dat_02!E119</f>
        <v>11.079852043241605</v>
      </c>
      <c r="I120" s="264" t="str">
        <f>Dat_02!F119</f>
        <v/>
      </c>
      <c r="J120" s="276" t="str">
        <f>IF(Dat_02!G119=0,"",Dat_02!G119)</f>
        <v/>
      </c>
    </row>
    <row r="121" spans="2:10">
      <c r="B121" s="260"/>
      <c r="C121" s="261" t="s">
        <v>299</v>
      </c>
      <c r="D121" s="260"/>
      <c r="E121" s="263">
        <f>Dat_02!C120</f>
        <v>13.51483384924347</v>
      </c>
      <c r="F121" s="263">
        <f>Dat_02!D120</f>
        <v>16.99706947525484</v>
      </c>
      <c r="G121" s="263">
        <f>Dat_02!E120</f>
        <v>13.51483384924347</v>
      </c>
      <c r="I121" s="264" t="str">
        <f>Dat_02!F120</f>
        <v/>
      </c>
      <c r="J121" s="276" t="str">
        <f>IF(Dat_02!G120=0,"",Dat_02!G120)</f>
        <v/>
      </c>
    </row>
    <row r="122" spans="2:10">
      <c r="B122" s="260"/>
      <c r="C122" s="261" t="s">
        <v>300</v>
      </c>
      <c r="D122" s="260"/>
      <c r="E122" s="263">
        <f>Dat_02!C121</f>
        <v>46.487615559243466</v>
      </c>
      <c r="F122" s="263">
        <f>Dat_02!D121</f>
        <v>16.99706947525484</v>
      </c>
      <c r="G122" s="263">
        <f>Dat_02!E121</f>
        <v>16.99706947525484</v>
      </c>
      <c r="I122" s="264" t="str">
        <f>Dat_02!F121</f>
        <v/>
      </c>
      <c r="J122" s="276" t="str">
        <f>IF(Dat_02!G121=0,"",Dat_02!G121)</f>
        <v/>
      </c>
    </row>
    <row r="123" spans="2:10">
      <c r="B123" s="260"/>
      <c r="C123" s="261" t="s">
        <v>301</v>
      </c>
      <c r="D123" s="260"/>
      <c r="E123" s="263">
        <f>Dat_02!C122</f>
        <v>40.74981700924161</v>
      </c>
      <c r="F123" s="263">
        <f>Dat_02!D122</f>
        <v>16.99706947525484</v>
      </c>
      <c r="G123" s="263">
        <f>Dat_02!E122</f>
        <v>16.99706947525484</v>
      </c>
      <c r="I123" s="264" t="str">
        <f>Dat_02!F122</f>
        <v/>
      </c>
      <c r="J123" s="276" t="str">
        <f>IF(Dat_02!G122=0,"",Dat_02!G122)</f>
        <v/>
      </c>
    </row>
    <row r="124" spans="2:10">
      <c r="B124" s="260"/>
      <c r="C124" s="261" t="s">
        <v>302</v>
      </c>
      <c r="D124" s="260"/>
      <c r="E124" s="263">
        <f>Dat_02!C123</f>
        <v>34.859788490035747</v>
      </c>
      <c r="F124" s="263">
        <f>Dat_02!D123</f>
        <v>16.99706947525484</v>
      </c>
      <c r="G124" s="263">
        <f>Dat_02!E123</f>
        <v>16.99706947525484</v>
      </c>
      <c r="I124" s="264" t="str">
        <f>Dat_02!F123</f>
        <v/>
      </c>
      <c r="J124" s="276" t="str">
        <f>IF(Dat_02!G123=0,"",Dat_02!G123)</f>
        <v/>
      </c>
    </row>
    <row r="125" spans="2:10">
      <c r="B125" s="262"/>
      <c r="C125" s="267" t="s">
        <v>303</v>
      </c>
      <c r="D125" s="260"/>
      <c r="E125" s="263">
        <f>Dat_02!C124</f>
        <v>43.858392152035741</v>
      </c>
      <c r="F125" s="263">
        <f>Dat_02!D124</f>
        <v>16.99706947525484</v>
      </c>
      <c r="G125" s="263">
        <f>Dat_02!E124</f>
        <v>16.99706947525484</v>
      </c>
      <c r="I125" s="264" t="str">
        <f>Dat_02!F124</f>
        <v/>
      </c>
      <c r="J125" s="276" t="str">
        <f>IF(Dat_02!G124=0,"",Dat_02!G124)</f>
        <v/>
      </c>
    </row>
    <row r="126" spans="2:10">
      <c r="B126" s="260" t="s">
        <v>304</v>
      </c>
      <c r="C126" s="261" t="s">
        <v>305</v>
      </c>
      <c r="D126" s="262"/>
      <c r="E126" s="263">
        <f>Dat_02!C125</f>
        <v>28.651377582033877</v>
      </c>
      <c r="F126" s="263">
        <f>Dat_02!D125</f>
        <v>16.99706947525484</v>
      </c>
      <c r="G126" s="263">
        <f>Dat_02!E125</f>
        <v>16.99706947525484</v>
      </c>
      <c r="I126" s="264" t="str">
        <f>Dat_02!F125</f>
        <v/>
      </c>
      <c r="J126" s="276" t="str">
        <f>IF(Dat_02!G125=0,"",Dat_02!G125)</f>
        <v/>
      </c>
    </row>
    <row r="127" spans="2:10">
      <c r="B127" s="262"/>
      <c r="C127" s="261" t="s">
        <v>306</v>
      </c>
      <c r="D127" s="262"/>
      <c r="E127" s="263">
        <f>Dat_02!C126</f>
        <v>16.292057982035747</v>
      </c>
      <c r="F127" s="263">
        <f>Dat_02!D126</f>
        <v>22.743378673520009</v>
      </c>
      <c r="G127" s="263">
        <f>Dat_02!E126</f>
        <v>16.292057982035747</v>
      </c>
      <c r="I127" s="264" t="str">
        <f>Dat_02!F126</f>
        <v/>
      </c>
      <c r="J127" s="276" t="str">
        <f>IF(Dat_02!G126=0,"",Dat_02!G126)</f>
        <v/>
      </c>
    </row>
    <row r="128" spans="2:10">
      <c r="B128" s="260"/>
      <c r="C128" s="261" t="s">
        <v>307</v>
      </c>
      <c r="D128" s="262"/>
      <c r="E128" s="263">
        <f>Dat_02!C127</f>
        <v>28.81470031603574</v>
      </c>
      <c r="F128" s="263">
        <f>Dat_02!D127</f>
        <v>22.743378673520009</v>
      </c>
      <c r="G128" s="263">
        <f>Dat_02!E127</f>
        <v>22.743378673520009</v>
      </c>
      <c r="I128" s="264" t="str">
        <f>Dat_02!F127</f>
        <v/>
      </c>
      <c r="J128" s="276" t="str">
        <f>IF(Dat_02!G127=0,"",Dat_02!G127)</f>
        <v/>
      </c>
    </row>
    <row r="129" spans="2:10">
      <c r="B129" s="260"/>
      <c r="C129" s="261" t="s">
        <v>308</v>
      </c>
      <c r="D129" s="260"/>
      <c r="E129" s="263">
        <f>Dat_02!C128</f>
        <v>39.482491496035742</v>
      </c>
      <c r="F129" s="263">
        <f>Dat_02!D128</f>
        <v>22.743378673520009</v>
      </c>
      <c r="G129" s="263">
        <f>Dat_02!E128</f>
        <v>22.743378673520009</v>
      </c>
      <c r="I129" s="264" t="str">
        <f>Dat_02!F128</f>
        <v/>
      </c>
      <c r="J129" s="276" t="str">
        <f>IF(Dat_02!G128=0,"",Dat_02!G128)</f>
        <v/>
      </c>
    </row>
    <row r="130" spans="2:10">
      <c r="B130" s="260"/>
      <c r="C130" s="261" t="s">
        <v>309</v>
      </c>
      <c r="D130" s="260"/>
      <c r="E130" s="263">
        <f>Dat_02!C129</f>
        <v>33.947607858035745</v>
      </c>
      <c r="F130" s="263">
        <f>Dat_02!D129</f>
        <v>22.743378673520009</v>
      </c>
      <c r="G130" s="263">
        <f>Dat_02!E129</f>
        <v>22.743378673520009</v>
      </c>
      <c r="I130" s="264" t="str">
        <f>Dat_02!F129</f>
        <v/>
      </c>
      <c r="J130" s="276" t="str">
        <f>IF(Dat_02!G129=0,"",Dat_02!G129)</f>
        <v/>
      </c>
    </row>
    <row r="131" spans="2:10">
      <c r="B131" s="260"/>
      <c r="C131" s="261" t="s">
        <v>310</v>
      </c>
      <c r="D131" s="260"/>
      <c r="E131" s="263">
        <f>Dat_02!C130</f>
        <v>37.366073555248455</v>
      </c>
      <c r="F131" s="263">
        <f>Dat_02!D130</f>
        <v>22.743378673520009</v>
      </c>
      <c r="G131" s="263">
        <f>Dat_02!E130</f>
        <v>22.743378673520009</v>
      </c>
      <c r="I131" s="264" t="str">
        <f>Dat_02!F130</f>
        <v/>
      </c>
      <c r="J131" s="276" t="str">
        <f>IF(Dat_02!G130=0,"",Dat_02!G130)</f>
        <v/>
      </c>
    </row>
    <row r="132" spans="2:10">
      <c r="B132" s="260"/>
      <c r="C132" s="261" t="s">
        <v>311</v>
      </c>
      <c r="D132" s="260"/>
      <c r="E132" s="263">
        <f>Dat_02!C131</f>
        <v>26.666166277248458</v>
      </c>
      <c r="F132" s="263">
        <f>Dat_02!D131</f>
        <v>22.743378673520009</v>
      </c>
      <c r="G132" s="263">
        <f>Dat_02!E131</f>
        <v>22.743378673520009</v>
      </c>
      <c r="I132" s="264" t="str">
        <f>Dat_02!F131</f>
        <v/>
      </c>
      <c r="J132" s="276" t="str">
        <f>IF(Dat_02!G131=0,"",Dat_02!G131)</f>
        <v/>
      </c>
    </row>
    <row r="133" spans="2:10">
      <c r="B133" s="260"/>
      <c r="C133" s="261" t="s">
        <v>312</v>
      </c>
      <c r="D133" s="260"/>
      <c r="E133" s="263">
        <f>Dat_02!C132</f>
        <v>24.865338769250318</v>
      </c>
      <c r="F133" s="263">
        <f>Dat_02!D132</f>
        <v>22.743378673520009</v>
      </c>
      <c r="G133" s="263">
        <f>Dat_02!E132</f>
        <v>22.743378673520009</v>
      </c>
      <c r="I133" s="264" t="str">
        <f>Dat_02!F132</f>
        <v/>
      </c>
      <c r="J133" s="276" t="str">
        <f>IF(Dat_02!G132=0,"",Dat_02!G132)</f>
        <v/>
      </c>
    </row>
    <row r="134" spans="2:10">
      <c r="B134" s="260"/>
      <c r="C134" s="261" t="s">
        <v>313</v>
      </c>
      <c r="D134" s="260"/>
      <c r="E134" s="263">
        <f>Dat_02!C133</f>
        <v>29.209192431248454</v>
      </c>
      <c r="F134" s="263">
        <f>Dat_02!D133</f>
        <v>22.743378673520009</v>
      </c>
      <c r="G134" s="263">
        <f>Dat_02!E133</f>
        <v>22.743378673520009</v>
      </c>
      <c r="I134" s="264" t="str">
        <f>Dat_02!F133</f>
        <v/>
      </c>
      <c r="J134" s="276" t="str">
        <f>IF(Dat_02!G133=0,"",Dat_02!G133)</f>
        <v/>
      </c>
    </row>
    <row r="135" spans="2:10">
      <c r="B135" s="260"/>
      <c r="C135" s="261" t="s">
        <v>314</v>
      </c>
      <c r="D135" s="260"/>
      <c r="E135" s="263">
        <f>Dat_02!C134</f>
        <v>19.454866435248455</v>
      </c>
      <c r="F135" s="263">
        <f>Dat_02!D134</f>
        <v>22.743378673520009</v>
      </c>
      <c r="G135" s="263">
        <f>Dat_02!E134</f>
        <v>19.454866435248455</v>
      </c>
      <c r="I135" s="264" t="str">
        <f>Dat_02!F134</f>
        <v/>
      </c>
      <c r="J135" s="276" t="str">
        <f>IF(Dat_02!G134=0,"",Dat_02!G134)</f>
        <v/>
      </c>
    </row>
    <row r="136" spans="2:10">
      <c r="B136" s="260"/>
      <c r="C136" s="261" t="s">
        <v>315</v>
      </c>
      <c r="D136" s="260"/>
      <c r="E136" s="263">
        <f>Dat_02!C135</f>
        <v>34.97460958325032</v>
      </c>
      <c r="F136" s="263">
        <f>Dat_02!D135</f>
        <v>22.743378673520009</v>
      </c>
      <c r="G136" s="263">
        <f>Dat_02!E135</f>
        <v>22.743378673520009</v>
      </c>
      <c r="I136" s="264" t="str">
        <f>Dat_02!F135</f>
        <v/>
      </c>
      <c r="J136" s="276" t="str">
        <f>IF(Dat_02!G135=0,"",Dat_02!G135)</f>
        <v/>
      </c>
    </row>
    <row r="137" spans="2:10">
      <c r="B137" s="260"/>
      <c r="C137" s="261" t="s">
        <v>316</v>
      </c>
      <c r="D137" s="260"/>
      <c r="E137" s="263">
        <f>Dat_02!C136</f>
        <v>52.271077133248461</v>
      </c>
      <c r="F137" s="263">
        <f>Dat_02!D136</f>
        <v>22.743378673520009</v>
      </c>
      <c r="G137" s="263">
        <f>Dat_02!E136</f>
        <v>22.743378673520009</v>
      </c>
      <c r="I137" s="264" t="str">
        <f>Dat_02!F136</f>
        <v/>
      </c>
      <c r="J137" s="276" t="str">
        <f>IF(Dat_02!G136=0,"",Dat_02!G136)</f>
        <v/>
      </c>
    </row>
    <row r="138" spans="2:10">
      <c r="B138" s="260"/>
      <c r="C138" s="261" t="s">
        <v>317</v>
      </c>
      <c r="D138" s="260"/>
      <c r="E138" s="263">
        <f>Dat_02!C137</f>
        <v>55.014708317802551</v>
      </c>
      <c r="F138" s="263">
        <f>Dat_02!D137</f>
        <v>22.743378673520009</v>
      </c>
      <c r="G138" s="263">
        <f>Dat_02!E137</f>
        <v>22.743378673520009</v>
      </c>
      <c r="I138" s="264" t="str">
        <f>Dat_02!F137</f>
        <v/>
      </c>
      <c r="J138" s="276" t="str">
        <f>IF(Dat_02!G137=0,"",Dat_02!G137)</f>
        <v/>
      </c>
    </row>
    <row r="139" spans="2:10">
      <c r="B139" s="260"/>
      <c r="C139" s="261" t="s">
        <v>318</v>
      </c>
      <c r="D139" s="260"/>
      <c r="E139" s="263">
        <f>Dat_02!C138</f>
        <v>51.861687353802552</v>
      </c>
      <c r="F139" s="263">
        <f>Dat_02!D138</f>
        <v>22.743378673520009</v>
      </c>
      <c r="G139" s="263">
        <f>Dat_02!E138</f>
        <v>22.743378673520009</v>
      </c>
      <c r="I139" s="264" t="str">
        <f>Dat_02!F138</f>
        <v/>
      </c>
      <c r="J139" s="276" t="str">
        <f>IF(Dat_02!G138=0,"",Dat_02!G138)</f>
        <v/>
      </c>
    </row>
    <row r="140" spans="2:10">
      <c r="B140" s="260"/>
      <c r="C140" s="261" t="s">
        <v>319</v>
      </c>
      <c r="D140" s="260"/>
      <c r="E140" s="263">
        <f>Dat_02!C139</f>
        <v>36.703183287802545</v>
      </c>
      <c r="F140" s="263">
        <f>Dat_02!D139</f>
        <v>22.743378673520009</v>
      </c>
      <c r="G140" s="263">
        <f>Dat_02!E139</f>
        <v>22.743378673520009</v>
      </c>
      <c r="I140" s="264" t="str">
        <f>Dat_02!F139</f>
        <v/>
      </c>
      <c r="J140" s="276" t="str">
        <f>IF(Dat_02!G139=0,"",Dat_02!G139)</f>
        <v/>
      </c>
    </row>
    <row r="141" spans="2:10">
      <c r="B141" s="260"/>
      <c r="C141" s="261" t="s">
        <v>320</v>
      </c>
      <c r="D141" s="260"/>
      <c r="E141" s="263">
        <f>Dat_02!C140</f>
        <v>15.31814298380255</v>
      </c>
      <c r="F141" s="263">
        <f>Dat_02!D140</f>
        <v>22.743378673520009</v>
      </c>
      <c r="G141" s="263">
        <f>Dat_02!E140</f>
        <v>15.31814298380255</v>
      </c>
      <c r="I141" s="264" t="str">
        <f>Dat_02!F140</f>
        <v>S</v>
      </c>
      <c r="J141" s="276">
        <f>IF(Dat_02!G140=0,"",Dat_02!G140)</f>
        <v>22.743378673520009</v>
      </c>
    </row>
    <row r="142" spans="2:10">
      <c r="B142" s="260"/>
      <c r="C142" s="261" t="s">
        <v>321</v>
      </c>
      <c r="D142" s="260"/>
      <c r="E142" s="263">
        <f>Dat_02!C141</f>
        <v>8.5638278258025533</v>
      </c>
      <c r="F142" s="263">
        <f>Dat_02!D141</f>
        <v>22.743378673520009</v>
      </c>
      <c r="G142" s="263">
        <f>Dat_02!E141</f>
        <v>8.5638278258025533</v>
      </c>
      <c r="I142" s="264" t="str">
        <f>Dat_02!F141</f>
        <v/>
      </c>
      <c r="J142" s="276" t="str">
        <f>IF(Dat_02!G141=0,"",Dat_02!G141)</f>
        <v/>
      </c>
    </row>
    <row r="143" spans="2:10">
      <c r="B143" s="260"/>
      <c r="C143" s="261" t="s">
        <v>322</v>
      </c>
      <c r="D143" s="260"/>
      <c r="E143" s="263">
        <f>Dat_02!C142</f>
        <v>14.358251075802553</v>
      </c>
      <c r="F143" s="263">
        <f>Dat_02!D142</f>
        <v>22.743378673520009</v>
      </c>
      <c r="G143" s="263">
        <f>Dat_02!E142</f>
        <v>14.358251075802553</v>
      </c>
      <c r="I143" s="264" t="str">
        <f>Dat_02!F142</f>
        <v/>
      </c>
      <c r="J143" s="276" t="str">
        <f>IF(Dat_02!G142=0,"",Dat_02!G142)</f>
        <v/>
      </c>
    </row>
    <row r="144" spans="2:10">
      <c r="B144" s="260"/>
      <c r="C144" s="261" t="s">
        <v>323</v>
      </c>
      <c r="D144" s="260"/>
      <c r="E144" s="263">
        <f>Dat_02!C143</f>
        <v>28.288171725802545</v>
      </c>
      <c r="F144" s="263">
        <f>Dat_02!D143</f>
        <v>22.743378673520009</v>
      </c>
      <c r="G144" s="263">
        <f>Dat_02!E143</f>
        <v>22.743378673520009</v>
      </c>
      <c r="I144" s="264" t="str">
        <f>Dat_02!F143</f>
        <v/>
      </c>
      <c r="J144" s="276" t="str">
        <f>IF(Dat_02!G143=0,"",Dat_02!G143)</f>
        <v/>
      </c>
    </row>
    <row r="145" spans="2:10">
      <c r="B145" s="260"/>
      <c r="C145" s="261" t="s">
        <v>324</v>
      </c>
      <c r="D145" s="260"/>
      <c r="E145" s="263">
        <f>Dat_02!C144</f>
        <v>52.468209541696432</v>
      </c>
      <c r="F145" s="263">
        <f>Dat_02!D144</f>
        <v>22.743378673520009</v>
      </c>
      <c r="G145" s="263">
        <f>Dat_02!E144</f>
        <v>22.743378673520009</v>
      </c>
      <c r="I145" s="264" t="str">
        <f>Dat_02!F144</f>
        <v/>
      </c>
      <c r="J145" s="276" t="str">
        <f>IF(Dat_02!G144=0,"",Dat_02!G144)</f>
        <v/>
      </c>
    </row>
    <row r="146" spans="2:10">
      <c r="B146" s="260"/>
      <c r="C146" s="261" t="s">
        <v>325</v>
      </c>
      <c r="D146" s="260"/>
      <c r="E146" s="263">
        <f>Dat_02!C145</f>
        <v>48.68029413969829</v>
      </c>
      <c r="F146" s="263">
        <f>Dat_02!D145</f>
        <v>22.743378673520009</v>
      </c>
      <c r="G146" s="263">
        <f>Dat_02!E145</f>
        <v>22.743378673520009</v>
      </c>
      <c r="I146" s="264" t="str">
        <f>Dat_02!F145</f>
        <v/>
      </c>
      <c r="J146" s="276" t="str">
        <f>IF(Dat_02!G145=0,"",Dat_02!G145)</f>
        <v/>
      </c>
    </row>
    <row r="147" spans="2:10">
      <c r="B147" s="260"/>
      <c r="C147" s="261" t="s">
        <v>326</v>
      </c>
      <c r="D147" s="260"/>
      <c r="E147" s="263">
        <f>Dat_02!C146</f>
        <v>41.433091311696437</v>
      </c>
      <c r="F147" s="263">
        <f>Dat_02!D146</f>
        <v>22.743378673520009</v>
      </c>
      <c r="G147" s="263">
        <f>Dat_02!E146</f>
        <v>22.743378673520009</v>
      </c>
      <c r="I147" s="264" t="str">
        <f>Dat_02!F146</f>
        <v/>
      </c>
      <c r="J147" s="276" t="str">
        <f>IF(Dat_02!G146=0,"",Dat_02!G146)</f>
        <v/>
      </c>
    </row>
    <row r="148" spans="2:10">
      <c r="B148" s="260"/>
      <c r="C148" s="261" t="s">
        <v>327</v>
      </c>
      <c r="D148" s="260"/>
      <c r="E148" s="263">
        <f>Dat_02!C147</f>
        <v>15.696338941696435</v>
      </c>
      <c r="F148" s="263">
        <f>Dat_02!D147</f>
        <v>22.743378673520009</v>
      </c>
      <c r="G148" s="263">
        <f>Dat_02!E147</f>
        <v>15.696338941696435</v>
      </c>
      <c r="I148" s="264" t="str">
        <f>Dat_02!F147</f>
        <v/>
      </c>
      <c r="J148" s="276" t="str">
        <f>IF(Dat_02!G147=0,"",Dat_02!G147)</f>
        <v/>
      </c>
    </row>
    <row r="149" spans="2:10">
      <c r="B149" s="260"/>
      <c r="C149" s="261" t="s">
        <v>328</v>
      </c>
      <c r="D149" s="260"/>
      <c r="E149" s="263">
        <f>Dat_02!C148</f>
        <v>5.7461719036982979</v>
      </c>
      <c r="F149" s="263">
        <f>Dat_02!D148</f>
        <v>22.743378673520009</v>
      </c>
      <c r="G149" s="263">
        <f>Dat_02!E148</f>
        <v>5.7461719036982979</v>
      </c>
      <c r="I149" s="264" t="str">
        <f>Dat_02!F148</f>
        <v/>
      </c>
      <c r="J149" s="276" t="str">
        <f>IF(Dat_02!G148=0,"",Dat_02!G148)</f>
        <v/>
      </c>
    </row>
    <row r="150" spans="2:10">
      <c r="B150" s="260"/>
      <c r="C150" s="261" t="s">
        <v>329</v>
      </c>
      <c r="D150" s="260"/>
      <c r="E150" s="263">
        <f>Dat_02!C149</f>
        <v>18.109064911696436</v>
      </c>
      <c r="F150" s="263">
        <f>Dat_02!D149</f>
        <v>22.743378673520009</v>
      </c>
      <c r="G150" s="263">
        <f>Dat_02!E149</f>
        <v>18.109064911696436</v>
      </c>
      <c r="I150" s="264" t="str">
        <f>Dat_02!F149</f>
        <v/>
      </c>
      <c r="J150" s="276" t="str">
        <f>IF(Dat_02!G149=0,"",Dat_02!G149)</f>
        <v/>
      </c>
    </row>
    <row r="151" spans="2:10">
      <c r="B151" s="260"/>
      <c r="C151" s="261" t="s">
        <v>330</v>
      </c>
      <c r="D151" s="260"/>
      <c r="E151" s="263">
        <f>Dat_02!C150</f>
        <v>18.974976891696439</v>
      </c>
      <c r="F151" s="263">
        <f>Dat_02!D150</f>
        <v>22.743378673520009</v>
      </c>
      <c r="G151" s="263">
        <f>Dat_02!E150</f>
        <v>18.974976891696439</v>
      </c>
      <c r="I151" s="264" t="str">
        <f>Dat_02!F150</f>
        <v/>
      </c>
      <c r="J151" s="276" t="str">
        <f>IF(Dat_02!G150=0,"",Dat_02!G150)</f>
        <v/>
      </c>
    </row>
    <row r="152" spans="2:10">
      <c r="B152" s="260"/>
      <c r="C152" s="261" t="s">
        <v>331</v>
      </c>
      <c r="D152" s="260"/>
      <c r="E152" s="263">
        <f>Dat_02!C151</f>
        <v>10.52124702121337</v>
      </c>
      <c r="F152" s="263">
        <f>Dat_02!D151</f>
        <v>22.743378673520009</v>
      </c>
      <c r="G152" s="263">
        <f>Dat_02!E151</f>
        <v>10.52124702121337</v>
      </c>
      <c r="I152" s="264" t="str">
        <f>Dat_02!F151</f>
        <v/>
      </c>
      <c r="J152" s="276" t="str">
        <f>IF(Dat_02!G151=0,"",Dat_02!G151)</f>
        <v/>
      </c>
    </row>
    <row r="153" spans="2:10">
      <c r="B153" s="260"/>
      <c r="C153" s="261" t="s">
        <v>332</v>
      </c>
      <c r="D153" s="260"/>
      <c r="E153" s="263">
        <f>Dat_02!C152</f>
        <v>10.045401815213365</v>
      </c>
      <c r="F153" s="263">
        <f>Dat_02!D152</f>
        <v>22.743378673520009</v>
      </c>
      <c r="G153" s="263">
        <f>Dat_02!E152</f>
        <v>10.045401815213365</v>
      </c>
      <c r="I153" s="264" t="str">
        <f>Dat_02!F152</f>
        <v/>
      </c>
      <c r="J153" s="276" t="str">
        <f>IF(Dat_02!G152=0,"",Dat_02!G152)</f>
        <v/>
      </c>
    </row>
    <row r="154" spans="2:10">
      <c r="B154" s="260"/>
      <c r="C154" s="261" t="s">
        <v>333</v>
      </c>
      <c r="D154" s="260"/>
      <c r="E154" s="263">
        <f>Dat_02!C153</f>
        <v>10.143655751212435</v>
      </c>
      <c r="F154" s="263">
        <f>Dat_02!D153</f>
        <v>22.743378673520009</v>
      </c>
      <c r="G154" s="263">
        <f>Dat_02!E153</f>
        <v>10.143655751212435</v>
      </c>
      <c r="I154" s="264" t="str">
        <f>Dat_02!F153</f>
        <v/>
      </c>
      <c r="J154" s="276" t="str">
        <f>IF(Dat_02!G153=0,"",Dat_02!G153)</f>
        <v/>
      </c>
    </row>
    <row r="155" spans="2:10">
      <c r="B155" s="260"/>
      <c r="C155" s="261" t="s">
        <v>334</v>
      </c>
      <c r="D155" s="260"/>
      <c r="E155" s="263">
        <f>Dat_02!C154</f>
        <v>8.887261627213368</v>
      </c>
      <c r="F155" s="263">
        <f>Dat_02!D154</f>
        <v>22.743378673520009</v>
      </c>
      <c r="G155" s="263">
        <f>Dat_02!E154</f>
        <v>8.887261627213368</v>
      </c>
      <c r="I155" s="264" t="str">
        <f>Dat_02!F154</f>
        <v/>
      </c>
      <c r="J155" s="276" t="str">
        <f>IF(Dat_02!G154=0,"",Dat_02!G154)</f>
        <v/>
      </c>
    </row>
    <row r="156" spans="2:10">
      <c r="B156" s="262"/>
      <c r="C156" s="267" t="s">
        <v>335</v>
      </c>
      <c r="D156" s="262"/>
      <c r="E156" s="263">
        <f>Dat_02!C155</f>
        <v>8.1643874632124351</v>
      </c>
      <c r="F156" s="263">
        <f>Dat_02!D155</f>
        <v>22.743378673520009</v>
      </c>
      <c r="G156" s="263">
        <f>Dat_02!E155</f>
        <v>8.1643874632124351</v>
      </c>
      <c r="I156" s="264" t="str">
        <f>Dat_02!F155</f>
        <v/>
      </c>
      <c r="J156" s="276" t="str">
        <f>IF(Dat_02!G155=0,"",Dat_02!G155)</f>
        <v/>
      </c>
    </row>
    <row r="157" spans="2:10">
      <c r="B157" s="260" t="s">
        <v>336</v>
      </c>
      <c r="C157" s="261" t="s">
        <v>337</v>
      </c>
      <c r="D157" s="262"/>
      <c r="E157" s="263">
        <f>Dat_02!C156</f>
        <v>7.4252774952133693</v>
      </c>
      <c r="F157" s="263">
        <f>Dat_02!D156</f>
        <v>45.741764250654825</v>
      </c>
      <c r="G157" s="263">
        <f>Dat_02!E156</f>
        <v>7.4252774952133693</v>
      </c>
      <c r="I157" s="264" t="str">
        <f>Dat_02!F156</f>
        <v/>
      </c>
      <c r="J157" s="276" t="str">
        <f>IF(Dat_02!G156=0,"",Dat_02!G156)</f>
        <v/>
      </c>
    </row>
    <row r="158" spans="2:10">
      <c r="B158" s="262"/>
      <c r="C158" s="261" t="s">
        <v>338</v>
      </c>
      <c r="D158" s="262"/>
      <c r="E158" s="263">
        <f>Dat_02!C157</f>
        <v>4.6113332072124393</v>
      </c>
      <c r="F158" s="263">
        <f>Dat_02!D157</f>
        <v>45.741764250654825</v>
      </c>
      <c r="G158" s="263">
        <f>Dat_02!E157</f>
        <v>4.6113332072124393</v>
      </c>
      <c r="I158" s="264" t="str">
        <f>Dat_02!F157</f>
        <v/>
      </c>
      <c r="J158" s="276" t="str">
        <f>IF(Dat_02!G157=0,"",Dat_02!G157)</f>
        <v/>
      </c>
    </row>
    <row r="159" spans="2:10">
      <c r="B159" s="260"/>
      <c r="C159" s="261" t="s">
        <v>339</v>
      </c>
      <c r="D159" s="260"/>
      <c r="E159" s="263">
        <f>Dat_02!C158</f>
        <v>2.4112627607003305</v>
      </c>
      <c r="F159" s="263">
        <f>Dat_02!D158</f>
        <v>45.741764250654825</v>
      </c>
      <c r="G159" s="263">
        <f>Dat_02!E158</f>
        <v>2.4112627607003305</v>
      </c>
      <c r="I159" s="264" t="str">
        <f>Dat_02!F158</f>
        <v/>
      </c>
      <c r="J159" s="276" t="str">
        <f>IF(Dat_02!G158=0,"",Dat_02!G158)</f>
        <v/>
      </c>
    </row>
    <row r="160" spans="2:10">
      <c r="B160" s="260"/>
      <c r="C160" s="261" t="s">
        <v>340</v>
      </c>
      <c r="D160" s="260"/>
      <c r="E160" s="263">
        <f>Dat_02!C159</f>
        <v>7.0308852647012605</v>
      </c>
      <c r="F160" s="263">
        <f>Dat_02!D159</f>
        <v>45.741764250654825</v>
      </c>
      <c r="G160" s="263">
        <f>Dat_02!E159</f>
        <v>7.0308852647012605</v>
      </c>
      <c r="I160" s="264" t="str">
        <f>Dat_02!F159</f>
        <v/>
      </c>
      <c r="J160" s="276" t="str">
        <f>IF(Dat_02!G159=0,"",Dat_02!G159)</f>
        <v/>
      </c>
    </row>
    <row r="161" spans="2:10">
      <c r="B161" s="260"/>
      <c r="C161" s="261" t="s">
        <v>341</v>
      </c>
      <c r="D161" s="260"/>
      <c r="E161" s="263">
        <f>Dat_02!C160</f>
        <v>5.9319190727003299</v>
      </c>
      <c r="F161" s="263">
        <f>Dat_02!D160</f>
        <v>45.741764250654825</v>
      </c>
      <c r="G161" s="263">
        <f>Dat_02!E160</f>
        <v>5.9319190727003299</v>
      </c>
      <c r="I161" s="264" t="str">
        <f>Dat_02!F160</f>
        <v/>
      </c>
      <c r="J161" s="276" t="str">
        <f>IF(Dat_02!G160=0,"",Dat_02!G160)</f>
        <v/>
      </c>
    </row>
    <row r="162" spans="2:10">
      <c r="B162" s="260"/>
      <c r="C162" s="261" t="s">
        <v>342</v>
      </c>
      <c r="D162" s="260"/>
      <c r="E162" s="263">
        <f>Dat_02!C161</f>
        <v>3.946247852700326</v>
      </c>
      <c r="F162" s="263">
        <f>Dat_02!D161</f>
        <v>45.741764250654825</v>
      </c>
      <c r="G162" s="263">
        <f>Dat_02!E161</f>
        <v>3.946247852700326</v>
      </c>
      <c r="I162" s="264" t="str">
        <f>Dat_02!F161</f>
        <v/>
      </c>
      <c r="J162" s="276" t="str">
        <f>IF(Dat_02!G161=0,"",Dat_02!G161)</f>
        <v/>
      </c>
    </row>
    <row r="163" spans="2:10">
      <c r="B163" s="260"/>
      <c r="C163" s="261" t="s">
        <v>343</v>
      </c>
      <c r="D163" s="260"/>
      <c r="E163" s="263">
        <f>Dat_02!C162</f>
        <v>1.9682216107003296</v>
      </c>
      <c r="F163" s="263">
        <f>Dat_02!D162</f>
        <v>45.741764250654825</v>
      </c>
      <c r="G163" s="263">
        <f>Dat_02!E162</f>
        <v>1.9682216107003296</v>
      </c>
      <c r="I163" s="264" t="str">
        <f>Dat_02!F162</f>
        <v/>
      </c>
      <c r="J163" s="276" t="str">
        <f>IF(Dat_02!G162=0,"",Dat_02!G162)</f>
        <v/>
      </c>
    </row>
    <row r="164" spans="2:10">
      <c r="B164" s="260"/>
      <c r="C164" s="261" t="s">
        <v>344</v>
      </c>
      <c r="D164" s="260"/>
      <c r="E164" s="263">
        <f>Dat_02!C163</f>
        <v>2.5057455447012615</v>
      </c>
      <c r="F164" s="263">
        <f>Dat_02!D163</f>
        <v>45.741764250654825</v>
      </c>
      <c r="G164" s="263">
        <f>Dat_02!E163</f>
        <v>2.5057455447012615</v>
      </c>
      <c r="I164" s="264" t="str">
        <f>Dat_02!F163</f>
        <v/>
      </c>
      <c r="J164" s="276" t="str">
        <f>IF(Dat_02!G163=0,"",Dat_02!G163)</f>
        <v/>
      </c>
    </row>
    <row r="165" spans="2:10">
      <c r="B165" s="260"/>
      <c r="C165" s="261" t="s">
        <v>345</v>
      </c>
      <c r="D165" s="260"/>
      <c r="E165" s="263">
        <f>Dat_02!C164</f>
        <v>4.9099687527003262</v>
      </c>
      <c r="F165" s="263">
        <f>Dat_02!D164</f>
        <v>45.741764250654825</v>
      </c>
      <c r="G165" s="263">
        <f>Dat_02!E164</f>
        <v>4.9099687527003262</v>
      </c>
      <c r="I165" s="264" t="str">
        <f>Dat_02!F164</f>
        <v/>
      </c>
      <c r="J165" s="276" t="str">
        <f>IF(Dat_02!G164=0,"",Dat_02!G164)</f>
        <v/>
      </c>
    </row>
    <row r="166" spans="2:10">
      <c r="B166" s="260"/>
      <c r="C166" s="261" t="s">
        <v>346</v>
      </c>
      <c r="D166" s="260"/>
      <c r="E166" s="263">
        <f>Dat_02!C165</f>
        <v>29.922283912888815</v>
      </c>
      <c r="F166" s="263">
        <f>Dat_02!D165</f>
        <v>45.741764250654825</v>
      </c>
      <c r="G166" s="263">
        <f>Dat_02!E165</f>
        <v>29.922283912888815</v>
      </c>
      <c r="I166" s="264" t="str">
        <f>Dat_02!F165</f>
        <v/>
      </c>
      <c r="J166" s="276" t="str">
        <f>IF(Dat_02!G165=0,"",Dat_02!G165)</f>
        <v/>
      </c>
    </row>
    <row r="167" spans="2:10">
      <c r="B167" s="260"/>
      <c r="C167" s="261" t="s">
        <v>347</v>
      </c>
      <c r="D167" s="260"/>
      <c r="E167" s="263">
        <f>Dat_02!C166</f>
        <v>25.401274768888818</v>
      </c>
      <c r="F167" s="263">
        <f>Dat_02!D166</f>
        <v>45.741764250654825</v>
      </c>
      <c r="G167" s="263">
        <f>Dat_02!E166</f>
        <v>25.401274768888818</v>
      </c>
      <c r="I167" s="264" t="str">
        <f>Dat_02!F166</f>
        <v/>
      </c>
      <c r="J167" s="276" t="str">
        <f>IF(Dat_02!G166=0,"",Dat_02!G166)</f>
        <v/>
      </c>
    </row>
    <row r="168" spans="2:10">
      <c r="B168" s="260"/>
      <c r="C168" s="261" t="s">
        <v>348</v>
      </c>
      <c r="D168" s="260"/>
      <c r="E168" s="263">
        <f>Dat_02!C167</f>
        <v>26.291245220888815</v>
      </c>
      <c r="F168" s="263">
        <f>Dat_02!D167</f>
        <v>45.741764250654825</v>
      </c>
      <c r="G168" s="263">
        <f>Dat_02!E167</f>
        <v>26.291245220888815</v>
      </c>
      <c r="I168" s="264" t="str">
        <f>Dat_02!F167</f>
        <v/>
      </c>
      <c r="J168" s="276" t="str">
        <f>IF(Dat_02!G167=0,"",Dat_02!G167)</f>
        <v/>
      </c>
    </row>
    <row r="169" spans="2:10">
      <c r="B169" s="260"/>
      <c r="C169" s="261" t="s">
        <v>349</v>
      </c>
      <c r="D169" s="260"/>
      <c r="E169" s="263">
        <f>Dat_02!C168</f>
        <v>14.202770838888817</v>
      </c>
      <c r="F169" s="263">
        <f>Dat_02!D168</f>
        <v>45.741764250654825</v>
      </c>
      <c r="G169" s="263">
        <f>Dat_02!E168</f>
        <v>14.202770838888817</v>
      </c>
      <c r="I169" s="264" t="str">
        <f>Dat_02!F168</f>
        <v/>
      </c>
      <c r="J169" s="276" t="str">
        <f>IF(Dat_02!G168=0,"",Dat_02!G168)</f>
        <v/>
      </c>
    </row>
    <row r="170" spans="2:10">
      <c r="B170" s="260"/>
      <c r="C170" s="261" t="s">
        <v>350</v>
      </c>
      <c r="D170" s="260"/>
      <c r="E170" s="263">
        <f>Dat_02!C169</f>
        <v>17.409148476889747</v>
      </c>
      <c r="F170" s="263">
        <f>Dat_02!D169</f>
        <v>45.741764250654825</v>
      </c>
      <c r="G170" s="263">
        <f>Dat_02!E169</f>
        <v>17.409148476889747</v>
      </c>
      <c r="I170" s="264" t="str">
        <f>Dat_02!F169</f>
        <v/>
      </c>
      <c r="J170" s="276" t="str">
        <f>IF(Dat_02!G169=0,"",Dat_02!G169)</f>
        <v/>
      </c>
    </row>
    <row r="171" spans="2:10">
      <c r="B171" s="260"/>
      <c r="C171" s="261" t="s">
        <v>351</v>
      </c>
      <c r="D171" s="260"/>
      <c r="E171" s="263">
        <f>Dat_02!C170</f>
        <v>36.150228392888813</v>
      </c>
      <c r="F171" s="263">
        <f>Dat_02!D170</f>
        <v>45.741764250654825</v>
      </c>
      <c r="G171" s="263">
        <f>Dat_02!E170</f>
        <v>36.150228392888813</v>
      </c>
      <c r="I171" s="264" t="str">
        <f>Dat_02!F170</f>
        <v>O</v>
      </c>
      <c r="J171" s="276">
        <f>IF(Dat_02!G170=0,"",Dat_02!G170)</f>
        <v>45.741764250654825</v>
      </c>
    </row>
    <row r="172" spans="2:10">
      <c r="B172" s="260"/>
      <c r="C172" s="261" t="s">
        <v>352</v>
      </c>
      <c r="D172" s="260"/>
      <c r="E172" s="263">
        <f>Dat_02!C171</f>
        <v>65.735409520888822</v>
      </c>
      <c r="F172" s="263">
        <f>Dat_02!D171</f>
        <v>45.741764250654825</v>
      </c>
      <c r="G172" s="263">
        <f>Dat_02!E171</f>
        <v>45.741764250654825</v>
      </c>
      <c r="I172" s="264" t="str">
        <f>Dat_02!F171</f>
        <v/>
      </c>
      <c r="J172" s="276" t="str">
        <f>IF(Dat_02!G171=0,"",Dat_02!G171)</f>
        <v/>
      </c>
    </row>
    <row r="173" spans="2:10">
      <c r="B173" s="260"/>
      <c r="C173" s="261" t="s">
        <v>353</v>
      </c>
      <c r="D173" s="260"/>
      <c r="E173" s="263">
        <f>Dat_02!C172</f>
        <v>73.439336114986489</v>
      </c>
      <c r="F173" s="263">
        <f>Dat_02!D172</f>
        <v>45.741764250654825</v>
      </c>
      <c r="G173" s="263">
        <f>Dat_02!E172</f>
        <v>45.741764250654825</v>
      </c>
      <c r="I173" s="264" t="str">
        <f>Dat_02!F172</f>
        <v/>
      </c>
      <c r="J173" s="276" t="str">
        <f>IF(Dat_02!G172=0,"",Dat_02!G172)</f>
        <v/>
      </c>
    </row>
    <row r="174" spans="2:10">
      <c r="B174" s="260"/>
      <c r="C174" s="261" t="s">
        <v>354</v>
      </c>
      <c r="D174" s="260"/>
      <c r="E174" s="263">
        <f>Dat_02!C173</f>
        <v>45.994974128986492</v>
      </c>
      <c r="F174" s="263">
        <f>Dat_02!D173</f>
        <v>45.741764250654825</v>
      </c>
      <c r="G174" s="263">
        <f>Dat_02!E173</f>
        <v>45.741764250654825</v>
      </c>
      <c r="I174" s="264" t="str">
        <f>Dat_02!F173</f>
        <v/>
      </c>
      <c r="J174" s="276" t="str">
        <f>IF(Dat_02!G173=0,"",Dat_02!G173)</f>
        <v/>
      </c>
    </row>
    <row r="175" spans="2:10">
      <c r="B175" s="260"/>
      <c r="C175" s="261" t="s">
        <v>355</v>
      </c>
      <c r="D175" s="260"/>
      <c r="E175" s="263">
        <f>Dat_02!C174</f>
        <v>49.237889926986483</v>
      </c>
      <c r="F175" s="263">
        <f>Dat_02!D174</f>
        <v>45.741764250654825</v>
      </c>
      <c r="G175" s="263">
        <f>Dat_02!E174</f>
        <v>45.741764250654825</v>
      </c>
      <c r="I175" s="264" t="str">
        <f>Dat_02!F174</f>
        <v/>
      </c>
      <c r="J175" s="276" t="str">
        <f>IF(Dat_02!G174=0,"",Dat_02!G174)</f>
        <v/>
      </c>
    </row>
    <row r="176" spans="2:10">
      <c r="B176" s="260"/>
      <c r="C176" s="261" t="s">
        <v>356</v>
      </c>
      <c r="D176" s="260"/>
      <c r="E176" s="263">
        <f>Dat_02!C175</f>
        <v>45.339922974987424</v>
      </c>
      <c r="F176" s="263">
        <f>Dat_02!D175</f>
        <v>45.741764250654825</v>
      </c>
      <c r="G176" s="263">
        <f>Dat_02!E175</f>
        <v>45.339922974987424</v>
      </c>
      <c r="I176" s="264" t="str">
        <f>Dat_02!F175</f>
        <v/>
      </c>
      <c r="J176" s="276" t="str">
        <f>IF(Dat_02!G175=0,"",Dat_02!G175)</f>
        <v/>
      </c>
    </row>
    <row r="177" spans="2:10">
      <c r="B177" s="260"/>
      <c r="C177" s="261" t="s">
        <v>357</v>
      </c>
      <c r="D177" s="260"/>
      <c r="E177" s="263">
        <f>Dat_02!C176</f>
        <v>45.968826122986485</v>
      </c>
      <c r="F177" s="263">
        <f>Dat_02!D176</f>
        <v>45.741764250654825</v>
      </c>
      <c r="G177" s="263">
        <f>Dat_02!E176</f>
        <v>45.741764250654825</v>
      </c>
      <c r="I177" s="264" t="str">
        <f>Dat_02!F176</f>
        <v/>
      </c>
      <c r="J177" s="276" t="str">
        <f>IF(Dat_02!G176=0,"",Dat_02!G176)</f>
        <v/>
      </c>
    </row>
    <row r="178" spans="2:10">
      <c r="B178" s="260"/>
      <c r="C178" s="261" t="s">
        <v>358</v>
      </c>
      <c r="D178" s="260"/>
      <c r="E178" s="263">
        <f>Dat_02!C177</f>
        <v>44.118682864986489</v>
      </c>
      <c r="F178" s="263">
        <f>Dat_02!D177</f>
        <v>45.741764250654825</v>
      </c>
      <c r="G178" s="263">
        <f>Dat_02!E177</f>
        <v>44.118682864986489</v>
      </c>
      <c r="I178" s="264" t="str">
        <f>Dat_02!F177</f>
        <v/>
      </c>
      <c r="J178" s="276" t="str">
        <f>IF(Dat_02!G177=0,"",Dat_02!G177)</f>
        <v/>
      </c>
    </row>
    <row r="179" spans="2:10">
      <c r="B179" s="260"/>
      <c r="C179" s="261" t="s">
        <v>359</v>
      </c>
      <c r="D179" s="260"/>
      <c r="E179" s="263">
        <f>Dat_02!C178</f>
        <v>42.551666610986487</v>
      </c>
      <c r="F179" s="263">
        <f>Dat_02!D178</f>
        <v>45.741764250654825</v>
      </c>
      <c r="G179" s="263">
        <f>Dat_02!E178</f>
        <v>42.551666610986487</v>
      </c>
      <c r="I179" s="264" t="str">
        <f>Dat_02!F178</f>
        <v/>
      </c>
      <c r="J179" s="276" t="str">
        <f>IF(Dat_02!G178=0,"",Dat_02!G178)</f>
        <v/>
      </c>
    </row>
    <row r="180" spans="2:10">
      <c r="B180" s="260"/>
      <c r="C180" s="261" t="s">
        <v>360</v>
      </c>
      <c r="D180" s="260"/>
      <c r="E180" s="263">
        <f>Dat_02!C179</f>
        <v>32.040779314450049</v>
      </c>
      <c r="F180" s="263">
        <f>Dat_02!D179</f>
        <v>45.741764250654825</v>
      </c>
      <c r="G180" s="263">
        <f>Dat_02!E179</f>
        <v>32.040779314450049</v>
      </c>
      <c r="I180" s="264" t="str">
        <f>Dat_02!F179</f>
        <v/>
      </c>
      <c r="J180" s="276" t="str">
        <f>IF(Dat_02!G179=0,"",Dat_02!G179)</f>
        <v/>
      </c>
    </row>
    <row r="181" spans="2:10">
      <c r="B181" s="260"/>
      <c r="C181" s="261" t="s">
        <v>361</v>
      </c>
      <c r="D181" s="260"/>
      <c r="E181" s="263">
        <f>Dat_02!C180</f>
        <v>46.540701682450049</v>
      </c>
      <c r="F181" s="263">
        <f>Dat_02!D180</f>
        <v>45.741764250654825</v>
      </c>
      <c r="G181" s="263">
        <f>Dat_02!E180</f>
        <v>45.741764250654825</v>
      </c>
      <c r="I181" s="264" t="str">
        <f>Dat_02!F180</f>
        <v/>
      </c>
      <c r="J181" s="276" t="str">
        <f>IF(Dat_02!G180=0,"",Dat_02!G180)</f>
        <v/>
      </c>
    </row>
    <row r="182" spans="2:10">
      <c r="B182" s="260"/>
      <c r="C182" s="261" t="s">
        <v>362</v>
      </c>
      <c r="D182" s="260"/>
      <c r="E182" s="263">
        <f>Dat_02!C181</f>
        <v>49.272894104450053</v>
      </c>
      <c r="F182" s="263">
        <f>Dat_02!D181</f>
        <v>45.741764250654825</v>
      </c>
      <c r="G182" s="263">
        <f>Dat_02!E181</f>
        <v>45.741764250654825</v>
      </c>
      <c r="I182" s="264" t="str">
        <f>Dat_02!F181</f>
        <v/>
      </c>
      <c r="J182" s="276" t="str">
        <f>IF(Dat_02!G181=0,"",Dat_02!G181)</f>
        <v/>
      </c>
    </row>
    <row r="183" spans="2:10">
      <c r="B183" s="260"/>
      <c r="C183" s="261" t="s">
        <v>363</v>
      </c>
      <c r="D183" s="260"/>
      <c r="E183" s="263">
        <f>Dat_02!C182</f>
        <v>19.379339686450045</v>
      </c>
      <c r="F183" s="263">
        <f>Dat_02!D182</f>
        <v>45.741764250654825</v>
      </c>
      <c r="G183" s="263">
        <f>Dat_02!E182</f>
        <v>19.379339686450045</v>
      </c>
      <c r="I183" s="264" t="str">
        <f>Dat_02!F182</f>
        <v/>
      </c>
      <c r="J183" s="276" t="str">
        <f>IF(Dat_02!G182=0,"",Dat_02!G182)</f>
        <v/>
      </c>
    </row>
    <row r="184" spans="2:10">
      <c r="B184" s="260"/>
      <c r="C184" s="261" t="s">
        <v>364</v>
      </c>
      <c r="D184" s="260"/>
      <c r="E184" s="263">
        <f>Dat_02!C183</f>
        <v>11.525720718450048</v>
      </c>
      <c r="F184" s="263">
        <f>Dat_02!D183</f>
        <v>45.741764250654825</v>
      </c>
      <c r="G184" s="263">
        <f>Dat_02!E183</f>
        <v>11.525720718450048</v>
      </c>
      <c r="I184" s="264" t="str">
        <f>Dat_02!F183</f>
        <v/>
      </c>
      <c r="J184" s="276" t="str">
        <f>IF(Dat_02!G183=0,"",Dat_02!G183)</f>
        <v/>
      </c>
    </row>
    <row r="185" spans="2:10">
      <c r="B185" s="260"/>
      <c r="C185" s="261" t="s">
        <v>365</v>
      </c>
      <c r="D185" s="260"/>
      <c r="E185" s="263">
        <f>Dat_02!C184</f>
        <v>16.507644544450049</v>
      </c>
      <c r="F185" s="263">
        <f>Dat_02!D184</f>
        <v>45.741764250654825</v>
      </c>
      <c r="G185" s="263">
        <f>Dat_02!E184</f>
        <v>16.507644544450049</v>
      </c>
      <c r="I185" s="264" t="str">
        <f>Dat_02!F184</f>
        <v/>
      </c>
      <c r="J185" s="276" t="str">
        <f>IF(Dat_02!G184=0,"",Dat_02!G184)</f>
        <v/>
      </c>
    </row>
    <row r="186" spans="2:10">
      <c r="B186" s="262"/>
      <c r="C186" s="267" t="s">
        <v>366</v>
      </c>
      <c r="D186" s="260"/>
      <c r="E186" s="263">
        <f>Dat_02!C185</f>
        <v>45.906121108450051</v>
      </c>
      <c r="F186" s="263">
        <f>Dat_02!D185</f>
        <v>45.741764250654825</v>
      </c>
      <c r="G186" s="263">
        <f>Dat_02!E185</f>
        <v>45.741764250654825</v>
      </c>
      <c r="I186" s="264" t="str">
        <f>Dat_02!F185</f>
        <v/>
      </c>
      <c r="J186" s="276" t="str">
        <f>IF(Dat_02!G185=0,"",Dat_02!G185)</f>
        <v/>
      </c>
    </row>
    <row r="187" spans="2:10">
      <c r="B187" s="262"/>
      <c r="C187" s="267" t="s">
        <v>367</v>
      </c>
      <c r="D187" s="262"/>
      <c r="E187" s="263">
        <f>Dat_02!C186</f>
        <v>75.911397372363609</v>
      </c>
      <c r="F187" s="263">
        <f>Dat_02!D186</f>
        <v>45.741764250654825</v>
      </c>
      <c r="G187" s="263">
        <f>Dat_02!E186</f>
        <v>45.741764250654825</v>
      </c>
      <c r="I187" s="264" t="str">
        <f>Dat_02!F186</f>
        <v/>
      </c>
      <c r="J187" s="276" t="str">
        <f>IF(Dat_02!G186=0,"",Dat_02!G186)</f>
        <v/>
      </c>
    </row>
    <row r="188" spans="2:10">
      <c r="B188" s="260" t="s">
        <v>368</v>
      </c>
      <c r="C188" s="261" t="s">
        <v>369</v>
      </c>
      <c r="D188" s="262"/>
      <c r="E188" s="263">
        <f>Dat_02!C187</f>
        <v>43.424325616363625</v>
      </c>
      <c r="F188" s="263">
        <f>Dat_02!D187</f>
        <v>80.413851096189973</v>
      </c>
      <c r="G188" s="263">
        <f>Dat_02!E187</f>
        <v>43.424325616363625</v>
      </c>
      <c r="I188" s="264" t="str">
        <f>Dat_02!F187</f>
        <v/>
      </c>
      <c r="J188" s="276" t="str">
        <f>IF(Dat_02!G187=0,"",Dat_02!G187)</f>
        <v/>
      </c>
    </row>
    <row r="189" spans="2:10">
      <c r="B189" s="262"/>
      <c r="C189" s="261" t="s">
        <v>370</v>
      </c>
      <c r="D189" s="262"/>
      <c r="E189" s="263">
        <f>Dat_02!C188</f>
        <v>47.082433798362693</v>
      </c>
      <c r="F189" s="263">
        <f>Dat_02!D188</f>
        <v>80.413851096189973</v>
      </c>
      <c r="G189" s="263">
        <f>Dat_02!E188</f>
        <v>47.082433798362693</v>
      </c>
      <c r="I189" s="264" t="str">
        <f>Dat_02!F188</f>
        <v/>
      </c>
      <c r="J189" s="276" t="str">
        <f>IF(Dat_02!G188=0,"",Dat_02!G188)</f>
        <v/>
      </c>
    </row>
    <row r="190" spans="2:10">
      <c r="B190" s="260"/>
      <c r="C190" s="261" t="s">
        <v>371</v>
      </c>
      <c r="D190" s="260"/>
      <c r="E190" s="263">
        <f>Dat_02!C189</f>
        <v>47.249854606363627</v>
      </c>
      <c r="F190" s="263">
        <f>Dat_02!D189</f>
        <v>80.413851096189973</v>
      </c>
      <c r="G190" s="263">
        <f>Dat_02!E189</f>
        <v>47.249854606363627</v>
      </c>
      <c r="I190" s="264" t="str">
        <f>Dat_02!F189</f>
        <v/>
      </c>
      <c r="J190" s="276" t="str">
        <f>IF(Dat_02!G189=0,"",Dat_02!G189)</f>
        <v/>
      </c>
    </row>
    <row r="191" spans="2:10">
      <c r="B191" s="260"/>
      <c r="C191" s="261" t="s">
        <v>372</v>
      </c>
      <c r="D191" s="260"/>
      <c r="E191" s="263">
        <f>Dat_02!C190</f>
        <v>43.322870924363627</v>
      </c>
      <c r="F191" s="263">
        <f>Dat_02!D190</f>
        <v>80.413851096189973</v>
      </c>
      <c r="G191" s="263">
        <f>Dat_02!E190</f>
        <v>43.322870924363627</v>
      </c>
      <c r="I191" s="264" t="str">
        <f>Dat_02!F190</f>
        <v/>
      </c>
      <c r="J191" s="276" t="str">
        <f>IF(Dat_02!G190=0,"",Dat_02!G190)</f>
        <v/>
      </c>
    </row>
    <row r="192" spans="2:10">
      <c r="B192" s="260"/>
      <c r="C192" s="261" t="s">
        <v>373</v>
      </c>
      <c r="D192" s="260"/>
      <c r="E192" s="263">
        <f>Dat_02!C191</f>
        <v>57.86399866236269</v>
      </c>
      <c r="F192" s="263">
        <f>Dat_02!D191</f>
        <v>80.413851096189973</v>
      </c>
      <c r="G192" s="263">
        <f>Dat_02!E191</f>
        <v>57.86399866236269</v>
      </c>
      <c r="I192" s="264" t="str">
        <f>Dat_02!F191</f>
        <v/>
      </c>
      <c r="J192" s="276" t="str">
        <f>IF(Dat_02!G191=0,"",Dat_02!G191)</f>
        <v/>
      </c>
    </row>
    <row r="193" spans="2:10">
      <c r="B193" s="260"/>
      <c r="C193" s="261" t="s">
        <v>374</v>
      </c>
      <c r="D193" s="260"/>
      <c r="E193" s="263">
        <f>Dat_02!C192</f>
        <v>48.883623674363626</v>
      </c>
      <c r="F193" s="263">
        <f>Dat_02!D192</f>
        <v>80.413851096189973</v>
      </c>
      <c r="G193" s="263">
        <f>Dat_02!E192</f>
        <v>48.883623674363626</v>
      </c>
      <c r="I193" s="264" t="str">
        <f>Dat_02!F192</f>
        <v/>
      </c>
      <c r="J193" s="276" t="str">
        <f>IF(Dat_02!G192=0,"",Dat_02!G192)</f>
        <v/>
      </c>
    </row>
    <row r="194" spans="2:10">
      <c r="B194" s="260"/>
      <c r="C194" s="261" t="s">
        <v>375</v>
      </c>
      <c r="D194" s="260"/>
      <c r="E194" s="263">
        <f>Dat_02!C193</f>
        <v>86.697215459148893</v>
      </c>
      <c r="F194" s="263">
        <f>Dat_02!D193</f>
        <v>80.413851096189973</v>
      </c>
      <c r="G194" s="263">
        <f>Dat_02!E193</f>
        <v>80.413851096189973</v>
      </c>
      <c r="I194" s="264" t="str">
        <f>Dat_02!F193</f>
        <v/>
      </c>
      <c r="J194" s="276" t="str">
        <f>IF(Dat_02!G193=0,"",Dat_02!G193)</f>
        <v/>
      </c>
    </row>
    <row r="195" spans="2:10">
      <c r="B195" s="260"/>
      <c r="C195" s="261" t="s">
        <v>376</v>
      </c>
      <c r="D195" s="260"/>
      <c r="E195" s="263">
        <f>Dat_02!C194</f>
        <v>90.698029073148874</v>
      </c>
      <c r="F195" s="263">
        <f>Dat_02!D194</f>
        <v>80.413851096189973</v>
      </c>
      <c r="G195" s="263">
        <f>Dat_02!E194</f>
        <v>80.413851096189973</v>
      </c>
      <c r="I195" s="264" t="str">
        <f>Dat_02!F194</f>
        <v/>
      </c>
      <c r="J195" s="276" t="str">
        <f>IF(Dat_02!G194=0,"",Dat_02!G194)</f>
        <v/>
      </c>
    </row>
    <row r="196" spans="2:10">
      <c r="B196" s="260"/>
      <c r="C196" s="261" t="s">
        <v>377</v>
      </c>
      <c r="D196" s="260"/>
      <c r="E196" s="263">
        <f>Dat_02!C195</f>
        <v>92.800830639148884</v>
      </c>
      <c r="F196" s="263">
        <f>Dat_02!D195</f>
        <v>80.413851096189973</v>
      </c>
      <c r="G196" s="263">
        <f>Dat_02!E195</f>
        <v>80.413851096189973</v>
      </c>
      <c r="I196" s="264" t="str">
        <f>Dat_02!F195</f>
        <v/>
      </c>
      <c r="J196" s="276" t="str">
        <f>IF(Dat_02!G195=0,"",Dat_02!G195)</f>
        <v/>
      </c>
    </row>
    <row r="197" spans="2:10">
      <c r="B197" s="260"/>
      <c r="C197" s="261" t="s">
        <v>378</v>
      </c>
      <c r="D197" s="260"/>
      <c r="E197" s="263">
        <f>Dat_02!C196</f>
        <v>94.999431411147953</v>
      </c>
      <c r="F197" s="263">
        <f>Dat_02!D196</f>
        <v>80.413851096189973</v>
      </c>
      <c r="G197" s="263">
        <f>Dat_02!E196</f>
        <v>80.413851096189973</v>
      </c>
      <c r="I197" s="264" t="str">
        <f>Dat_02!F196</f>
        <v/>
      </c>
      <c r="J197" s="276" t="str">
        <f>IF(Dat_02!G196=0,"",Dat_02!G196)</f>
        <v/>
      </c>
    </row>
    <row r="198" spans="2:10">
      <c r="B198" s="260"/>
      <c r="C198" s="261" t="s">
        <v>379</v>
      </c>
      <c r="D198" s="260"/>
      <c r="E198" s="263">
        <f>Dat_02!C197</f>
        <v>98.088628529148892</v>
      </c>
      <c r="F198" s="263">
        <f>Dat_02!D197</f>
        <v>80.413851096189973</v>
      </c>
      <c r="G198" s="263">
        <f>Dat_02!E197</f>
        <v>80.413851096189973</v>
      </c>
      <c r="I198" s="264" t="str">
        <f>Dat_02!F197</f>
        <v/>
      </c>
      <c r="J198" s="276" t="str">
        <f>IF(Dat_02!G197=0,"",Dat_02!G197)</f>
        <v/>
      </c>
    </row>
    <row r="199" spans="2:10">
      <c r="B199" s="260"/>
      <c r="C199" s="261" t="s">
        <v>380</v>
      </c>
      <c r="D199" s="260"/>
      <c r="E199" s="263">
        <f>Dat_02!C198</f>
        <v>121.64598552914887</v>
      </c>
      <c r="F199" s="263">
        <f>Dat_02!D198</f>
        <v>80.413851096189973</v>
      </c>
      <c r="G199" s="263">
        <f>Dat_02!E198</f>
        <v>80.413851096189973</v>
      </c>
      <c r="I199" s="264" t="str">
        <f>Dat_02!F198</f>
        <v/>
      </c>
      <c r="J199" s="276" t="str">
        <f>IF(Dat_02!G198=0,"",Dat_02!G198)</f>
        <v/>
      </c>
    </row>
    <row r="200" spans="2:10">
      <c r="B200" s="260"/>
      <c r="C200" s="261" t="s">
        <v>381</v>
      </c>
      <c r="D200" s="260"/>
      <c r="E200" s="263">
        <f>Dat_02!C199</f>
        <v>115.91468230914887</v>
      </c>
      <c r="F200" s="263">
        <f>Dat_02!D199</f>
        <v>80.413851096189973</v>
      </c>
      <c r="G200" s="263">
        <f>Dat_02!E199</f>
        <v>80.413851096189973</v>
      </c>
      <c r="I200" s="264" t="str">
        <f>Dat_02!F199</f>
        <v/>
      </c>
      <c r="J200" s="276" t="str">
        <f>IF(Dat_02!G199=0,"",Dat_02!G199)</f>
        <v/>
      </c>
    </row>
    <row r="201" spans="2:10">
      <c r="B201" s="260"/>
      <c r="C201" s="261" t="s">
        <v>382</v>
      </c>
      <c r="D201" s="260"/>
      <c r="E201" s="263">
        <f>Dat_02!C200</f>
        <v>92.822247129739196</v>
      </c>
      <c r="F201" s="263">
        <f>Dat_02!D200</f>
        <v>80.413851096189973</v>
      </c>
      <c r="G201" s="263">
        <f>Dat_02!E200</f>
        <v>80.413851096189973</v>
      </c>
      <c r="I201" s="264" t="str">
        <f>Dat_02!F200</f>
        <v/>
      </c>
      <c r="J201" s="276" t="str">
        <f>IF(Dat_02!G200=0,"",Dat_02!G200)</f>
        <v/>
      </c>
    </row>
    <row r="202" spans="2:10">
      <c r="B202" s="260"/>
      <c r="C202" s="261" t="s">
        <v>383</v>
      </c>
      <c r="D202" s="260"/>
      <c r="E202" s="263">
        <f>Dat_02!C201</f>
        <v>99.529775713739184</v>
      </c>
      <c r="F202" s="263">
        <f>Dat_02!D201</f>
        <v>80.413851096189973</v>
      </c>
      <c r="G202" s="263">
        <f>Dat_02!E201</f>
        <v>80.413851096189973</v>
      </c>
      <c r="I202" s="264" t="str">
        <f>Dat_02!F201</f>
        <v>N</v>
      </c>
      <c r="J202" s="276">
        <f>IF(Dat_02!G201=0,"",Dat_02!G201)</f>
        <v>80.413851096189973</v>
      </c>
    </row>
    <row r="203" spans="2:10">
      <c r="B203" s="260"/>
      <c r="C203" s="261" t="s">
        <v>384</v>
      </c>
      <c r="D203" s="260"/>
      <c r="E203" s="263">
        <f>Dat_02!C202</f>
        <v>100.60126806573825</v>
      </c>
      <c r="F203" s="263">
        <f>Dat_02!D202</f>
        <v>80.413851096189973</v>
      </c>
      <c r="G203" s="263">
        <f>Dat_02!E202</f>
        <v>80.413851096189973</v>
      </c>
      <c r="I203" s="264" t="str">
        <f>Dat_02!F202</f>
        <v/>
      </c>
      <c r="J203" s="276" t="str">
        <f>IF(Dat_02!G202=0,"",Dat_02!G202)</f>
        <v/>
      </c>
    </row>
    <row r="204" spans="2:10">
      <c r="B204" s="260"/>
      <c r="C204" s="261" t="s">
        <v>385</v>
      </c>
      <c r="D204" s="260"/>
      <c r="E204" s="263">
        <f>Dat_02!C203</f>
        <v>76.288862461739186</v>
      </c>
      <c r="F204" s="263">
        <f>Dat_02!D203</f>
        <v>80.413851096189973</v>
      </c>
      <c r="G204" s="263">
        <f>Dat_02!E203</f>
        <v>76.288862461739186</v>
      </c>
      <c r="I204" s="264" t="str">
        <f>Dat_02!F203</f>
        <v/>
      </c>
      <c r="J204" s="276" t="str">
        <f>IF(Dat_02!G203=0,"",Dat_02!G203)</f>
        <v/>
      </c>
    </row>
    <row r="205" spans="2:10">
      <c r="B205" s="260"/>
      <c r="C205" s="261" t="s">
        <v>386</v>
      </c>
      <c r="D205" s="260"/>
      <c r="E205" s="263">
        <f>Dat_02!C204</f>
        <v>72.252963381739193</v>
      </c>
      <c r="F205" s="263">
        <f>Dat_02!D204</f>
        <v>80.413851096189973</v>
      </c>
      <c r="G205" s="263">
        <f>Dat_02!E204</f>
        <v>72.252963381739193</v>
      </c>
      <c r="I205" s="264" t="str">
        <f>Dat_02!F204</f>
        <v/>
      </c>
      <c r="J205" s="276" t="str">
        <f>IF(Dat_02!G204=0,"",Dat_02!G204)</f>
        <v/>
      </c>
    </row>
    <row r="206" spans="2:10">
      <c r="B206" s="260"/>
      <c r="C206" s="261" t="s">
        <v>387</v>
      </c>
      <c r="D206" s="260"/>
      <c r="E206" s="263">
        <f>Dat_02!C205</f>
        <v>107.83111573573917</v>
      </c>
      <c r="F206" s="263">
        <f>Dat_02!D205</f>
        <v>80.413851096189973</v>
      </c>
      <c r="G206" s="263">
        <f>Dat_02!E205</f>
        <v>80.413851096189973</v>
      </c>
      <c r="I206" s="264" t="str">
        <f>Dat_02!F205</f>
        <v/>
      </c>
      <c r="J206" s="276" t="str">
        <f>IF(Dat_02!G205=0,"",Dat_02!G205)</f>
        <v/>
      </c>
    </row>
    <row r="207" spans="2:10">
      <c r="B207" s="260"/>
      <c r="C207" s="261" t="s">
        <v>388</v>
      </c>
      <c r="D207" s="260"/>
      <c r="E207" s="263">
        <f>Dat_02!C206</f>
        <v>95.253191345739182</v>
      </c>
      <c r="F207" s="263">
        <f>Dat_02!D206</f>
        <v>80.413851096189973</v>
      </c>
      <c r="G207" s="263">
        <f>Dat_02!E206</f>
        <v>80.413851096189973</v>
      </c>
      <c r="I207" s="264" t="str">
        <f>Dat_02!F206</f>
        <v/>
      </c>
      <c r="J207" s="276" t="str">
        <f>IF(Dat_02!G206=0,"",Dat_02!G206)</f>
        <v/>
      </c>
    </row>
    <row r="208" spans="2:10">
      <c r="B208" s="260"/>
      <c r="C208" s="261" t="s">
        <v>389</v>
      </c>
      <c r="D208" s="260"/>
      <c r="E208" s="263">
        <f>Dat_02!C207</f>
        <v>84.215728363572993</v>
      </c>
      <c r="F208" s="263">
        <f>Dat_02!D207</f>
        <v>80.413851096189973</v>
      </c>
      <c r="G208" s="263">
        <f>Dat_02!E207</f>
        <v>80.413851096189973</v>
      </c>
      <c r="I208" s="264" t="str">
        <f>Dat_02!F207</f>
        <v/>
      </c>
      <c r="J208" s="276" t="str">
        <f>IF(Dat_02!G207=0,"",Dat_02!G207)</f>
        <v/>
      </c>
    </row>
    <row r="209" spans="2:10">
      <c r="B209" s="260"/>
      <c r="C209" s="261" t="s">
        <v>390</v>
      </c>
      <c r="D209" s="260"/>
      <c r="E209" s="263">
        <f>Dat_02!C208</f>
        <v>100.02718760957394</v>
      </c>
      <c r="F209" s="263">
        <f>Dat_02!D208</f>
        <v>80.413851096189973</v>
      </c>
      <c r="G209" s="263">
        <f>Dat_02!E208</f>
        <v>80.413851096189973</v>
      </c>
      <c r="I209" s="264" t="str">
        <f>Dat_02!F208</f>
        <v/>
      </c>
      <c r="J209" s="276" t="str">
        <f>IF(Dat_02!G208=0,"",Dat_02!G208)</f>
        <v/>
      </c>
    </row>
    <row r="210" spans="2:10">
      <c r="B210" s="260"/>
      <c r="C210" s="261" t="s">
        <v>391</v>
      </c>
      <c r="D210" s="260"/>
      <c r="E210" s="263">
        <f>Dat_02!C209</f>
        <v>93.96939724957393</v>
      </c>
      <c r="F210" s="263">
        <f>Dat_02!D209</f>
        <v>80.413851096189973</v>
      </c>
      <c r="G210" s="263">
        <f>Dat_02!E209</f>
        <v>80.413851096189973</v>
      </c>
      <c r="I210" s="264" t="str">
        <f>Dat_02!F209</f>
        <v/>
      </c>
      <c r="J210" s="276" t="str">
        <f>IF(Dat_02!G209=0,"",Dat_02!G209)</f>
        <v/>
      </c>
    </row>
    <row r="211" spans="2:10">
      <c r="B211" s="260"/>
      <c r="C211" s="261" t="s">
        <v>392</v>
      </c>
      <c r="D211" s="260"/>
      <c r="E211" s="263">
        <f>Dat_02!C210</f>
        <v>71.461598399573006</v>
      </c>
      <c r="F211" s="263">
        <f>Dat_02!D210</f>
        <v>80.413851096189973</v>
      </c>
      <c r="G211" s="263">
        <f>Dat_02!E210</f>
        <v>71.461598399573006</v>
      </c>
      <c r="I211" s="264" t="str">
        <f>Dat_02!F210</f>
        <v/>
      </c>
      <c r="J211" s="276" t="str">
        <f>IF(Dat_02!G210=0,"",Dat_02!G210)</f>
        <v/>
      </c>
    </row>
    <row r="212" spans="2:10">
      <c r="B212" s="260"/>
      <c r="C212" s="261" t="s">
        <v>393</v>
      </c>
      <c r="D212" s="260"/>
      <c r="E212" s="263">
        <f>Dat_02!C211</f>
        <v>73.549878463573933</v>
      </c>
      <c r="F212" s="263">
        <f>Dat_02!D211</f>
        <v>80.413851096189973</v>
      </c>
      <c r="G212" s="263">
        <f>Dat_02!E211</f>
        <v>73.549878463573933</v>
      </c>
      <c r="I212" s="264" t="str">
        <f>Dat_02!F211</f>
        <v/>
      </c>
      <c r="J212" s="276" t="str">
        <f>IF(Dat_02!G211=0,"",Dat_02!G211)</f>
        <v/>
      </c>
    </row>
    <row r="213" spans="2:10">
      <c r="B213" s="260"/>
      <c r="C213" s="261" t="s">
        <v>394</v>
      </c>
      <c r="D213" s="260"/>
      <c r="E213" s="263">
        <f>Dat_02!C212</f>
        <v>89.025708399573006</v>
      </c>
      <c r="F213" s="263">
        <f>Dat_02!D212</f>
        <v>80.413851096189973</v>
      </c>
      <c r="G213" s="263">
        <f>Dat_02!E212</f>
        <v>80.413851096189973</v>
      </c>
      <c r="I213" s="264" t="str">
        <f>Dat_02!F212</f>
        <v/>
      </c>
      <c r="J213" s="276" t="str">
        <f>IF(Dat_02!G212=0,"",Dat_02!G212)</f>
        <v/>
      </c>
    </row>
    <row r="214" spans="2:10">
      <c r="B214" s="260"/>
      <c r="C214" s="261" t="s">
        <v>395</v>
      </c>
      <c r="D214" s="260"/>
      <c r="E214" s="263">
        <f>Dat_02!C213</f>
        <v>91.790635073573938</v>
      </c>
      <c r="F214" s="263">
        <f>Dat_02!D213</f>
        <v>80.413851096189973</v>
      </c>
      <c r="G214" s="263">
        <f>Dat_02!E213</f>
        <v>80.413851096189973</v>
      </c>
      <c r="I214" s="264" t="str">
        <f>Dat_02!F213</f>
        <v/>
      </c>
      <c r="J214" s="276" t="str">
        <f>IF(Dat_02!G213=0,"",Dat_02!G213)</f>
        <v/>
      </c>
    </row>
    <row r="215" spans="2:10">
      <c r="B215" s="260"/>
      <c r="C215" s="261" t="s">
        <v>396</v>
      </c>
      <c r="D215" s="260"/>
      <c r="E215" s="263">
        <f>Dat_02!C214</f>
        <v>100.62520183628585</v>
      </c>
      <c r="F215" s="263">
        <f>Dat_02!D214</f>
        <v>80.413851096189973</v>
      </c>
      <c r="G215" s="263">
        <f>Dat_02!E214</f>
        <v>80.413851096189973</v>
      </c>
      <c r="I215" s="264" t="str">
        <f>Dat_02!F214</f>
        <v/>
      </c>
      <c r="J215" s="276" t="str">
        <f>IF(Dat_02!G214=0,"",Dat_02!G214)</f>
        <v/>
      </c>
    </row>
    <row r="216" spans="2:10">
      <c r="B216" s="260" t="s">
        <v>397</v>
      </c>
      <c r="C216" s="261" t="s">
        <v>398</v>
      </c>
      <c r="D216" s="260"/>
      <c r="E216" s="263">
        <f>Dat_02!C215</f>
        <v>105.98470700028585</v>
      </c>
      <c r="F216" s="263">
        <f>Dat_02!D215</f>
        <v>80.413851096189973</v>
      </c>
      <c r="G216" s="263">
        <f>Dat_02!E215</f>
        <v>80.413851096189973</v>
      </c>
      <c r="I216" s="264" t="str">
        <f>Dat_02!F215</f>
        <v/>
      </c>
      <c r="J216" s="276" t="str">
        <f>IF(Dat_02!G215=0,"",Dat_02!G215)</f>
        <v/>
      </c>
    </row>
    <row r="217" spans="2:10">
      <c r="B217" s="262"/>
      <c r="C217" s="267" t="s">
        <v>399</v>
      </c>
      <c r="D217" s="262"/>
      <c r="E217" s="263">
        <f>Dat_02!C216</f>
        <v>97.383650356285855</v>
      </c>
      <c r="F217" s="263">
        <f>Dat_02!D216</f>
        <v>80.413851096189973</v>
      </c>
      <c r="G217" s="263">
        <f>Dat_02!E216</f>
        <v>80.413851096189973</v>
      </c>
      <c r="I217" s="264" t="str">
        <f>Dat_02!F216</f>
        <v/>
      </c>
      <c r="J217" s="276" t="str">
        <f>IF(Dat_02!G216=0,"",Dat_02!G216)</f>
        <v/>
      </c>
    </row>
    <row r="218" spans="2:10">
      <c r="B218" s="262"/>
      <c r="C218" s="267" t="s">
        <v>400</v>
      </c>
      <c r="D218" s="262"/>
      <c r="E218" s="263">
        <f>Dat_02!C217</f>
        <v>90.394212360286787</v>
      </c>
      <c r="F218" s="263">
        <f>Dat_02!D217</f>
        <v>101.95753277636452</v>
      </c>
      <c r="G218" s="263">
        <f>Dat_02!E217</f>
        <v>90.394212360286787</v>
      </c>
      <c r="I218" s="264" t="str">
        <f>Dat_02!F217</f>
        <v/>
      </c>
      <c r="J218" s="276" t="str">
        <f>IF(Dat_02!G217=0,"",Dat_02!G217)</f>
        <v/>
      </c>
    </row>
    <row r="219" spans="2:10">
      <c r="B219" s="260"/>
      <c r="C219" s="261" t="s">
        <v>401</v>
      </c>
      <c r="D219" s="262"/>
      <c r="E219" s="263">
        <f>Dat_02!C218</f>
        <v>84.866914290285848</v>
      </c>
      <c r="F219" s="263">
        <f>Dat_02!D218</f>
        <v>101.95753277636452</v>
      </c>
      <c r="G219" s="263">
        <f>Dat_02!E218</f>
        <v>84.866914290285848</v>
      </c>
      <c r="I219" s="264" t="str">
        <f>Dat_02!F218</f>
        <v/>
      </c>
      <c r="J219" s="276" t="str">
        <f>IF(Dat_02!G218=0,"",Dat_02!G218)</f>
        <v/>
      </c>
    </row>
    <row r="220" spans="2:10">
      <c r="B220" s="262"/>
      <c r="C220" s="261" t="s">
        <v>402</v>
      </c>
      <c r="D220" s="262"/>
      <c r="E220" s="263">
        <f>Dat_02!C219</f>
        <v>108.37415833628584</v>
      </c>
      <c r="F220" s="263">
        <f>Dat_02!D219</f>
        <v>101.95753277636452</v>
      </c>
      <c r="G220" s="263">
        <f>Dat_02!E219</f>
        <v>101.95753277636452</v>
      </c>
      <c r="I220" s="264" t="str">
        <f>Dat_02!F219</f>
        <v/>
      </c>
      <c r="J220" s="276" t="str">
        <f>IF(Dat_02!G219=0,"",Dat_02!G219)</f>
        <v/>
      </c>
    </row>
    <row r="221" spans="2:10">
      <c r="B221" s="260"/>
      <c r="C221" s="261" t="s">
        <v>403</v>
      </c>
      <c r="D221" s="260"/>
      <c r="E221" s="263">
        <f>Dat_02!C220</f>
        <v>126.38090736228585</v>
      </c>
      <c r="F221" s="263">
        <f>Dat_02!D220</f>
        <v>101.95753277636452</v>
      </c>
      <c r="G221" s="263">
        <f>Dat_02!E220</f>
        <v>101.95753277636452</v>
      </c>
      <c r="I221" s="264" t="str">
        <f>Dat_02!F220</f>
        <v/>
      </c>
      <c r="J221" s="276" t="str">
        <f>IF(Dat_02!G220=0,"",Dat_02!G220)</f>
        <v/>
      </c>
    </row>
    <row r="222" spans="2:10">
      <c r="B222" s="260"/>
      <c r="C222" s="261" t="s">
        <v>404</v>
      </c>
      <c r="D222" s="260"/>
      <c r="E222" s="263">
        <f>Dat_02!C221</f>
        <v>87.515008344428594</v>
      </c>
      <c r="F222" s="263">
        <f>Dat_02!D221</f>
        <v>101.95753277636452</v>
      </c>
      <c r="G222" s="263">
        <f>Dat_02!E221</f>
        <v>87.515008344428594</v>
      </c>
      <c r="I222" s="264" t="str">
        <f>Dat_02!F221</f>
        <v/>
      </c>
      <c r="J222" s="276" t="str">
        <f>IF(Dat_02!G221=0,"",Dat_02!G221)</f>
        <v/>
      </c>
    </row>
    <row r="223" spans="2:10">
      <c r="B223" s="260"/>
      <c r="C223" s="261" t="s">
        <v>405</v>
      </c>
      <c r="D223" s="260"/>
      <c r="E223" s="263">
        <f>Dat_02!C222</f>
        <v>77.782506294428586</v>
      </c>
      <c r="F223" s="263">
        <f>Dat_02!D222</f>
        <v>101.95753277636452</v>
      </c>
      <c r="G223" s="263">
        <f>Dat_02!E222</f>
        <v>77.782506294428586</v>
      </c>
      <c r="I223" s="264" t="str">
        <f>Dat_02!F222</f>
        <v/>
      </c>
      <c r="J223" s="276" t="str">
        <f>IF(Dat_02!G222=0,"",Dat_02!G222)</f>
        <v/>
      </c>
    </row>
    <row r="224" spans="2:10">
      <c r="B224" s="260"/>
      <c r="C224" s="261" t="s">
        <v>406</v>
      </c>
      <c r="D224" s="260"/>
      <c r="E224" s="263">
        <f>Dat_02!C223</f>
        <v>62.18230000042859</v>
      </c>
      <c r="F224" s="263">
        <f>Dat_02!D223</f>
        <v>101.95753277636452</v>
      </c>
      <c r="G224" s="263">
        <f>Dat_02!E223</f>
        <v>62.18230000042859</v>
      </c>
      <c r="I224" s="264" t="str">
        <f>Dat_02!F223</f>
        <v/>
      </c>
      <c r="J224" s="276" t="str">
        <f>IF(Dat_02!G223=0,"",Dat_02!G223)</f>
        <v/>
      </c>
    </row>
    <row r="225" spans="2:10">
      <c r="B225" s="260"/>
      <c r="C225" s="261" t="s">
        <v>407</v>
      </c>
      <c r="D225" s="260"/>
      <c r="E225" s="263">
        <f>Dat_02!C224</f>
        <v>55.709332724428592</v>
      </c>
      <c r="F225" s="263">
        <f>Dat_02!D224</f>
        <v>101.95753277636452</v>
      </c>
      <c r="G225" s="263">
        <f>Dat_02!E224</f>
        <v>55.709332724428592</v>
      </c>
      <c r="I225" s="264" t="str">
        <f>Dat_02!F224</f>
        <v/>
      </c>
      <c r="J225" s="276" t="str">
        <f>IF(Dat_02!G224=0,"",Dat_02!G224)</f>
        <v/>
      </c>
    </row>
    <row r="226" spans="2:10">
      <c r="B226" s="260"/>
      <c r="C226" s="261" t="s">
        <v>408</v>
      </c>
      <c r="D226" s="260"/>
      <c r="E226" s="263">
        <f>Dat_02!C225</f>
        <v>55.556556698428594</v>
      </c>
      <c r="F226" s="263">
        <f>Dat_02!D225</f>
        <v>101.95753277636452</v>
      </c>
      <c r="G226" s="263">
        <f>Dat_02!E225</f>
        <v>55.556556698428594</v>
      </c>
      <c r="I226" s="264" t="str">
        <f>Dat_02!F225</f>
        <v/>
      </c>
      <c r="J226" s="276" t="str">
        <f>IF(Dat_02!G225=0,"",Dat_02!G225)</f>
        <v/>
      </c>
    </row>
    <row r="227" spans="2:10">
      <c r="B227" s="260"/>
      <c r="C227" s="261" t="s">
        <v>409</v>
      </c>
      <c r="D227" s="260"/>
      <c r="E227" s="263">
        <f>Dat_02!C226</f>
        <v>67.053807550428601</v>
      </c>
      <c r="F227" s="263">
        <f>Dat_02!D226</f>
        <v>101.95753277636452</v>
      </c>
      <c r="G227" s="263">
        <f>Dat_02!E226</f>
        <v>67.053807550428601</v>
      </c>
      <c r="I227" s="264" t="str">
        <f>Dat_02!F226</f>
        <v/>
      </c>
      <c r="J227" s="276" t="str">
        <f>IF(Dat_02!G226=0,"",Dat_02!G226)</f>
        <v/>
      </c>
    </row>
    <row r="228" spans="2:10">
      <c r="B228" s="260"/>
      <c r="C228" s="261" t="s">
        <v>410</v>
      </c>
      <c r="D228" s="260"/>
      <c r="E228" s="263">
        <f>Dat_02!C227</f>
        <v>96.102252704428594</v>
      </c>
      <c r="F228" s="263">
        <f>Dat_02!D227</f>
        <v>101.95753277636452</v>
      </c>
      <c r="G228" s="263">
        <f>Dat_02!E227</f>
        <v>96.102252704428594</v>
      </c>
      <c r="I228" s="264" t="str">
        <f>Dat_02!F227</f>
        <v/>
      </c>
      <c r="J228" s="276" t="str">
        <f>IF(Dat_02!G227=0,"",Dat_02!G227)</f>
        <v/>
      </c>
    </row>
    <row r="229" spans="2:10">
      <c r="B229" s="260"/>
      <c r="C229" s="261" t="s">
        <v>411</v>
      </c>
      <c r="D229" s="260"/>
      <c r="E229" s="263">
        <f>Dat_02!C228</f>
        <v>108.87868366227644</v>
      </c>
      <c r="F229" s="263">
        <f>Dat_02!D228</f>
        <v>101.95753277636452</v>
      </c>
      <c r="G229" s="263">
        <f>Dat_02!E228</f>
        <v>101.95753277636452</v>
      </c>
      <c r="I229" s="264" t="str">
        <f>Dat_02!F228</f>
        <v/>
      </c>
      <c r="J229" s="276" t="str">
        <f>IF(Dat_02!G228=0,"",Dat_02!G228)</f>
        <v/>
      </c>
    </row>
    <row r="230" spans="2:10">
      <c r="B230" s="260"/>
      <c r="C230" s="261" t="s">
        <v>412</v>
      </c>
      <c r="D230" s="260"/>
      <c r="E230" s="263">
        <f>Dat_02!C229</f>
        <v>84.353938072275511</v>
      </c>
      <c r="F230" s="263">
        <f>Dat_02!D229</f>
        <v>101.95753277636452</v>
      </c>
      <c r="G230" s="263">
        <f>Dat_02!E229</f>
        <v>84.353938072275511</v>
      </c>
      <c r="I230" s="264" t="str">
        <f>Dat_02!F229</f>
        <v/>
      </c>
      <c r="J230" s="276" t="str">
        <f>IF(Dat_02!G229=0,"",Dat_02!G229)</f>
        <v/>
      </c>
    </row>
    <row r="231" spans="2:10">
      <c r="B231" s="260"/>
      <c r="C231" s="261" t="s">
        <v>413</v>
      </c>
      <c r="D231" s="260"/>
      <c r="E231" s="263">
        <f>Dat_02!C230</f>
        <v>86.425479054275513</v>
      </c>
      <c r="F231" s="263">
        <f>Dat_02!D230</f>
        <v>101.95753277636452</v>
      </c>
      <c r="G231" s="263">
        <f>Dat_02!E230</f>
        <v>86.425479054275513</v>
      </c>
      <c r="I231" s="264" t="str">
        <f>Dat_02!F230</f>
        <v/>
      </c>
      <c r="J231" s="276" t="str">
        <f>IF(Dat_02!G230=0,"",Dat_02!G230)</f>
        <v/>
      </c>
    </row>
    <row r="232" spans="2:10">
      <c r="B232" s="260"/>
      <c r="C232" s="261" t="s">
        <v>414</v>
      </c>
      <c r="D232" s="260"/>
      <c r="E232" s="263">
        <f>Dat_02!C231</f>
        <v>74.544494642275509</v>
      </c>
      <c r="F232" s="263">
        <f>Dat_02!D231</f>
        <v>101.95753277636452</v>
      </c>
      <c r="G232" s="263">
        <f>Dat_02!E231</f>
        <v>74.544494642275509</v>
      </c>
      <c r="I232" s="264" t="str">
        <f>Dat_02!F231</f>
        <v>D</v>
      </c>
      <c r="J232" s="276">
        <f>IF(Dat_02!G231=0,"",Dat_02!G231)</f>
        <v>101.95753277636452</v>
      </c>
    </row>
    <row r="233" spans="2:10">
      <c r="B233" s="260"/>
      <c r="C233" s="261" t="s">
        <v>415</v>
      </c>
      <c r="D233" s="260"/>
      <c r="E233" s="263">
        <f>Dat_02!C232</f>
        <v>69.967279598275525</v>
      </c>
      <c r="F233" s="263">
        <f>Dat_02!D232</f>
        <v>101.95753277636452</v>
      </c>
      <c r="G233" s="263">
        <f>Dat_02!E232</f>
        <v>69.967279598275525</v>
      </c>
      <c r="I233" s="264" t="str">
        <f>Dat_02!F232</f>
        <v/>
      </c>
      <c r="J233" s="276" t="str">
        <f>IF(Dat_02!G232=0,"",Dat_02!G232)</f>
        <v/>
      </c>
    </row>
    <row r="234" spans="2:10">
      <c r="B234" s="260"/>
      <c r="C234" s="261" t="s">
        <v>416</v>
      </c>
      <c r="D234" s="260"/>
      <c r="E234" s="263">
        <f>Dat_02!C233</f>
        <v>111.34327048227644</v>
      </c>
      <c r="F234" s="263">
        <f>Dat_02!D233</f>
        <v>101.95753277636452</v>
      </c>
      <c r="G234" s="263">
        <f>Dat_02!E233</f>
        <v>101.95753277636452</v>
      </c>
      <c r="I234" s="264" t="str">
        <f>Dat_02!F233</f>
        <v/>
      </c>
      <c r="J234" s="276" t="str">
        <f>IF(Dat_02!G233=0,"",Dat_02!G233)</f>
        <v/>
      </c>
    </row>
    <row r="235" spans="2:10">
      <c r="B235" s="260"/>
      <c r="C235" s="261" t="s">
        <v>417</v>
      </c>
      <c r="D235" s="260"/>
      <c r="E235" s="263">
        <f>Dat_02!C234</f>
        <v>93.932545482275515</v>
      </c>
      <c r="F235" s="263">
        <f>Dat_02!D234</f>
        <v>101.95753277636452</v>
      </c>
      <c r="G235" s="263">
        <f>Dat_02!E234</f>
        <v>93.932545482275515</v>
      </c>
      <c r="I235" s="264" t="str">
        <f>Dat_02!F234</f>
        <v/>
      </c>
      <c r="J235" s="276" t="str">
        <f>IF(Dat_02!G234=0,"",Dat_02!G234)</f>
        <v/>
      </c>
    </row>
    <row r="236" spans="2:10">
      <c r="B236" s="260"/>
      <c r="C236" s="261" t="s">
        <v>418</v>
      </c>
      <c r="D236" s="260"/>
      <c r="E236" s="263">
        <f>Dat_02!C235</f>
        <v>100.38242194998713</v>
      </c>
      <c r="F236" s="263">
        <f>Dat_02!D235</f>
        <v>101.95753277636452</v>
      </c>
      <c r="G236" s="263">
        <f>Dat_02!E235</f>
        <v>100.38242194998713</v>
      </c>
      <c r="I236" s="264" t="str">
        <f>Dat_02!F235</f>
        <v/>
      </c>
      <c r="J236" s="276" t="str">
        <f>IF(Dat_02!G235=0,"",Dat_02!G235)</f>
        <v/>
      </c>
    </row>
    <row r="237" spans="2:10">
      <c r="B237" s="260"/>
      <c r="C237" s="261" t="s">
        <v>419</v>
      </c>
      <c r="D237" s="260"/>
      <c r="E237" s="263">
        <f>Dat_02!C236</f>
        <v>105.40698662998713</v>
      </c>
      <c r="F237" s="263">
        <f>Dat_02!D236</f>
        <v>101.95753277636452</v>
      </c>
      <c r="G237" s="263">
        <f>Dat_02!E236</f>
        <v>101.95753277636452</v>
      </c>
      <c r="I237" s="264" t="str">
        <f>Dat_02!F236</f>
        <v/>
      </c>
      <c r="J237" s="276" t="str">
        <f>IF(Dat_02!G236=0,"",Dat_02!G236)</f>
        <v/>
      </c>
    </row>
    <row r="238" spans="2:10">
      <c r="B238" s="260"/>
      <c r="C238" s="261" t="s">
        <v>420</v>
      </c>
      <c r="D238" s="260"/>
      <c r="E238" s="263">
        <f>Dat_02!C237</f>
        <v>94.165243369987138</v>
      </c>
      <c r="F238" s="263">
        <f>Dat_02!D237</f>
        <v>101.95753277636452</v>
      </c>
      <c r="G238" s="263">
        <f>Dat_02!E237</f>
        <v>94.165243369987138</v>
      </c>
      <c r="I238" s="264" t="str">
        <f>Dat_02!F237</f>
        <v/>
      </c>
      <c r="J238" s="276" t="str">
        <f>IF(Dat_02!G237=0,"",Dat_02!G237)</f>
        <v/>
      </c>
    </row>
    <row r="239" spans="2:10">
      <c r="B239" s="260"/>
      <c r="C239" s="261" t="s">
        <v>421</v>
      </c>
      <c r="D239" s="260"/>
      <c r="E239" s="263">
        <f>Dat_02!C238</f>
        <v>95.940931389987128</v>
      </c>
      <c r="F239" s="263">
        <f>Dat_02!D238</f>
        <v>101.95753277636452</v>
      </c>
      <c r="G239" s="263">
        <f>Dat_02!E238</f>
        <v>95.940931389987128</v>
      </c>
      <c r="I239" s="264" t="str">
        <f>Dat_02!F238</f>
        <v/>
      </c>
      <c r="J239" s="276" t="str">
        <f>IF(Dat_02!G238=0,"",Dat_02!G238)</f>
        <v/>
      </c>
    </row>
    <row r="240" spans="2:10">
      <c r="B240" s="260"/>
      <c r="C240" s="261" t="s">
        <v>422</v>
      </c>
      <c r="D240" s="260"/>
      <c r="E240" s="263">
        <f>Dat_02!C239</f>
        <v>90.126315709987125</v>
      </c>
      <c r="F240" s="263">
        <f>Dat_02!D239</f>
        <v>101.95753277636452</v>
      </c>
      <c r="G240" s="263">
        <f>Dat_02!E239</f>
        <v>90.126315709987125</v>
      </c>
      <c r="I240" s="264" t="str">
        <f>Dat_02!F239</f>
        <v/>
      </c>
      <c r="J240" s="276" t="str">
        <f>IF(Dat_02!G239=0,"",Dat_02!G239)</f>
        <v/>
      </c>
    </row>
    <row r="241" spans="2:10">
      <c r="B241" s="260"/>
      <c r="C241" s="261" t="s">
        <v>423</v>
      </c>
      <c r="D241" s="260"/>
      <c r="E241" s="263">
        <f>Dat_02!C240</f>
        <v>92.583022409987137</v>
      </c>
      <c r="F241" s="263">
        <f>Dat_02!D240</f>
        <v>101.95753277636452</v>
      </c>
      <c r="G241" s="263">
        <f>Dat_02!E240</f>
        <v>92.583022409987137</v>
      </c>
      <c r="I241" s="264" t="str">
        <f>Dat_02!F240</f>
        <v/>
      </c>
      <c r="J241" s="276" t="str">
        <f>IF(Dat_02!G240=0,"",Dat_02!G240)</f>
        <v/>
      </c>
    </row>
    <row r="242" spans="2:10">
      <c r="B242" s="260"/>
      <c r="C242" s="261" t="s">
        <v>424</v>
      </c>
      <c r="D242" s="260"/>
      <c r="E242" s="263">
        <f>Dat_02!C241</f>
        <v>78.185484777987128</v>
      </c>
      <c r="F242" s="263">
        <f>Dat_02!D241</f>
        <v>101.95753277636452</v>
      </c>
      <c r="G242" s="263">
        <f>Dat_02!E241</f>
        <v>78.185484777987128</v>
      </c>
      <c r="I242" s="264" t="str">
        <f>Dat_02!F241</f>
        <v/>
      </c>
      <c r="J242" s="276" t="str">
        <f>IF(Dat_02!G241=0,"",Dat_02!G241)</f>
        <v/>
      </c>
    </row>
    <row r="243" spans="2:10">
      <c r="B243" s="260"/>
      <c r="C243" s="261" t="s">
        <v>425</v>
      </c>
      <c r="D243" s="260"/>
      <c r="E243" s="263">
        <f>Dat_02!C242</f>
        <v>80.373116800517693</v>
      </c>
      <c r="F243" s="263">
        <f>Dat_02!D242</f>
        <v>101.95753277636452</v>
      </c>
      <c r="G243" s="263">
        <f>Dat_02!E242</f>
        <v>80.373116800517693</v>
      </c>
      <c r="I243" s="264" t="str">
        <f>Dat_02!F242</f>
        <v/>
      </c>
      <c r="J243" s="276" t="str">
        <f>IF(Dat_02!G242=0,"",Dat_02!G242)</f>
        <v/>
      </c>
    </row>
    <row r="244" spans="2:10">
      <c r="B244" s="260"/>
      <c r="C244" s="261" t="s">
        <v>426</v>
      </c>
      <c r="D244" s="260"/>
      <c r="E244" s="263">
        <f>Dat_02!C243</f>
        <v>100.59527395651676</v>
      </c>
      <c r="F244" s="263">
        <f>Dat_02!D243</f>
        <v>101.95753277636452</v>
      </c>
      <c r="G244" s="263">
        <f>Dat_02!E243</f>
        <v>100.59527395651676</v>
      </c>
      <c r="I244" s="264" t="str">
        <f>Dat_02!F243</f>
        <v/>
      </c>
      <c r="J244" s="276" t="str">
        <f>IF(Dat_02!G243=0,"",Dat_02!G243)</f>
        <v/>
      </c>
    </row>
    <row r="245" spans="2:10">
      <c r="B245" s="260"/>
      <c r="C245" s="261" t="s">
        <v>427</v>
      </c>
      <c r="D245" s="260"/>
      <c r="E245" s="263">
        <f>Dat_02!C244</f>
        <v>78.486777536517678</v>
      </c>
      <c r="F245" s="263">
        <f>Dat_02!D244</f>
        <v>101.95753277636452</v>
      </c>
      <c r="G245" s="263">
        <f>Dat_02!E244</f>
        <v>78.486777536517678</v>
      </c>
      <c r="I245" s="264" t="str">
        <f>Dat_02!F244</f>
        <v/>
      </c>
      <c r="J245" s="276" t="str">
        <f>IF(Dat_02!G244=0,"",Dat_02!G244)</f>
        <v/>
      </c>
    </row>
    <row r="246" spans="2:10">
      <c r="B246" s="260"/>
      <c r="C246" s="261" t="s">
        <v>428</v>
      </c>
      <c r="D246" s="260"/>
      <c r="E246" s="263">
        <f>Dat_02!C245</f>
        <v>61.710580186517689</v>
      </c>
      <c r="F246" s="263">
        <f>Dat_02!D245</f>
        <v>101.95753277636452</v>
      </c>
      <c r="G246" s="263">
        <f>Dat_02!E245</f>
        <v>61.710580186517689</v>
      </c>
      <c r="I246" s="264" t="str">
        <f>Dat_02!F245</f>
        <v/>
      </c>
      <c r="J246" s="276" t="str">
        <f>IF(Dat_02!G245=0,"",Dat_02!G245)</f>
        <v/>
      </c>
    </row>
    <row r="247" spans="2:10">
      <c r="B247" s="262" t="s">
        <v>429</v>
      </c>
      <c r="C247" s="267" t="s">
        <v>430</v>
      </c>
      <c r="D247" s="260"/>
      <c r="E247" s="263">
        <f>Dat_02!C246</f>
        <v>62.105505364517683</v>
      </c>
      <c r="F247" s="263">
        <f>Dat_02!D246</f>
        <v>101.95753277636452</v>
      </c>
      <c r="G247" s="263">
        <f>Dat_02!E246</f>
        <v>62.105505364517683</v>
      </c>
      <c r="I247" s="264" t="str">
        <f>Dat_02!F246</f>
        <v/>
      </c>
      <c r="J247" s="276" t="str">
        <f>IF(Dat_02!G246=0,"",Dat_02!G246)</f>
        <v/>
      </c>
    </row>
    <row r="248" spans="2:10">
      <c r="B248" s="260"/>
      <c r="C248" s="261" t="s">
        <v>431</v>
      </c>
      <c r="D248" s="262"/>
      <c r="E248" s="263">
        <f>Dat_02!C247</f>
        <v>67.689349472517691</v>
      </c>
      <c r="F248" s="263">
        <f>Dat_02!D247</f>
        <v>101.95753277636452</v>
      </c>
      <c r="G248" s="263">
        <f>Dat_02!E247</f>
        <v>67.689349472517691</v>
      </c>
      <c r="I248" s="264" t="str">
        <f>Dat_02!F247</f>
        <v/>
      </c>
      <c r="J248" s="276" t="str">
        <f>IF(Dat_02!G247=0,"",Dat_02!G247)</f>
        <v/>
      </c>
    </row>
    <row r="249" spans="2:10">
      <c r="B249" s="260"/>
      <c r="C249" s="261" t="s">
        <v>432</v>
      </c>
      <c r="D249" s="262"/>
      <c r="E249" s="263">
        <f>Dat_02!C248</f>
        <v>48.113297146517681</v>
      </c>
      <c r="F249" s="263">
        <f>Dat_02!D248</f>
        <v>120.59631724353227</v>
      </c>
      <c r="G249" s="263">
        <f>Dat_02!E248</f>
        <v>48.113297146517681</v>
      </c>
      <c r="I249" s="264" t="str">
        <f>Dat_02!F248</f>
        <v/>
      </c>
      <c r="J249" s="276" t="str">
        <f>IF(Dat_02!G248=0,"",Dat_02!G248)</f>
        <v/>
      </c>
    </row>
    <row r="250" spans="2:10">
      <c r="B250" s="260"/>
      <c r="C250" s="261" t="s">
        <v>433</v>
      </c>
      <c r="D250" s="262"/>
      <c r="E250" s="263">
        <f>Dat_02!C249</f>
        <v>42.619816521668227</v>
      </c>
      <c r="F250" s="263">
        <f>Dat_02!D249</f>
        <v>120.59631724353227</v>
      </c>
      <c r="G250" s="263">
        <f>Dat_02!E249</f>
        <v>42.619816521668227</v>
      </c>
      <c r="I250" s="264" t="str">
        <f>Dat_02!F249</f>
        <v/>
      </c>
      <c r="J250" s="276" t="str">
        <f>IF(Dat_02!G249=0,"",Dat_02!G249)</f>
        <v/>
      </c>
    </row>
    <row r="251" spans="2:10">
      <c r="B251" s="260"/>
      <c r="C251" s="261" t="s">
        <v>434</v>
      </c>
      <c r="D251" s="262"/>
      <c r="E251" s="263">
        <f>Dat_02!C250</f>
        <v>64.313447971668225</v>
      </c>
      <c r="F251" s="263">
        <f>Dat_02!D250</f>
        <v>120.59631724353227</v>
      </c>
      <c r="G251" s="263">
        <f>Dat_02!E250</f>
        <v>64.313447971668225</v>
      </c>
      <c r="I251" s="264" t="str">
        <f>Dat_02!F250</f>
        <v/>
      </c>
      <c r="J251" s="276" t="str">
        <f>IF(Dat_02!G250=0,"",Dat_02!G250)</f>
        <v/>
      </c>
    </row>
    <row r="252" spans="2:10">
      <c r="B252" s="260"/>
      <c r="C252" s="261" t="s">
        <v>435</v>
      </c>
      <c r="D252" s="260"/>
      <c r="E252" s="263">
        <f>Dat_02!C251</f>
        <v>75.624265243669157</v>
      </c>
      <c r="F252" s="263">
        <f>Dat_02!D251</f>
        <v>120.59631724353227</v>
      </c>
      <c r="G252" s="263">
        <f>Dat_02!E251</f>
        <v>75.624265243669157</v>
      </c>
      <c r="I252" s="264" t="str">
        <f>Dat_02!F251</f>
        <v/>
      </c>
      <c r="J252" s="276" t="str">
        <f>IF(Dat_02!G251=0,"",Dat_02!G251)</f>
        <v/>
      </c>
    </row>
    <row r="253" spans="2:10">
      <c r="B253" s="260"/>
      <c r="C253" s="261" t="s">
        <v>436</v>
      </c>
      <c r="D253" s="260"/>
      <c r="E253" s="263">
        <f>Dat_02!C252</f>
        <v>40.138169683668224</v>
      </c>
      <c r="F253" s="263">
        <f>Dat_02!D252</f>
        <v>120.59631724353227</v>
      </c>
      <c r="G253" s="263">
        <f>Dat_02!E252</f>
        <v>40.138169683668224</v>
      </c>
      <c r="I253" s="264" t="str">
        <f>Dat_02!F252</f>
        <v/>
      </c>
      <c r="J253" s="276" t="str">
        <f>IF(Dat_02!G252=0,"",Dat_02!G252)</f>
        <v/>
      </c>
    </row>
    <row r="254" spans="2:10">
      <c r="B254" s="260"/>
      <c r="C254" s="261" t="s">
        <v>437</v>
      </c>
      <c r="D254" s="260"/>
      <c r="E254" s="263">
        <f>Dat_02!C253</f>
        <v>23.395089041669156</v>
      </c>
      <c r="F254" s="263">
        <f>Dat_02!D253</f>
        <v>120.59631724353227</v>
      </c>
      <c r="G254" s="263">
        <f>Dat_02!E253</f>
        <v>23.395089041669156</v>
      </c>
      <c r="I254" s="264" t="str">
        <f>Dat_02!F253</f>
        <v/>
      </c>
      <c r="J254" s="276" t="str">
        <f>IF(Dat_02!G253=0,"",Dat_02!G253)</f>
        <v/>
      </c>
    </row>
    <row r="255" spans="2:10">
      <c r="B255" s="260"/>
      <c r="C255" s="261" t="s">
        <v>438</v>
      </c>
      <c r="D255" s="260"/>
      <c r="E255" s="263">
        <f>Dat_02!C254</f>
        <v>48.039766631668229</v>
      </c>
      <c r="F255" s="263">
        <f>Dat_02!D254</f>
        <v>120.59631724353227</v>
      </c>
      <c r="G255" s="263">
        <f>Dat_02!E254</f>
        <v>48.039766631668229</v>
      </c>
      <c r="I255" s="264" t="str">
        <f>Dat_02!F254</f>
        <v/>
      </c>
      <c r="J255" s="276" t="str">
        <f>IF(Dat_02!G254=0,"",Dat_02!G254)</f>
        <v/>
      </c>
    </row>
    <row r="256" spans="2:10">
      <c r="B256" s="260"/>
      <c r="C256" s="261" t="s">
        <v>439</v>
      </c>
      <c r="D256" s="260"/>
      <c r="E256" s="263">
        <f>Dat_02!C255</f>
        <v>49.373965037669159</v>
      </c>
      <c r="F256" s="263">
        <f>Dat_02!D255</f>
        <v>120.59631724353227</v>
      </c>
      <c r="G256" s="263">
        <f>Dat_02!E255</f>
        <v>49.373965037669159</v>
      </c>
      <c r="I256" s="264" t="str">
        <f>Dat_02!F255</f>
        <v/>
      </c>
      <c r="J256" s="276" t="str">
        <f>IF(Dat_02!G255=0,"",Dat_02!G255)</f>
        <v/>
      </c>
    </row>
    <row r="257" spans="2:10">
      <c r="B257" s="260"/>
      <c r="C257" s="261" t="s">
        <v>440</v>
      </c>
      <c r="D257" s="260"/>
      <c r="E257" s="263">
        <f>Dat_02!C256</f>
        <v>33.704585509775029</v>
      </c>
      <c r="F257" s="263">
        <f>Dat_02!D256</f>
        <v>120.59631724353227</v>
      </c>
      <c r="G257" s="263">
        <f>Dat_02!E256</f>
        <v>33.704585509775029</v>
      </c>
      <c r="I257" s="264" t="str">
        <f>Dat_02!F256</f>
        <v/>
      </c>
      <c r="J257" s="276" t="str">
        <f>IF(Dat_02!G256=0,"",Dat_02!G256)</f>
        <v/>
      </c>
    </row>
    <row r="258" spans="2:10">
      <c r="B258" s="260"/>
      <c r="C258" s="261" t="s">
        <v>441</v>
      </c>
      <c r="D258" s="260"/>
      <c r="E258" s="263">
        <f>Dat_02!C257</f>
        <v>47.277197803775032</v>
      </c>
      <c r="F258" s="263">
        <f>Dat_02!D257</f>
        <v>120.59631724353227</v>
      </c>
      <c r="G258" s="263">
        <f>Dat_02!E257</f>
        <v>47.277197803775032</v>
      </c>
      <c r="I258" s="264" t="str">
        <f>Dat_02!F257</f>
        <v/>
      </c>
      <c r="J258" s="276" t="str">
        <f>IF(Dat_02!G257=0,"",Dat_02!G257)</f>
        <v/>
      </c>
    </row>
    <row r="259" spans="2:10">
      <c r="B259" s="260"/>
      <c r="C259" s="261" t="s">
        <v>442</v>
      </c>
      <c r="D259" s="260"/>
      <c r="E259" s="263">
        <f>Dat_02!C258</f>
        <v>49.300718171775031</v>
      </c>
      <c r="F259" s="263">
        <f>Dat_02!D258</f>
        <v>120.59631724353227</v>
      </c>
      <c r="G259" s="263">
        <f>Dat_02!E258</f>
        <v>49.300718171775031</v>
      </c>
      <c r="I259" s="264" t="str">
        <f>Dat_02!F258</f>
        <v/>
      </c>
      <c r="J259" s="276" t="str">
        <f>IF(Dat_02!G258=0,"",Dat_02!G258)</f>
        <v/>
      </c>
    </row>
    <row r="260" spans="2:10">
      <c r="B260" s="260"/>
      <c r="C260" s="261" t="s">
        <v>443</v>
      </c>
      <c r="D260" s="260"/>
      <c r="E260" s="263">
        <f>Dat_02!C259</f>
        <v>21.41234182177503</v>
      </c>
      <c r="F260" s="263">
        <f>Dat_02!D259</f>
        <v>120.59631724353227</v>
      </c>
      <c r="G260" s="263">
        <f>Dat_02!E259</f>
        <v>21.41234182177503</v>
      </c>
      <c r="I260" s="264" t="str">
        <f>Dat_02!F259</f>
        <v/>
      </c>
      <c r="J260" s="276" t="str">
        <f>IF(Dat_02!G259=0,"",Dat_02!G259)</f>
        <v/>
      </c>
    </row>
    <row r="261" spans="2:10">
      <c r="B261" s="260"/>
      <c r="C261" s="261" t="s">
        <v>444</v>
      </c>
      <c r="D261" s="260"/>
      <c r="E261" s="263">
        <f>Dat_02!C260</f>
        <v>27.367468911775031</v>
      </c>
      <c r="F261" s="263">
        <f>Dat_02!D260</f>
        <v>120.59631724353227</v>
      </c>
      <c r="G261" s="263">
        <f>Dat_02!E260</f>
        <v>27.367468911775031</v>
      </c>
      <c r="I261" s="264" t="str">
        <f>Dat_02!F260</f>
        <v/>
      </c>
      <c r="J261" s="276" t="str">
        <f>IF(Dat_02!G260=0,"",Dat_02!G260)</f>
        <v/>
      </c>
    </row>
    <row r="262" spans="2:10">
      <c r="B262" s="260"/>
      <c r="C262" s="261" t="s">
        <v>445</v>
      </c>
      <c r="D262" s="260"/>
      <c r="E262" s="263">
        <f>Dat_02!C261</f>
        <v>38.59618624177503</v>
      </c>
      <c r="F262" s="263">
        <f>Dat_02!D261</f>
        <v>120.59631724353227</v>
      </c>
      <c r="G262" s="263">
        <f>Dat_02!E261</f>
        <v>38.59618624177503</v>
      </c>
      <c r="I262" s="264" t="str">
        <f>Dat_02!F261</f>
        <v/>
      </c>
      <c r="J262" s="276" t="str">
        <f>IF(Dat_02!G261=0,"",Dat_02!G261)</f>
        <v/>
      </c>
    </row>
    <row r="263" spans="2:10">
      <c r="B263" s="260"/>
      <c r="C263" s="261" t="s">
        <v>446</v>
      </c>
      <c r="D263" s="260"/>
      <c r="E263" s="263">
        <f>Dat_02!C262</f>
        <v>66.260391331775963</v>
      </c>
      <c r="F263" s="263">
        <f>Dat_02!D262</f>
        <v>120.59631724353227</v>
      </c>
      <c r="G263" s="263">
        <f>Dat_02!E262</f>
        <v>66.260391331775963</v>
      </c>
      <c r="I263" s="264" t="str">
        <f>Dat_02!F262</f>
        <v>E</v>
      </c>
      <c r="J263" s="276">
        <f>IF(Dat_02!G262=0,"",Dat_02!G262)</f>
        <v>120.59631724353227</v>
      </c>
    </row>
    <row r="264" spans="2:10">
      <c r="B264" s="260"/>
      <c r="C264" s="261" t="s">
        <v>447</v>
      </c>
      <c r="D264" s="260"/>
      <c r="E264" s="263">
        <f>Dat_02!C263</f>
        <v>57.04045158485799</v>
      </c>
      <c r="F264" s="263">
        <f>Dat_02!D263</f>
        <v>120.59631724353227</v>
      </c>
      <c r="G264" s="263">
        <f>Dat_02!E263</f>
        <v>57.04045158485799</v>
      </c>
      <c r="I264" s="264" t="str">
        <f>Dat_02!F263</f>
        <v/>
      </c>
      <c r="J264" s="276" t="str">
        <f>IF(Dat_02!G263=0,"",Dat_02!G263)</f>
        <v/>
      </c>
    </row>
    <row r="265" spans="2:10">
      <c r="B265" s="260"/>
      <c r="C265" s="261" t="s">
        <v>448</v>
      </c>
      <c r="D265" s="260"/>
      <c r="E265" s="263">
        <f>Dat_02!C264</f>
        <v>47.077626530858922</v>
      </c>
      <c r="F265" s="263">
        <f>Dat_02!D264</f>
        <v>120.59631724353227</v>
      </c>
      <c r="G265" s="263">
        <f>Dat_02!E264</f>
        <v>47.077626530858922</v>
      </c>
      <c r="I265" s="264" t="str">
        <f>Dat_02!F264</f>
        <v/>
      </c>
      <c r="J265" s="276" t="str">
        <f>IF(Dat_02!G264=0,"",Dat_02!G264)</f>
        <v/>
      </c>
    </row>
    <row r="266" spans="2:10">
      <c r="B266" s="260"/>
      <c r="C266" s="261" t="s">
        <v>449</v>
      </c>
      <c r="D266" s="260"/>
      <c r="E266" s="263">
        <f>Dat_02!C265</f>
        <v>75.719266858857978</v>
      </c>
      <c r="F266" s="263">
        <f>Dat_02!D265</f>
        <v>120.59631724353227</v>
      </c>
      <c r="G266" s="263">
        <f>Dat_02!E265</f>
        <v>75.719266858857978</v>
      </c>
      <c r="I266" s="264" t="str">
        <f>Dat_02!F265</f>
        <v/>
      </c>
      <c r="J266" s="276" t="str">
        <f>IF(Dat_02!G265=0,"",Dat_02!G265)</f>
        <v/>
      </c>
    </row>
    <row r="267" spans="2:10">
      <c r="B267" s="260"/>
      <c r="C267" s="261" t="s">
        <v>450</v>
      </c>
      <c r="D267" s="260"/>
      <c r="E267" s="263">
        <f>Dat_02!C266</f>
        <v>43.363908048857994</v>
      </c>
      <c r="F267" s="263">
        <f>Dat_02!D266</f>
        <v>120.59631724353227</v>
      </c>
      <c r="G267" s="263">
        <f>Dat_02!E266</f>
        <v>43.363908048857994</v>
      </c>
      <c r="I267" s="264" t="str">
        <f>Dat_02!F266</f>
        <v/>
      </c>
      <c r="J267" s="276" t="str">
        <f>IF(Dat_02!G266=0,"",Dat_02!G266)</f>
        <v/>
      </c>
    </row>
    <row r="268" spans="2:10">
      <c r="B268" s="260"/>
      <c r="C268" s="261" t="s">
        <v>451</v>
      </c>
      <c r="D268" s="260"/>
      <c r="E268" s="263">
        <f>Dat_02!C267</f>
        <v>21.83003846885892</v>
      </c>
      <c r="F268" s="263">
        <f>Dat_02!D267</f>
        <v>120.59631724353227</v>
      </c>
      <c r="G268" s="263">
        <f>Dat_02!E267</f>
        <v>21.83003846885892</v>
      </c>
      <c r="I268" s="264" t="str">
        <f>Dat_02!F267</f>
        <v/>
      </c>
      <c r="J268" s="276" t="str">
        <f>IF(Dat_02!G267=0,"",Dat_02!G267)</f>
        <v/>
      </c>
    </row>
    <row r="269" spans="2:10">
      <c r="B269" s="260"/>
      <c r="C269" s="261" t="s">
        <v>452</v>
      </c>
      <c r="D269" s="260"/>
      <c r="E269" s="263">
        <f>Dat_02!C268</f>
        <v>65.392766698857983</v>
      </c>
      <c r="F269" s="263">
        <f>Dat_02!D268</f>
        <v>120.59631724353227</v>
      </c>
      <c r="G269" s="263">
        <f>Dat_02!E268</f>
        <v>65.392766698857983</v>
      </c>
      <c r="I269" s="264" t="str">
        <f>Dat_02!F268</f>
        <v/>
      </c>
      <c r="J269" s="276" t="str">
        <f>IF(Dat_02!G268=0,"",Dat_02!G268)</f>
        <v/>
      </c>
    </row>
    <row r="270" spans="2:10">
      <c r="B270" s="260"/>
      <c r="C270" s="261" t="s">
        <v>453</v>
      </c>
      <c r="D270" s="260"/>
      <c r="E270" s="263">
        <f>Dat_02!C269</f>
        <v>50.397212048858911</v>
      </c>
      <c r="F270" s="263">
        <f>Dat_02!D269</f>
        <v>120.59631724353227</v>
      </c>
      <c r="G270" s="263">
        <f>Dat_02!E269</f>
        <v>50.397212048858911</v>
      </c>
      <c r="I270" s="264" t="str">
        <f>Dat_02!F269</f>
        <v/>
      </c>
      <c r="J270" s="276" t="str">
        <f>IF(Dat_02!G269=0,"",Dat_02!G269)</f>
        <v/>
      </c>
    </row>
    <row r="271" spans="2:10">
      <c r="B271" s="260"/>
      <c r="C271" s="261" t="s">
        <v>454</v>
      </c>
      <c r="D271" s="260"/>
      <c r="E271" s="263">
        <f>Dat_02!C270</f>
        <v>86.926067344620051</v>
      </c>
      <c r="F271" s="263">
        <f>Dat_02!D270</f>
        <v>120.59631724353227</v>
      </c>
      <c r="G271" s="263">
        <f>Dat_02!E270</f>
        <v>86.926067344620051</v>
      </c>
      <c r="I271" s="264" t="str">
        <f>Dat_02!F270</f>
        <v/>
      </c>
      <c r="J271" s="276" t="str">
        <f>IF(Dat_02!G270=0,"",Dat_02!G270)</f>
        <v/>
      </c>
    </row>
    <row r="272" spans="2:10">
      <c r="B272" s="260"/>
      <c r="C272" s="261" t="s">
        <v>455</v>
      </c>
      <c r="D272" s="260"/>
      <c r="E272" s="263">
        <f>Dat_02!C271</f>
        <v>94.078569926620986</v>
      </c>
      <c r="F272" s="263">
        <f>Dat_02!D271</f>
        <v>120.59631724353227</v>
      </c>
      <c r="G272" s="263">
        <f>Dat_02!E271</f>
        <v>94.078569926620986</v>
      </c>
      <c r="I272" s="264" t="str">
        <f>Dat_02!F271</f>
        <v/>
      </c>
      <c r="J272" s="276" t="str">
        <f>IF(Dat_02!G271=0,"",Dat_02!G271)</f>
        <v/>
      </c>
    </row>
    <row r="273" spans="2:10">
      <c r="B273" s="260"/>
      <c r="C273" s="261" t="s">
        <v>456</v>
      </c>
      <c r="D273" s="260"/>
      <c r="E273" s="263">
        <f>Dat_02!C272</f>
        <v>99.235658760620055</v>
      </c>
      <c r="F273" s="263">
        <f>Dat_02!D272</f>
        <v>120.59631724353227</v>
      </c>
      <c r="G273" s="263">
        <f>Dat_02!E272</f>
        <v>99.235658760620055</v>
      </c>
      <c r="I273" s="264" t="str">
        <f>Dat_02!F272</f>
        <v/>
      </c>
      <c r="J273" s="276" t="str">
        <f>IF(Dat_02!G272=0,"",Dat_02!G272)</f>
        <v/>
      </c>
    </row>
    <row r="274" spans="2:10">
      <c r="B274" s="260"/>
      <c r="C274" s="261" t="s">
        <v>457</v>
      </c>
      <c r="D274" s="260"/>
      <c r="E274" s="263">
        <f>Dat_02!C273</f>
        <v>91.517316510620049</v>
      </c>
      <c r="F274" s="263">
        <f>Dat_02!D273</f>
        <v>120.59631724353227</v>
      </c>
      <c r="G274" s="263">
        <f>Dat_02!E273</f>
        <v>91.517316510620049</v>
      </c>
      <c r="I274" s="264" t="str">
        <f>Dat_02!F273</f>
        <v/>
      </c>
      <c r="J274" s="276" t="str">
        <f>IF(Dat_02!G273=0,"",Dat_02!G273)</f>
        <v/>
      </c>
    </row>
    <row r="275" spans="2:10">
      <c r="B275" s="260"/>
      <c r="C275" s="261" t="s">
        <v>458</v>
      </c>
      <c r="D275" s="260"/>
      <c r="E275" s="263">
        <f>Dat_02!C274</f>
        <v>77.204728650620993</v>
      </c>
      <c r="F275" s="263">
        <f>Dat_02!D274</f>
        <v>120.59631724353227</v>
      </c>
      <c r="G275" s="263">
        <f>Dat_02!E274</f>
        <v>77.204728650620993</v>
      </c>
      <c r="I275" s="264" t="str">
        <f>Dat_02!F274</f>
        <v/>
      </c>
      <c r="J275" s="276" t="str">
        <f>IF(Dat_02!G274=0,"",Dat_02!G274)</f>
        <v/>
      </c>
    </row>
    <row r="276" spans="2:10">
      <c r="B276" s="260"/>
      <c r="C276" s="261" t="s">
        <v>459</v>
      </c>
      <c r="D276" s="260"/>
      <c r="E276" s="263">
        <f>Dat_02!C275</f>
        <v>98.923464460620039</v>
      </c>
      <c r="F276" s="263">
        <f>Dat_02!D275</f>
        <v>120.59631724353227</v>
      </c>
      <c r="G276" s="263">
        <f>Dat_02!E275</f>
        <v>98.923464460620039</v>
      </c>
      <c r="I276" s="264" t="str">
        <f>Dat_02!F275</f>
        <v/>
      </c>
      <c r="J276" s="276" t="str">
        <f>IF(Dat_02!G275=0,"",Dat_02!G275)</f>
        <v/>
      </c>
    </row>
    <row r="277" spans="2:10">
      <c r="B277" s="260" t="s">
        <v>460</v>
      </c>
      <c r="C277" s="261" t="s">
        <v>461</v>
      </c>
      <c r="D277" s="260"/>
      <c r="E277" s="263">
        <f>Dat_02!C276</f>
        <v>101.44524273062005</v>
      </c>
      <c r="F277" s="263">
        <f>Dat_02!D276</f>
        <v>120.59631724353227</v>
      </c>
      <c r="G277" s="263">
        <f>Dat_02!E276</f>
        <v>101.44524273062005</v>
      </c>
      <c r="I277" s="264" t="str">
        <f>Dat_02!F276</f>
        <v/>
      </c>
      <c r="J277" s="276" t="str">
        <f>IF(Dat_02!G276=0,"",Dat_02!G276)</f>
        <v/>
      </c>
    </row>
    <row r="278" spans="2:10">
      <c r="B278" s="262"/>
      <c r="C278" s="267" t="s">
        <v>462</v>
      </c>
      <c r="D278" s="262"/>
      <c r="E278" s="263">
        <f>Dat_02!C277</f>
        <v>167.32214358214841</v>
      </c>
      <c r="F278" s="263">
        <f>Dat_02!D277</f>
        <v>120.59631724353227</v>
      </c>
      <c r="G278" s="263">
        <f>Dat_02!E277</f>
        <v>120.59631724353227</v>
      </c>
      <c r="I278" s="264" t="str">
        <f>Dat_02!F277</f>
        <v/>
      </c>
      <c r="J278" s="276" t="str">
        <f>IF(Dat_02!G277=0,"",Dat_02!G277)</f>
        <v/>
      </c>
    </row>
    <row r="279" spans="2:10">
      <c r="B279" s="260"/>
      <c r="C279" s="261" t="s">
        <v>463</v>
      </c>
      <c r="D279" s="262"/>
      <c r="E279" s="263">
        <f>Dat_02!C278</f>
        <v>172.56405617015773</v>
      </c>
      <c r="F279" s="263">
        <f>Dat_02!D278</f>
        <v>120.59631724353227</v>
      </c>
      <c r="G279" s="263">
        <f>Dat_02!E278</f>
        <v>120.59631724353227</v>
      </c>
      <c r="I279" s="264" t="str">
        <f>Dat_02!F278</f>
        <v/>
      </c>
      <c r="J279" s="276" t="str">
        <f>IF(Dat_02!G278=0,"",Dat_02!G278)</f>
        <v/>
      </c>
    </row>
    <row r="280" spans="2:10">
      <c r="B280" s="260"/>
      <c r="C280" s="261" t="s">
        <v>464</v>
      </c>
      <c r="D280" s="260"/>
      <c r="E280" s="263">
        <f>Dat_02!C279</f>
        <v>185.55380824014654</v>
      </c>
      <c r="F280" s="263">
        <f>Dat_02!D279</f>
        <v>120.04142913099631</v>
      </c>
      <c r="G280" s="263">
        <f>Dat_02!E279</f>
        <v>120.04142913099631</v>
      </c>
      <c r="I280" s="264" t="str">
        <f>Dat_02!F279</f>
        <v/>
      </c>
      <c r="J280" s="276" t="str">
        <f>IF(Dat_02!G279=0,"",Dat_02!G279)</f>
        <v/>
      </c>
    </row>
    <row r="281" spans="2:10">
      <c r="B281" s="260"/>
      <c r="C281" s="261" t="s">
        <v>465</v>
      </c>
      <c r="D281" s="260"/>
      <c r="E281" s="263">
        <f>Dat_02!C280</f>
        <v>185.54341329814844</v>
      </c>
      <c r="F281" s="263">
        <f>Dat_02!D280</f>
        <v>120.04142913099631</v>
      </c>
      <c r="G281" s="263">
        <f>Dat_02!E280</f>
        <v>120.04142913099631</v>
      </c>
      <c r="I281" s="264" t="str">
        <f>Dat_02!F280</f>
        <v/>
      </c>
      <c r="J281" s="276" t="str">
        <f>IF(Dat_02!G280=0,"",Dat_02!G280)</f>
        <v/>
      </c>
    </row>
    <row r="282" spans="2:10">
      <c r="B282" s="260"/>
      <c r="C282" s="261" t="s">
        <v>466</v>
      </c>
      <c r="D282" s="260"/>
      <c r="E282" s="263">
        <f>Dat_02!C281</f>
        <v>184.93688635014843</v>
      </c>
      <c r="F282" s="263">
        <f>Dat_02!D281</f>
        <v>120.04142913099631</v>
      </c>
      <c r="G282" s="263">
        <f>Dat_02!E281</f>
        <v>120.04142913099631</v>
      </c>
      <c r="I282" s="264" t="str">
        <f>Dat_02!F281</f>
        <v/>
      </c>
      <c r="J282" s="276" t="str">
        <f>IF(Dat_02!G281=0,"",Dat_02!G281)</f>
        <v/>
      </c>
    </row>
    <row r="283" spans="2:10">
      <c r="B283" s="260"/>
      <c r="C283" s="261" t="s">
        <v>467</v>
      </c>
      <c r="D283" s="260"/>
      <c r="E283" s="263">
        <f>Dat_02!C282</f>
        <v>193.98394959414841</v>
      </c>
      <c r="F283" s="263">
        <f>Dat_02!D282</f>
        <v>120.04142913099631</v>
      </c>
      <c r="G283" s="263">
        <f>Dat_02!E282</f>
        <v>120.04142913099631</v>
      </c>
      <c r="I283" s="264" t="str">
        <f>Dat_02!F282</f>
        <v/>
      </c>
      <c r="J283" s="276" t="str">
        <f>IF(Dat_02!G282=0,"",Dat_02!G282)</f>
        <v/>
      </c>
    </row>
    <row r="284" spans="2:10">
      <c r="B284" s="260"/>
      <c r="C284" s="261" t="s">
        <v>468</v>
      </c>
      <c r="D284" s="260"/>
      <c r="E284" s="263">
        <f>Dat_02!C283</f>
        <v>194.63379708214842</v>
      </c>
      <c r="F284" s="263">
        <f>Dat_02!D283</f>
        <v>120.04142913099631</v>
      </c>
      <c r="G284" s="263">
        <f>Dat_02!E283</f>
        <v>120.04142913099631</v>
      </c>
      <c r="I284" s="264" t="str">
        <f>Dat_02!F283</f>
        <v/>
      </c>
      <c r="J284" s="276" t="str">
        <f>IF(Dat_02!G283=0,"",Dat_02!G283)</f>
        <v/>
      </c>
    </row>
    <row r="285" spans="2:10">
      <c r="B285" s="260"/>
      <c r="C285" s="261" t="s">
        <v>469</v>
      </c>
      <c r="D285" s="260"/>
      <c r="E285" s="263">
        <f>Dat_02!C284</f>
        <v>141.24407143784808</v>
      </c>
      <c r="F285" s="263">
        <f>Dat_02!D284</f>
        <v>120.04142913099631</v>
      </c>
      <c r="G285" s="263">
        <f>Dat_02!E284</f>
        <v>120.04142913099631</v>
      </c>
      <c r="I285" s="264" t="str">
        <f>Dat_02!F284</f>
        <v/>
      </c>
      <c r="J285" s="276" t="str">
        <f>IF(Dat_02!G284=0,"",Dat_02!G284)</f>
        <v/>
      </c>
    </row>
    <row r="286" spans="2:10">
      <c r="B286" s="260"/>
      <c r="C286" s="261" t="s">
        <v>470</v>
      </c>
      <c r="D286" s="260"/>
      <c r="E286" s="263">
        <f>Dat_02!C285</f>
        <v>141.98757405784806</v>
      </c>
      <c r="F286" s="263">
        <f>Dat_02!D285</f>
        <v>120.04142913099631</v>
      </c>
      <c r="G286" s="263">
        <f>Dat_02!E285</f>
        <v>120.04142913099631</v>
      </c>
      <c r="I286" s="264" t="str">
        <f>Dat_02!F285</f>
        <v/>
      </c>
      <c r="J286" s="276" t="str">
        <f>IF(Dat_02!G285=0,"",Dat_02!G285)</f>
        <v/>
      </c>
    </row>
    <row r="287" spans="2:10">
      <c r="B287" s="260"/>
      <c r="C287" s="261" t="s">
        <v>471</v>
      </c>
      <c r="D287" s="260"/>
      <c r="E287" s="263">
        <f>Dat_02!C286</f>
        <v>133.18402521984808</v>
      </c>
      <c r="F287" s="263">
        <f>Dat_02!D286</f>
        <v>120.04142913099631</v>
      </c>
      <c r="G287" s="263">
        <f>Dat_02!E286</f>
        <v>120.04142913099631</v>
      </c>
      <c r="I287" s="264" t="str">
        <f>Dat_02!F286</f>
        <v/>
      </c>
      <c r="J287" s="276" t="str">
        <f>IF(Dat_02!G286=0,"",Dat_02!G286)</f>
        <v/>
      </c>
    </row>
    <row r="288" spans="2:10">
      <c r="B288" s="260"/>
      <c r="C288" s="261" t="s">
        <v>472</v>
      </c>
      <c r="D288" s="260"/>
      <c r="E288" s="263">
        <f>Dat_02!C287</f>
        <v>125.94839746984809</v>
      </c>
      <c r="F288" s="263">
        <f>Dat_02!D287</f>
        <v>120.04142913099631</v>
      </c>
      <c r="G288" s="263">
        <f>Dat_02!E287</f>
        <v>120.04142913099631</v>
      </c>
      <c r="I288" s="264" t="str">
        <f>Dat_02!F287</f>
        <v/>
      </c>
      <c r="J288" s="276" t="str">
        <f>IF(Dat_02!G287=0,"",Dat_02!G287)</f>
        <v/>
      </c>
    </row>
    <row r="289" spans="2:10">
      <c r="B289" s="260"/>
      <c r="C289" s="261" t="s">
        <v>473</v>
      </c>
      <c r="D289" s="260"/>
      <c r="E289" s="263">
        <f>Dat_02!C288</f>
        <v>114.23968854384995</v>
      </c>
      <c r="F289" s="263">
        <f>Dat_02!D288</f>
        <v>120.04142913099631</v>
      </c>
      <c r="G289" s="263">
        <f>Dat_02!E288</f>
        <v>114.23968854384995</v>
      </c>
      <c r="I289" s="264" t="str">
        <f>Dat_02!F288</f>
        <v/>
      </c>
      <c r="J289" s="276" t="str">
        <f>IF(Dat_02!G288=0,"",Dat_02!G288)</f>
        <v/>
      </c>
    </row>
    <row r="290" spans="2:10">
      <c r="B290" s="260"/>
      <c r="C290" s="261" t="s">
        <v>474</v>
      </c>
      <c r="D290" s="260"/>
      <c r="E290" s="263">
        <f>Dat_02!C289</f>
        <v>123.23415218384808</v>
      </c>
      <c r="F290" s="263">
        <f>Dat_02!D289</f>
        <v>120.04142913099631</v>
      </c>
      <c r="G290" s="263">
        <f>Dat_02!E289</f>
        <v>120.04142913099631</v>
      </c>
      <c r="I290" s="264" t="str">
        <f>Dat_02!F289</f>
        <v/>
      </c>
      <c r="J290" s="276" t="str">
        <f>IF(Dat_02!G289=0,"",Dat_02!G289)</f>
        <v/>
      </c>
    </row>
    <row r="291" spans="2:10">
      <c r="B291" s="260"/>
      <c r="C291" s="261" t="s">
        <v>475</v>
      </c>
      <c r="D291" s="260"/>
      <c r="E291" s="263">
        <f>Dat_02!C290</f>
        <v>139.96216425384807</v>
      </c>
      <c r="F291" s="263">
        <f>Dat_02!D290</f>
        <v>120.04142913099631</v>
      </c>
      <c r="G291" s="263">
        <f>Dat_02!E290</f>
        <v>120.04142913099631</v>
      </c>
      <c r="I291" s="264" t="str">
        <f>Dat_02!F290</f>
        <v/>
      </c>
      <c r="J291" s="276" t="str">
        <f>IF(Dat_02!G290=0,"",Dat_02!G290)</f>
        <v/>
      </c>
    </row>
    <row r="292" spans="2:10">
      <c r="B292" s="260"/>
      <c r="C292" s="261" t="s">
        <v>476</v>
      </c>
      <c r="D292" s="260"/>
      <c r="E292" s="263">
        <f>Dat_02!C291</f>
        <v>120.50735569644542</v>
      </c>
      <c r="F292" s="263">
        <f>Dat_02!D291</f>
        <v>120.04142913099631</v>
      </c>
      <c r="G292" s="263">
        <f>Dat_02!E291</f>
        <v>120.04142913099631</v>
      </c>
      <c r="I292" s="264" t="str">
        <f>Dat_02!F291</f>
        <v/>
      </c>
      <c r="J292" s="276" t="str">
        <f>IF(Dat_02!G291=0,"",Dat_02!G291)</f>
        <v/>
      </c>
    </row>
    <row r="293" spans="2:10">
      <c r="B293" s="260"/>
      <c r="C293" s="261" t="s">
        <v>477</v>
      </c>
      <c r="D293" s="260"/>
      <c r="E293" s="263">
        <f>Dat_02!C292</f>
        <v>103.61933332644728</v>
      </c>
      <c r="F293" s="263">
        <f>Dat_02!D292</f>
        <v>120.04142913099631</v>
      </c>
      <c r="G293" s="263">
        <f>Dat_02!E292</f>
        <v>103.61933332644728</v>
      </c>
      <c r="I293" s="264" t="str">
        <f>Dat_02!F292</f>
        <v/>
      </c>
      <c r="J293" s="276" t="str">
        <f>IF(Dat_02!G292=0,"",Dat_02!G292)</f>
        <v/>
      </c>
    </row>
    <row r="294" spans="2:10">
      <c r="B294" s="260"/>
      <c r="C294" s="261" t="s">
        <v>478</v>
      </c>
      <c r="D294" s="260"/>
      <c r="E294" s="263">
        <f>Dat_02!C293</f>
        <v>107.91993847844542</v>
      </c>
      <c r="F294" s="263">
        <f>Dat_02!D293</f>
        <v>120.04142913099631</v>
      </c>
      <c r="G294" s="263">
        <f>Dat_02!E293</f>
        <v>107.91993847844542</v>
      </c>
      <c r="I294" s="264" t="str">
        <f>Dat_02!F293</f>
        <v>F</v>
      </c>
      <c r="J294" s="276">
        <f>IF(Dat_02!G293=0,"",Dat_02!G293)</f>
        <v>120.04142913099631</v>
      </c>
    </row>
    <row r="295" spans="2:10">
      <c r="B295" s="260"/>
      <c r="C295" s="261" t="s">
        <v>479</v>
      </c>
      <c r="D295" s="260"/>
      <c r="E295" s="263">
        <f>Dat_02!C294</f>
        <v>94.657826232447277</v>
      </c>
      <c r="F295" s="263">
        <f>Dat_02!D294</f>
        <v>120.04142913099631</v>
      </c>
      <c r="G295" s="263">
        <f>Dat_02!E294</f>
        <v>94.657826232447277</v>
      </c>
      <c r="I295" s="264" t="str">
        <f>Dat_02!F294</f>
        <v/>
      </c>
      <c r="J295" s="276" t="str">
        <f>IF(Dat_02!G294=0,"",Dat_02!G294)</f>
        <v/>
      </c>
    </row>
    <row r="296" spans="2:10">
      <c r="B296" s="260"/>
      <c r="C296" s="261" t="s">
        <v>480</v>
      </c>
      <c r="D296" s="260"/>
      <c r="E296" s="263">
        <f>Dat_02!C295</f>
        <v>84.414197128447285</v>
      </c>
      <c r="F296" s="263">
        <f>Dat_02!D295</f>
        <v>120.04142913099631</v>
      </c>
      <c r="G296" s="263">
        <f>Dat_02!E295</f>
        <v>84.414197128447285</v>
      </c>
      <c r="I296" s="264" t="str">
        <f>Dat_02!F295</f>
        <v/>
      </c>
      <c r="J296" s="276" t="str">
        <f>IF(Dat_02!G295=0,"",Dat_02!G295)</f>
        <v/>
      </c>
    </row>
    <row r="297" spans="2:10">
      <c r="B297" s="260"/>
      <c r="C297" s="261" t="s">
        <v>481</v>
      </c>
      <c r="D297" s="260"/>
      <c r="E297" s="263">
        <f>Dat_02!C296</f>
        <v>109.91337516244728</v>
      </c>
      <c r="F297" s="263">
        <f>Dat_02!D296</f>
        <v>120.04142913099631</v>
      </c>
      <c r="G297" s="263">
        <f>Dat_02!E296</f>
        <v>109.91337516244728</v>
      </c>
      <c r="I297" s="264" t="str">
        <f>Dat_02!F296</f>
        <v/>
      </c>
      <c r="J297" s="276" t="str">
        <f>IF(Dat_02!G296=0,"",Dat_02!G296)</f>
        <v/>
      </c>
    </row>
    <row r="298" spans="2:10">
      <c r="B298" s="260"/>
      <c r="C298" s="261" t="s">
        <v>482</v>
      </c>
      <c r="D298" s="260"/>
      <c r="E298" s="263">
        <f>Dat_02!C297</f>
        <v>119.44001481844542</v>
      </c>
      <c r="F298" s="263">
        <f>Dat_02!D297</f>
        <v>120.04142913099631</v>
      </c>
      <c r="G298" s="263">
        <f>Dat_02!E297</f>
        <v>119.44001481844542</v>
      </c>
      <c r="I298" s="264" t="str">
        <f>Dat_02!F297</f>
        <v/>
      </c>
      <c r="J298" s="276" t="str">
        <f>IF(Dat_02!G297=0,"",Dat_02!G297)</f>
        <v/>
      </c>
    </row>
    <row r="299" spans="2:10">
      <c r="B299" s="260"/>
      <c r="C299" s="261" t="s">
        <v>483</v>
      </c>
      <c r="D299" s="260"/>
      <c r="E299" s="263">
        <f>Dat_02!C298</f>
        <v>87.654566587945766</v>
      </c>
      <c r="F299" s="263">
        <f>Dat_02!D298</f>
        <v>120.04142913099631</v>
      </c>
      <c r="G299" s="263">
        <f>Dat_02!E298</f>
        <v>87.654566587945766</v>
      </c>
      <c r="I299" s="264" t="str">
        <f>Dat_02!F298</f>
        <v/>
      </c>
      <c r="J299" s="276" t="str">
        <f>IF(Dat_02!G298=0,"",Dat_02!G298)</f>
        <v/>
      </c>
    </row>
    <row r="300" spans="2:10">
      <c r="B300" s="260"/>
      <c r="C300" s="261" t="s">
        <v>484</v>
      </c>
      <c r="D300" s="260"/>
      <c r="E300" s="263">
        <f>Dat_02!C299</f>
        <v>79.100640777947632</v>
      </c>
      <c r="F300" s="263">
        <f>Dat_02!D299</f>
        <v>120.04142913099631</v>
      </c>
      <c r="G300" s="263">
        <f>Dat_02!E299</f>
        <v>79.100640777947632</v>
      </c>
      <c r="I300" s="264" t="str">
        <f>Dat_02!F299</f>
        <v/>
      </c>
      <c r="J300" s="276" t="str">
        <f>IF(Dat_02!G299=0,"",Dat_02!G299)</f>
        <v/>
      </c>
    </row>
    <row r="301" spans="2:10">
      <c r="B301" s="260"/>
      <c r="C301" s="261" t="s">
        <v>485</v>
      </c>
      <c r="D301" s="260"/>
      <c r="E301" s="263">
        <f>Dat_02!C300</f>
        <v>75.29656747794948</v>
      </c>
      <c r="F301" s="263">
        <f>Dat_02!D300</f>
        <v>120.04142913099631</v>
      </c>
      <c r="G301" s="263">
        <f>Dat_02!E300</f>
        <v>75.29656747794948</v>
      </c>
      <c r="I301" s="264" t="str">
        <f>Dat_02!F300</f>
        <v/>
      </c>
      <c r="J301" s="276" t="str">
        <f>IF(Dat_02!G300=0,"",Dat_02!G300)</f>
        <v/>
      </c>
    </row>
    <row r="302" spans="2:10">
      <c r="B302" s="260"/>
      <c r="C302" s="261" t="s">
        <v>486</v>
      </c>
      <c r="D302" s="260"/>
      <c r="E302" s="263">
        <f>Dat_02!C301</f>
        <v>64.67373701394763</v>
      </c>
      <c r="F302" s="263">
        <f>Dat_02!D301</f>
        <v>120.04142913099631</v>
      </c>
      <c r="G302" s="263">
        <f>Dat_02!E301</f>
        <v>64.67373701394763</v>
      </c>
      <c r="I302" s="264" t="str">
        <f>Dat_02!F301</f>
        <v/>
      </c>
      <c r="J302" s="276" t="str">
        <f>IF(Dat_02!G301=0,"",Dat_02!G301)</f>
        <v/>
      </c>
    </row>
    <row r="303" spans="2:10">
      <c r="B303" s="260"/>
      <c r="C303" s="261" t="s">
        <v>487</v>
      </c>
      <c r="D303" s="260"/>
      <c r="E303" s="263">
        <f>Dat_02!C302</f>
        <v>66.547907371945769</v>
      </c>
      <c r="F303" s="263">
        <f>Dat_02!D302</f>
        <v>120.04142913099631</v>
      </c>
      <c r="G303" s="263">
        <f>Dat_02!E302</f>
        <v>66.547907371945769</v>
      </c>
      <c r="I303" s="264" t="str">
        <f>Dat_02!F302</f>
        <v/>
      </c>
      <c r="J303" s="276" t="str">
        <f>IF(Dat_02!G302=0,"",Dat_02!G302)</f>
        <v/>
      </c>
    </row>
    <row r="304" spans="2:10">
      <c r="B304" s="260"/>
      <c r="C304" s="261" t="s">
        <v>488</v>
      </c>
      <c r="D304" s="260"/>
      <c r="E304" s="263">
        <f>Dat_02!C303</f>
        <v>91.929126957949492</v>
      </c>
      <c r="F304" s="263">
        <f>Dat_02!D303</f>
        <v>120.04142913099631</v>
      </c>
      <c r="G304" s="263">
        <f>Dat_02!E303</f>
        <v>91.929126957949492</v>
      </c>
      <c r="I304" s="264" t="str">
        <f>Dat_02!F303</f>
        <v/>
      </c>
      <c r="J304" s="276" t="str">
        <f>IF(Dat_02!G303=0,"",Dat_02!G303)</f>
        <v/>
      </c>
    </row>
    <row r="305" spans="2:10">
      <c r="B305" s="260"/>
      <c r="C305" s="261" t="s">
        <v>489</v>
      </c>
      <c r="D305" s="260"/>
      <c r="E305" s="263">
        <f>Dat_02!C304</f>
        <v>75.529221327947624</v>
      </c>
      <c r="F305" s="263">
        <f>Dat_02!D304</f>
        <v>120.04142913099631</v>
      </c>
      <c r="G305" s="263">
        <f>Dat_02!E304</f>
        <v>75.529221327947624</v>
      </c>
      <c r="I305" s="264" t="str">
        <f>Dat_02!F304</f>
        <v/>
      </c>
      <c r="J305" s="276" t="str">
        <f>IF(Dat_02!G304=0,"",Dat_02!G304)</f>
        <v/>
      </c>
    </row>
    <row r="306" spans="2:10">
      <c r="B306" s="260"/>
      <c r="C306" s="261" t="s">
        <v>490</v>
      </c>
      <c r="D306" s="260"/>
      <c r="E306" s="263">
        <f>Dat_02!C305</f>
        <v>69.289263910232478</v>
      </c>
      <c r="F306" s="263">
        <f>Dat_02!D305</f>
        <v>120.04142913099631</v>
      </c>
      <c r="G306" s="263">
        <f>Dat_02!E305</f>
        <v>69.289263910232478</v>
      </c>
      <c r="I306" s="264" t="str">
        <f>Dat_02!F305</f>
        <v/>
      </c>
      <c r="J306" s="276" t="str">
        <f>IF(Dat_02!G305=0,"",Dat_02!G305)</f>
        <v/>
      </c>
    </row>
    <row r="307" spans="2:10">
      <c r="B307" s="260"/>
      <c r="C307" s="261" t="s">
        <v>491</v>
      </c>
      <c r="D307" s="260"/>
      <c r="E307" s="263">
        <f>Dat_02!C306</f>
        <v>63.050286326230605</v>
      </c>
      <c r="F307" s="263">
        <f>Dat_02!D306</f>
        <v>120.04142913099631</v>
      </c>
      <c r="G307" s="263">
        <f>Dat_02!E306</f>
        <v>63.050286326230605</v>
      </c>
      <c r="I307" s="264" t="str">
        <f>Dat_02!F306</f>
        <v/>
      </c>
      <c r="J307" s="276" t="str">
        <f>IF(Dat_02!G306=0,"",Dat_02!G306)</f>
        <v/>
      </c>
    </row>
    <row r="308" spans="2:10">
      <c r="B308" s="262" t="s">
        <v>492</v>
      </c>
      <c r="C308" s="267" t="s">
        <v>493</v>
      </c>
      <c r="D308" s="260"/>
      <c r="E308" s="263">
        <f>Dat_02!C307</f>
        <v>70.277278594230609</v>
      </c>
      <c r="F308" s="263">
        <f>Dat_02!D307</f>
        <v>132.90693384979679</v>
      </c>
      <c r="G308" s="263">
        <f>Dat_02!E307</f>
        <v>70.277278594230609</v>
      </c>
      <c r="I308" s="264" t="str">
        <f>Dat_02!F307</f>
        <v/>
      </c>
      <c r="J308" s="276" t="str">
        <f>IF(Dat_02!G307=0,"",Dat_02!G307)</f>
        <v/>
      </c>
    </row>
    <row r="309" spans="2:10">
      <c r="B309" s="260"/>
      <c r="C309" s="261" t="s">
        <v>494</v>
      </c>
      <c r="D309" s="262"/>
      <c r="E309" s="263">
        <f>Dat_02!C308</f>
        <v>55.063279526230609</v>
      </c>
      <c r="F309" s="263">
        <f>Dat_02!D308</f>
        <v>132.90693384979679</v>
      </c>
      <c r="G309" s="263">
        <f>Dat_02!E308</f>
        <v>55.063279526230609</v>
      </c>
      <c r="I309" s="264" t="str">
        <f>Dat_02!F308</f>
        <v/>
      </c>
      <c r="J309" s="276" t="str">
        <f>IF(Dat_02!G308=0,"",Dat_02!G308)</f>
        <v/>
      </c>
    </row>
    <row r="310" spans="2:10">
      <c r="B310" s="260"/>
      <c r="C310" s="261" t="s">
        <v>495</v>
      </c>
      <c r="D310" s="262"/>
      <c r="E310" s="263">
        <f>Dat_02!C309</f>
        <v>40.958432326230607</v>
      </c>
      <c r="F310" s="263">
        <f>Dat_02!D309</f>
        <v>132.90693384979679</v>
      </c>
      <c r="G310" s="263">
        <f>Dat_02!E309</f>
        <v>40.958432326230607</v>
      </c>
      <c r="I310" s="264" t="str">
        <f>Dat_02!F309</f>
        <v/>
      </c>
      <c r="J310" s="276" t="str">
        <f>IF(Dat_02!G309=0,"",Dat_02!G309)</f>
        <v/>
      </c>
    </row>
    <row r="311" spans="2:10">
      <c r="B311" s="260"/>
      <c r="C311" s="261" t="s">
        <v>496</v>
      </c>
      <c r="D311" s="260"/>
      <c r="E311" s="263">
        <f>Dat_02!C310</f>
        <v>48.805438076230608</v>
      </c>
      <c r="F311" s="263">
        <f>Dat_02!D310</f>
        <v>132.90693384979679</v>
      </c>
      <c r="G311" s="263">
        <f>Dat_02!E310</f>
        <v>48.805438076230608</v>
      </c>
      <c r="I311" s="264" t="str">
        <f>Dat_02!F310</f>
        <v/>
      </c>
      <c r="J311" s="276" t="str">
        <f>IF(Dat_02!G310=0,"",Dat_02!G310)</f>
        <v/>
      </c>
    </row>
    <row r="312" spans="2:10">
      <c r="B312" s="260"/>
      <c r="C312" s="261" t="s">
        <v>497</v>
      </c>
      <c r="D312" s="260"/>
      <c r="E312" s="263">
        <f>Dat_02!C311</f>
        <v>50.547411536228744</v>
      </c>
      <c r="F312" s="263">
        <f>Dat_02!D311</f>
        <v>132.90693384979679</v>
      </c>
      <c r="G312" s="263">
        <f>Dat_02!E311</f>
        <v>50.547411536228744</v>
      </c>
      <c r="I312" s="264" t="str">
        <f>Dat_02!F311</f>
        <v/>
      </c>
      <c r="J312" s="276" t="str">
        <f>IF(Dat_02!G311=0,"",Dat_02!G311)</f>
        <v/>
      </c>
    </row>
    <row r="313" spans="2:10">
      <c r="B313" s="260"/>
      <c r="C313" s="261" t="s">
        <v>498</v>
      </c>
      <c r="D313" s="260"/>
      <c r="E313" s="263">
        <f>Dat_02!C312</f>
        <v>97.01271852355444</v>
      </c>
      <c r="F313" s="263">
        <f>Dat_02!D312</f>
        <v>132.90693384979679</v>
      </c>
      <c r="G313" s="263">
        <f>Dat_02!E312</f>
        <v>97.01271852355444</v>
      </c>
      <c r="I313" s="264" t="str">
        <f>Dat_02!F312</f>
        <v/>
      </c>
      <c r="J313" s="276" t="str">
        <f>IF(Dat_02!G312=0,"",Dat_02!G312)</f>
        <v/>
      </c>
    </row>
    <row r="314" spans="2:10">
      <c r="B314" s="260"/>
      <c r="C314" s="261" t="s">
        <v>499</v>
      </c>
      <c r="D314" s="260"/>
      <c r="E314" s="263">
        <f>Dat_02!C313</f>
        <v>113.77196696755446</v>
      </c>
      <c r="F314" s="263">
        <f>Dat_02!D313</f>
        <v>132.90693384979679</v>
      </c>
      <c r="G314" s="263">
        <f>Dat_02!E313</f>
        <v>113.77196696755446</v>
      </c>
      <c r="I314" s="264" t="str">
        <f>Dat_02!F313</f>
        <v/>
      </c>
      <c r="J314" s="276" t="str">
        <f>IF(Dat_02!G313=0,"",Dat_02!G313)</f>
        <v/>
      </c>
    </row>
    <row r="315" spans="2:10">
      <c r="B315" s="260"/>
      <c r="C315" s="261" t="s">
        <v>500</v>
      </c>
      <c r="D315" s="260"/>
      <c r="E315" s="263">
        <f>Dat_02!C314</f>
        <v>134.49824530355446</v>
      </c>
      <c r="F315" s="263">
        <f>Dat_02!D314</f>
        <v>132.90693384979679</v>
      </c>
      <c r="G315" s="263">
        <f>Dat_02!E314</f>
        <v>132.90693384979679</v>
      </c>
      <c r="I315" s="264" t="str">
        <f>Dat_02!F314</f>
        <v/>
      </c>
      <c r="J315" s="276" t="str">
        <f>IF(Dat_02!G314=0,"",Dat_02!G314)</f>
        <v/>
      </c>
    </row>
    <row r="316" spans="2:10">
      <c r="B316" s="260"/>
      <c r="C316" s="261" t="s">
        <v>501</v>
      </c>
      <c r="D316" s="260"/>
      <c r="E316" s="263">
        <f>Dat_02!C315</f>
        <v>133.48379254355444</v>
      </c>
      <c r="F316" s="263">
        <f>Dat_02!D315</f>
        <v>132.90693384979679</v>
      </c>
      <c r="G316" s="263">
        <f>Dat_02!E315</f>
        <v>132.90693384979679</v>
      </c>
      <c r="I316" s="264" t="str">
        <f>Dat_02!F315</f>
        <v/>
      </c>
      <c r="J316" s="276" t="str">
        <f>IF(Dat_02!G315=0,"",Dat_02!G315)</f>
        <v/>
      </c>
    </row>
    <row r="317" spans="2:10">
      <c r="B317" s="260"/>
      <c r="C317" s="261" t="s">
        <v>502</v>
      </c>
      <c r="D317" s="260"/>
      <c r="E317" s="263">
        <f>Dat_02!C316</f>
        <v>106.05562519355446</v>
      </c>
      <c r="F317" s="263">
        <f>Dat_02!D316</f>
        <v>132.90693384979679</v>
      </c>
      <c r="G317" s="263">
        <f>Dat_02!E316</f>
        <v>106.05562519355446</v>
      </c>
      <c r="I317" s="264" t="str">
        <f>Dat_02!F316</f>
        <v/>
      </c>
      <c r="J317" s="276" t="str">
        <f>IF(Dat_02!G316=0,"",Dat_02!G316)</f>
        <v/>
      </c>
    </row>
    <row r="318" spans="2:10">
      <c r="B318" s="260"/>
      <c r="C318" s="261" t="s">
        <v>503</v>
      </c>
      <c r="D318" s="260"/>
      <c r="E318" s="263">
        <f>Dat_02!C317</f>
        <v>131.23816403755447</v>
      </c>
      <c r="F318" s="263">
        <f>Dat_02!D317</f>
        <v>132.90693384979679</v>
      </c>
      <c r="G318" s="263">
        <f>Dat_02!E317</f>
        <v>131.23816403755447</v>
      </c>
      <c r="I318" s="264" t="str">
        <f>Dat_02!F317</f>
        <v/>
      </c>
      <c r="J318" s="276" t="str">
        <f>IF(Dat_02!G317=0,"",Dat_02!G317)</f>
        <v/>
      </c>
    </row>
    <row r="319" spans="2:10">
      <c r="B319" s="260"/>
      <c r="C319" s="261" t="s">
        <v>504</v>
      </c>
      <c r="D319" s="260"/>
      <c r="E319" s="263">
        <f>Dat_02!C318</f>
        <v>122.21529737355259</v>
      </c>
      <c r="F319" s="263">
        <f>Dat_02!D318</f>
        <v>132.90693384979679</v>
      </c>
      <c r="G319" s="263">
        <f>Dat_02!E318</f>
        <v>122.21529737355259</v>
      </c>
      <c r="I319" s="264" t="str">
        <f>Dat_02!F318</f>
        <v/>
      </c>
      <c r="J319" s="276" t="str">
        <f>IF(Dat_02!G318=0,"",Dat_02!G318)</f>
        <v/>
      </c>
    </row>
    <row r="320" spans="2:10">
      <c r="B320" s="260"/>
      <c r="C320" s="261" t="s">
        <v>505</v>
      </c>
      <c r="D320" s="260"/>
      <c r="E320" s="263">
        <f>Dat_02!C319</f>
        <v>66.401825921277947</v>
      </c>
      <c r="F320" s="263">
        <f>Dat_02!D319</f>
        <v>132.90693384979679</v>
      </c>
      <c r="G320" s="263">
        <f>Dat_02!E319</f>
        <v>66.401825921277947</v>
      </c>
      <c r="I320" s="264" t="str">
        <f>Dat_02!F319</f>
        <v/>
      </c>
      <c r="J320" s="276" t="str">
        <f>IF(Dat_02!G319=0,"",Dat_02!G319)</f>
        <v/>
      </c>
    </row>
    <row r="321" spans="2:10">
      <c r="B321" s="260"/>
      <c r="C321" s="261" t="s">
        <v>506</v>
      </c>
      <c r="D321" s="260"/>
      <c r="E321" s="263">
        <f>Dat_02!C320</f>
        <v>83.578813791277952</v>
      </c>
      <c r="F321" s="263">
        <f>Dat_02!D320</f>
        <v>132.90693384979679</v>
      </c>
      <c r="G321" s="263">
        <f>Dat_02!E320</f>
        <v>83.578813791277952</v>
      </c>
      <c r="I321" s="264" t="str">
        <f>Dat_02!F320</f>
        <v/>
      </c>
      <c r="J321" s="276" t="str">
        <f>IF(Dat_02!G320=0,"",Dat_02!G320)</f>
        <v/>
      </c>
    </row>
    <row r="322" spans="2:10">
      <c r="B322" s="260"/>
      <c r="C322" s="261" t="s">
        <v>507</v>
      </c>
      <c r="D322" s="260"/>
      <c r="E322" s="263">
        <f>Dat_02!C321</f>
        <v>97.28867130127982</v>
      </c>
      <c r="F322" s="263">
        <f>Dat_02!D321</f>
        <v>132.90693384979679</v>
      </c>
      <c r="G322" s="263">
        <f>Dat_02!E321</f>
        <v>97.28867130127982</v>
      </c>
      <c r="I322" s="264" t="str">
        <f>Dat_02!F321</f>
        <v>M</v>
      </c>
      <c r="J322" s="276">
        <f>IF(Dat_02!G321=0,"",Dat_02!G321)</f>
        <v>132.90693384979679</v>
      </c>
    </row>
    <row r="323" spans="2:10">
      <c r="B323" s="260"/>
      <c r="C323" s="261" t="s">
        <v>508</v>
      </c>
      <c r="D323" s="260"/>
      <c r="E323" s="263">
        <f>Dat_02!C322</f>
        <v>74.691771641277953</v>
      </c>
      <c r="F323" s="263">
        <f>Dat_02!D322</f>
        <v>132.90693384979679</v>
      </c>
      <c r="G323" s="263">
        <f>Dat_02!E322</f>
        <v>74.691771641277953</v>
      </c>
      <c r="I323" s="264" t="str">
        <f>Dat_02!F322</f>
        <v/>
      </c>
      <c r="J323" s="276" t="str">
        <f>IF(Dat_02!G322=0,"",Dat_02!G322)</f>
        <v/>
      </c>
    </row>
    <row r="324" spans="2:10">
      <c r="B324" s="260"/>
      <c r="C324" s="261" t="s">
        <v>509</v>
      </c>
      <c r="D324" s="260"/>
      <c r="E324" s="263">
        <f>Dat_02!C323</f>
        <v>41.066370621277947</v>
      </c>
      <c r="F324" s="263">
        <f>Dat_02!D323</f>
        <v>132.90693384979679</v>
      </c>
      <c r="G324" s="263">
        <f>Dat_02!E323</f>
        <v>41.066370621277947</v>
      </c>
      <c r="I324" s="264" t="str">
        <f>Dat_02!F323</f>
        <v/>
      </c>
      <c r="J324" s="276" t="str">
        <f>IF(Dat_02!G323=0,"",Dat_02!G323)</f>
        <v/>
      </c>
    </row>
    <row r="325" spans="2:10">
      <c r="B325" s="260"/>
      <c r="C325" s="261" t="s">
        <v>510</v>
      </c>
      <c r="D325" s="260"/>
      <c r="E325" s="263">
        <f>Dat_02!C324</f>
        <v>61.15964948127796</v>
      </c>
      <c r="F325" s="263">
        <f>Dat_02!D324</f>
        <v>132.90693384979679</v>
      </c>
      <c r="G325" s="263">
        <f>Dat_02!E324</f>
        <v>61.15964948127796</v>
      </c>
      <c r="I325" s="264" t="str">
        <f>Dat_02!F324</f>
        <v/>
      </c>
      <c r="J325" s="276" t="str">
        <f>IF(Dat_02!G324=0,"",Dat_02!G324)</f>
        <v/>
      </c>
    </row>
    <row r="326" spans="2:10">
      <c r="B326" s="260"/>
      <c r="C326" s="261" t="s">
        <v>511</v>
      </c>
      <c r="D326" s="260"/>
      <c r="E326" s="263">
        <f>Dat_02!C325</f>
        <v>61.975206013277955</v>
      </c>
      <c r="F326" s="263">
        <f>Dat_02!D325</f>
        <v>132.90693384979679</v>
      </c>
      <c r="G326" s="263">
        <f>Dat_02!E325</f>
        <v>61.975206013277955</v>
      </c>
      <c r="I326" s="264" t="str">
        <f>Dat_02!F325</f>
        <v/>
      </c>
      <c r="J326" s="276" t="str">
        <f>IF(Dat_02!G325=0,"",Dat_02!G325)</f>
        <v/>
      </c>
    </row>
    <row r="327" spans="2:10">
      <c r="B327" s="260"/>
      <c r="C327" s="261" t="s">
        <v>512</v>
      </c>
      <c r="D327" s="260"/>
      <c r="E327" s="263">
        <f>Dat_02!C326</f>
        <v>59.04501076469046</v>
      </c>
      <c r="F327" s="263">
        <f>Dat_02!D326</f>
        <v>132.90693384979679</v>
      </c>
      <c r="G327" s="263">
        <f>Dat_02!E326</f>
        <v>59.04501076469046</v>
      </c>
      <c r="I327" s="264" t="str">
        <f>Dat_02!F326</f>
        <v/>
      </c>
      <c r="J327" s="276" t="str">
        <f>IF(Dat_02!G326=0,"",Dat_02!G326)</f>
        <v/>
      </c>
    </row>
    <row r="328" spans="2:10">
      <c r="B328" s="260"/>
      <c r="C328" s="261" t="s">
        <v>513</v>
      </c>
      <c r="D328" s="260"/>
      <c r="E328" s="263">
        <f>Dat_02!C327</f>
        <v>74.889885428690448</v>
      </c>
      <c r="F328" s="263">
        <f>Dat_02!D327</f>
        <v>132.90693384979679</v>
      </c>
      <c r="G328" s="263">
        <f>Dat_02!E327</f>
        <v>74.889885428690448</v>
      </c>
      <c r="I328" s="264" t="str">
        <f>Dat_02!F327</f>
        <v/>
      </c>
      <c r="J328" s="276" t="str">
        <f>IF(Dat_02!G327=0,"",Dat_02!G327)</f>
        <v/>
      </c>
    </row>
    <row r="329" spans="2:10">
      <c r="B329" s="260"/>
      <c r="C329" s="261" t="s">
        <v>514</v>
      </c>
      <c r="D329" s="260"/>
      <c r="E329" s="263">
        <f>Dat_02!C328</f>
        <v>98.914973132690463</v>
      </c>
      <c r="F329" s="263">
        <f>Dat_02!D328</f>
        <v>132.90693384979679</v>
      </c>
      <c r="G329" s="263">
        <f>Dat_02!E328</f>
        <v>98.914973132690463</v>
      </c>
      <c r="I329" s="264" t="str">
        <f>Dat_02!F328</f>
        <v/>
      </c>
      <c r="J329" s="276" t="str">
        <f>IF(Dat_02!G328=0,"",Dat_02!G328)</f>
        <v/>
      </c>
    </row>
    <row r="330" spans="2:10">
      <c r="B330" s="260"/>
      <c r="C330" s="261" t="s">
        <v>515</v>
      </c>
      <c r="D330" s="260"/>
      <c r="E330" s="263">
        <f>Dat_02!C329</f>
        <v>68.305593472692308</v>
      </c>
      <c r="F330" s="263">
        <f>Dat_02!D329</f>
        <v>132.90693384979679</v>
      </c>
      <c r="G330" s="263">
        <f>Dat_02!E329</f>
        <v>68.305593472692308</v>
      </c>
      <c r="I330" s="264" t="str">
        <f>Dat_02!F329</f>
        <v/>
      </c>
      <c r="J330" s="276" t="str">
        <f>IF(Dat_02!G329=0,"",Dat_02!G329)</f>
        <v/>
      </c>
    </row>
    <row r="331" spans="2:10">
      <c r="B331" s="260"/>
      <c r="C331" s="261" t="s">
        <v>516</v>
      </c>
      <c r="D331" s="260"/>
      <c r="E331" s="263">
        <f>Dat_02!C330</f>
        <v>41.294560642690456</v>
      </c>
      <c r="F331" s="263">
        <f>Dat_02!D330</f>
        <v>132.90693384979679</v>
      </c>
      <c r="G331" s="263">
        <f>Dat_02!E330</f>
        <v>41.294560642690456</v>
      </c>
      <c r="I331" s="264" t="str">
        <f>Dat_02!F330</f>
        <v/>
      </c>
      <c r="J331" s="276" t="str">
        <f>IF(Dat_02!G330=0,"",Dat_02!G330)</f>
        <v/>
      </c>
    </row>
    <row r="332" spans="2:10">
      <c r="B332" s="260"/>
      <c r="C332" s="261" t="s">
        <v>517</v>
      </c>
      <c r="D332" s="260"/>
      <c r="E332" s="263">
        <f>Dat_02!C331</f>
        <v>42.070215022690455</v>
      </c>
      <c r="F332" s="263">
        <f>Dat_02!D331</f>
        <v>132.90693384979679</v>
      </c>
      <c r="G332" s="263">
        <f>Dat_02!E331</f>
        <v>42.070215022690455</v>
      </c>
      <c r="I332" s="264" t="str">
        <f>Dat_02!F331</f>
        <v/>
      </c>
      <c r="J332" s="276" t="str">
        <f>IF(Dat_02!G331=0,"",Dat_02!G331)</f>
        <v/>
      </c>
    </row>
    <row r="333" spans="2:10">
      <c r="B333" s="260"/>
      <c r="C333" s="261" t="s">
        <v>518</v>
      </c>
      <c r="D333" s="260"/>
      <c r="E333" s="263">
        <f>Dat_02!C332</f>
        <v>37.89081406269046</v>
      </c>
      <c r="F333" s="263">
        <f>Dat_02!D332</f>
        <v>132.90693384979679</v>
      </c>
      <c r="G333" s="263">
        <f>Dat_02!E332</f>
        <v>37.89081406269046</v>
      </c>
      <c r="I333" s="264" t="str">
        <f>Dat_02!F332</f>
        <v/>
      </c>
      <c r="J333" s="276" t="str">
        <f>IF(Dat_02!G332=0,"",Dat_02!G332)</f>
        <v/>
      </c>
    </row>
    <row r="334" spans="2:10">
      <c r="B334" s="260"/>
      <c r="C334" s="261" t="s">
        <v>519</v>
      </c>
      <c r="D334" s="260"/>
      <c r="E334" s="263">
        <f>Dat_02!C333</f>
        <v>39.164603627379492</v>
      </c>
      <c r="F334" s="263">
        <f>Dat_02!D333</f>
        <v>132.90693384979679</v>
      </c>
      <c r="G334" s="263">
        <f>Dat_02!E333</f>
        <v>39.164603627379492</v>
      </c>
      <c r="I334" s="264" t="str">
        <f>Dat_02!F333</f>
        <v/>
      </c>
      <c r="J334" s="276" t="str">
        <f>IF(Dat_02!G333=0,"",Dat_02!G333)</f>
        <v/>
      </c>
    </row>
    <row r="335" spans="2:10">
      <c r="B335" s="260"/>
      <c r="C335" s="261" t="s">
        <v>520</v>
      </c>
      <c r="D335" s="260"/>
      <c r="E335" s="263">
        <f>Dat_02!C334</f>
        <v>50.549527553381346</v>
      </c>
      <c r="F335" s="263">
        <f>Dat_02!D334</f>
        <v>132.90693384979679</v>
      </c>
      <c r="G335" s="263">
        <f>Dat_02!E334</f>
        <v>50.549527553381346</v>
      </c>
      <c r="I335" s="264" t="str">
        <f>Dat_02!F334</f>
        <v/>
      </c>
      <c r="J335" s="276" t="str">
        <f>IF(Dat_02!G334=0,"",Dat_02!G334)</f>
        <v/>
      </c>
    </row>
    <row r="336" spans="2:10">
      <c r="B336" s="260"/>
      <c r="C336" s="261" t="s">
        <v>521</v>
      </c>
      <c r="D336" s="260"/>
      <c r="E336" s="263">
        <f>Dat_02!C335</f>
        <v>62.508611467379481</v>
      </c>
      <c r="F336" s="263">
        <f>Dat_02!D335</f>
        <v>132.90693384979679</v>
      </c>
      <c r="G336" s="263">
        <f>Dat_02!E335</f>
        <v>62.508611467379481</v>
      </c>
      <c r="I336" s="264" t="str">
        <f>Dat_02!F335</f>
        <v/>
      </c>
      <c r="J336" s="276" t="str">
        <f>IF(Dat_02!G335=0,"",Dat_02!G335)</f>
        <v/>
      </c>
    </row>
    <row r="337" spans="2:10">
      <c r="B337" s="260"/>
      <c r="C337" s="261" t="s">
        <v>522</v>
      </c>
      <c r="D337" s="260"/>
      <c r="E337" s="263">
        <f>Dat_02!C336</f>
        <v>40.584141867379493</v>
      </c>
      <c r="F337" s="263">
        <f>Dat_02!D336</f>
        <v>132.90693384979679</v>
      </c>
      <c r="G337" s="263">
        <f>Dat_02!E336</f>
        <v>40.584141867379493</v>
      </c>
      <c r="I337" s="264" t="str">
        <f>Dat_02!F336</f>
        <v/>
      </c>
      <c r="J337" s="276" t="str">
        <f>IF(Dat_02!G336=0,"",Dat_02!G336)</f>
        <v/>
      </c>
    </row>
    <row r="338" spans="2:10">
      <c r="B338" s="262" t="s">
        <v>523</v>
      </c>
      <c r="C338" s="267" t="s">
        <v>524</v>
      </c>
      <c r="D338" s="260"/>
      <c r="E338" s="263">
        <f>Dat_02!C337</f>
        <v>51.808680707385072</v>
      </c>
      <c r="F338" s="263">
        <f>Dat_02!D337</f>
        <v>132.90693384979679</v>
      </c>
      <c r="G338" s="263">
        <f>Dat_02!E337</f>
        <v>51.808680707385072</v>
      </c>
      <c r="I338" s="264" t="str">
        <f>Dat_02!F337</f>
        <v/>
      </c>
      <c r="J338" s="276" t="str">
        <f>IF(Dat_02!G337=0,"",Dat_02!G337)</f>
        <v/>
      </c>
    </row>
    <row r="339" spans="2:10">
      <c r="B339" s="260"/>
      <c r="C339" s="261" t="s">
        <v>525</v>
      </c>
      <c r="D339" s="262"/>
      <c r="E339" s="263">
        <f>Dat_02!C338</f>
        <v>76.65771883938136</v>
      </c>
      <c r="F339" s="263">
        <f>Dat_02!D338</f>
        <v>128.77123560535</v>
      </c>
      <c r="G339" s="263">
        <f>Dat_02!E338</f>
        <v>76.65771883938136</v>
      </c>
      <c r="I339" s="264" t="str">
        <f>Dat_02!F338</f>
        <v/>
      </c>
      <c r="J339" s="276" t="str">
        <f>IF(Dat_02!G338=0,"",Dat_02!G338)</f>
        <v/>
      </c>
    </row>
    <row r="340" spans="2:10">
      <c r="B340" s="260"/>
      <c r="C340" s="261" t="s">
        <v>526</v>
      </c>
      <c r="D340" s="262"/>
      <c r="E340" s="263">
        <f>Dat_02!C339</f>
        <v>73.103140955377611</v>
      </c>
      <c r="F340" s="263">
        <f>Dat_02!D339</f>
        <v>128.77123560535</v>
      </c>
      <c r="G340" s="263">
        <f>Dat_02!E339</f>
        <v>73.103140955377611</v>
      </c>
      <c r="I340" s="264" t="str">
        <f>Dat_02!F339</f>
        <v/>
      </c>
      <c r="J340" s="276" t="str">
        <f>IF(Dat_02!G339=0,"",Dat_02!G339)</f>
        <v/>
      </c>
    </row>
    <row r="341" spans="2:10">
      <c r="B341" s="260"/>
      <c r="C341" s="261" t="s">
        <v>527</v>
      </c>
      <c r="D341" s="260"/>
      <c r="E341" s="263">
        <f>Dat_02!C340</f>
        <v>45.01858317977959</v>
      </c>
      <c r="F341" s="263">
        <f>Dat_02!D340</f>
        <v>128.77123560535</v>
      </c>
      <c r="G341" s="263">
        <f>Dat_02!E340</f>
        <v>45.01858317977959</v>
      </c>
      <c r="I341" s="264" t="str">
        <f>Dat_02!F340</f>
        <v/>
      </c>
      <c r="J341" s="276" t="str">
        <f>IF(Dat_02!G340=0,"",Dat_02!G340)</f>
        <v/>
      </c>
    </row>
    <row r="342" spans="2:10">
      <c r="B342" s="260"/>
      <c r="C342" s="261" t="s">
        <v>528</v>
      </c>
      <c r="D342" s="260"/>
      <c r="E342" s="263">
        <f>Dat_02!C341</f>
        <v>42.325144523779592</v>
      </c>
      <c r="F342" s="263">
        <f>Dat_02!D341</f>
        <v>128.77123560535</v>
      </c>
      <c r="G342" s="263">
        <f>Dat_02!E341</f>
        <v>42.325144523779592</v>
      </c>
      <c r="I342" s="264" t="str">
        <f>Dat_02!F341</f>
        <v/>
      </c>
      <c r="J342" s="276" t="str">
        <f>IF(Dat_02!G341=0,"",Dat_02!G341)</f>
        <v/>
      </c>
    </row>
    <row r="343" spans="2:10">
      <c r="B343" s="260"/>
      <c r="C343" s="261" t="s">
        <v>529</v>
      </c>
      <c r="D343" s="260"/>
      <c r="E343" s="263">
        <f>Dat_02!C342</f>
        <v>53.114143071777725</v>
      </c>
      <c r="F343" s="263">
        <f>Dat_02!D342</f>
        <v>128.77123560535</v>
      </c>
      <c r="G343" s="263">
        <f>Dat_02!E342</f>
        <v>53.114143071777725</v>
      </c>
      <c r="I343" s="264" t="str">
        <f>Dat_02!F342</f>
        <v/>
      </c>
      <c r="J343" s="276" t="str">
        <f>IF(Dat_02!G342=0,"",Dat_02!G342)</f>
        <v/>
      </c>
    </row>
    <row r="344" spans="2:10">
      <c r="B344" s="260"/>
      <c r="C344" s="261" t="s">
        <v>530</v>
      </c>
      <c r="D344" s="260"/>
      <c r="E344" s="263">
        <f>Dat_02!C343</f>
        <v>35.382675467779592</v>
      </c>
      <c r="F344" s="263">
        <f>Dat_02!D343</f>
        <v>128.77123560535</v>
      </c>
      <c r="G344" s="263">
        <f>Dat_02!E343</f>
        <v>35.382675467779592</v>
      </c>
      <c r="I344" s="264" t="str">
        <f>Dat_02!F343</f>
        <v/>
      </c>
      <c r="J344" s="276" t="str">
        <f>IF(Dat_02!G343=0,"",Dat_02!G343)</f>
        <v/>
      </c>
    </row>
    <row r="345" spans="2:10">
      <c r="B345" s="260"/>
      <c r="C345" s="261" t="s">
        <v>531</v>
      </c>
      <c r="D345" s="260"/>
      <c r="E345" s="263">
        <f>Dat_02!C344</f>
        <v>30.349885119777724</v>
      </c>
      <c r="F345" s="263">
        <f>Dat_02!D344</f>
        <v>128.77123560535</v>
      </c>
      <c r="G345" s="263">
        <f>Dat_02!E344</f>
        <v>30.349885119777724</v>
      </c>
      <c r="I345" s="264" t="str">
        <f>Dat_02!F344</f>
        <v/>
      </c>
      <c r="J345" s="276" t="str">
        <f>IF(Dat_02!G344=0,"",Dat_02!G344)</f>
        <v/>
      </c>
    </row>
    <row r="346" spans="2:10">
      <c r="B346" s="260"/>
      <c r="C346" s="261" t="s">
        <v>532</v>
      </c>
      <c r="D346" s="260"/>
      <c r="E346" s="263">
        <f>Dat_02!C345</f>
        <v>38.869087747777733</v>
      </c>
      <c r="F346" s="263">
        <f>Dat_02!D345</f>
        <v>128.77123560535</v>
      </c>
      <c r="G346" s="263">
        <f>Dat_02!E345</f>
        <v>38.869087747777733</v>
      </c>
      <c r="I346" s="264" t="str">
        <f>Dat_02!F345</f>
        <v/>
      </c>
      <c r="J346" s="276" t="str">
        <f>IF(Dat_02!G345=0,"",Dat_02!G345)</f>
        <v/>
      </c>
    </row>
    <row r="347" spans="2:10">
      <c r="B347" s="260"/>
      <c r="C347" s="261" t="s">
        <v>533</v>
      </c>
      <c r="D347" s="260"/>
      <c r="E347" s="263">
        <f>Dat_02!C346</f>
        <v>35.440293803779589</v>
      </c>
      <c r="F347" s="263">
        <f>Dat_02!D346</f>
        <v>128.77123560535</v>
      </c>
      <c r="G347" s="263">
        <f>Dat_02!E346</f>
        <v>35.440293803779589</v>
      </c>
      <c r="I347" s="264" t="str">
        <f>Dat_02!F346</f>
        <v/>
      </c>
      <c r="J347" s="276" t="str">
        <f>IF(Dat_02!G346=0,"",Dat_02!G346)</f>
        <v/>
      </c>
    </row>
    <row r="348" spans="2:10">
      <c r="B348" s="260"/>
      <c r="C348" s="261" t="s">
        <v>534</v>
      </c>
      <c r="D348" s="260"/>
      <c r="E348" s="263">
        <f>Dat_02!C347</f>
        <v>73.569345241523081</v>
      </c>
      <c r="F348" s="263">
        <f>Dat_02!D347</f>
        <v>128.77123560535</v>
      </c>
      <c r="G348" s="263">
        <f>Dat_02!E347</f>
        <v>73.569345241523081</v>
      </c>
      <c r="I348" s="264" t="str">
        <f>Dat_02!F347</f>
        <v/>
      </c>
      <c r="J348" s="276" t="str">
        <f>IF(Dat_02!G347=0,"",Dat_02!G347)</f>
        <v/>
      </c>
    </row>
    <row r="349" spans="2:10">
      <c r="B349" s="260"/>
      <c r="C349" s="261" t="s">
        <v>535</v>
      </c>
      <c r="D349" s="260"/>
      <c r="E349" s="263">
        <f>Dat_02!C348</f>
        <v>81.876537213523108</v>
      </c>
      <c r="F349" s="263">
        <f>Dat_02!D348</f>
        <v>128.77123560535</v>
      </c>
      <c r="G349" s="263">
        <f>Dat_02!E348</f>
        <v>81.876537213523108</v>
      </c>
      <c r="I349" s="264" t="str">
        <f>Dat_02!F348</f>
        <v/>
      </c>
      <c r="J349" s="276" t="str">
        <f>IF(Dat_02!G348=0,"",Dat_02!G348)</f>
        <v/>
      </c>
    </row>
    <row r="350" spans="2:10">
      <c r="B350" s="260"/>
      <c r="C350" s="261" t="s">
        <v>536</v>
      </c>
      <c r="D350" s="260"/>
      <c r="E350" s="263">
        <f>Dat_02!C349</f>
        <v>81.248949489523099</v>
      </c>
      <c r="F350" s="263">
        <f>Dat_02!D349</f>
        <v>128.77123560535</v>
      </c>
      <c r="G350" s="263">
        <f>Dat_02!E349</f>
        <v>81.248949489523099</v>
      </c>
      <c r="I350" s="264" t="str">
        <f>Dat_02!F349</f>
        <v/>
      </c>
      <c r="J350" s="276" t="str">
        <f>IF(Dat_02!G349=0,"",Dat_02!G349)</f>
        <v/>
      </c>
    </row>
    <row r="351" spans="2:10">
      <c r="B351" s="260"/>
      <c r="C351" s="261" t="s">
        <v>537</v>
      </c>
      <c r="D351" s="260"/>
      <c r="E351" s="263">
        <f>Dat_02!C350</f>
        <v>71.754454277523095</v>
      </c>
      <c r="F351" s="263">
        <f>Dat_02!D350</f>
        <v>128.77123560535</v>
      </c>
      <c r="G351" s="263">
        <f>Dat_02!E350</f>
        <v>71.754454277523095</v>
      </c>
      <c r="I351" s="264" t="str">
        <f>Dat_02!F350</f>
        <v/>
      </c>
      <c r="J351" s="276" t="str">
        <f>IF(Dat_02!G350=0,"",Dat_02!G350)</f>
        <v/>
      </c>
    </row>
    <row r="352" spans="2:10">
      <c r="B352" s="260"/>
      <c r="C352" s="261" t="s">
        <v>538</v>
      </c>
      <c r="D352" s="260"/>
      <c r="E352" s="263">
        <f>Dat_02!C351</f>
        <v>65.207499237523095</v>
      </c>
      <c r="F352" s="263">
        <f>Dat_02!D351</f>
        <v>128.77123560535</v>
      </c>
      <c r="G352" s="263">
        <f>Dat_02!E351</f>
        <v>65.207499237523095</v>
      </c>
      <c r="I352" s="264" t="str">
        <f>Dat_02!F351</f>
        <v/>
      </c>
      <c r="J352" s="276" t="str">
        <f>IF(Dat_02!G351=0,"",Dat_02!G351)</f>
        <v/>
      </c>
    </row>
    <row r="353" spans="2:10">
      <c r="B353" s="260"/>
      <c r="C353" s="261" t="s">
        <v>539</v>
      </c>
      <c r="D353" s="260"/>
      <c r="E353" s="263">
        <f>Dat_02!C352</f>
        <v>75.083972453521227</v>
      </c>
      <c r="F353" s="263">
        <f>Dat_02!D352</f>
        <v>128.77123560535</v>
      </c>
      <c r="G353" s="263">
        <f>Dat_02!E352</f>
        <v>75.083972453521227</v>
      </c>
      <c r="I353" s="264" t="str">
        <f>Dat_02!F352</f>
        <v>A</v>
      </c>
      <c r="J353" s="276">
        <f>IF(Dat_02!G352=0,"",Dat_02!G352)</f>
        <v>128.77123560535</v>
      </c>
    </row>
    <row r="354" spans="2:10">
      <c r="B354" s="260"/>
      <c r="C354" s="261" t="s">
        <v>540</v>
      </c>
      <c r="D354" s="260"/>
      <c r="E354" s="263">
        <f>Dat_02!C353</f>
        <v>82.7277009815231</v>
      </c>
      <c r="F354" s="263">
        <f>Dat_02!D353</f>
        <v>128.77123560535</v>
      </c>
      <c r="G354" s="263">
        <f>Dat_02!E353</f>
        <v>82.7277009815231</v>
      </c>
      <c r="I354" s="264" t="str">
        <f>Dat_02!F353</f>
        <v/>
      </c>
      <c r="J354" s="276" t="str">
        <f>IF(Dat_02!G353=0,"",Dat_02!G353)</f>
        <v/>
      </c>
    </row>
    <row r="355" spans="2:10">
      <c r="B355" s="260"/>
      <c r="C355" s="261" t="s">
        <v>541</v>
      </c>
      <c r="D355" s="260"/>
      <c r="E355" s="263">
        <f>Dat_02!C354</f>
        <v>99.887771316209069</v>
      </c>
      <c r="F355" s="263">
        <f>Dat_02!D354</f>
        <v>128.77123560535</v>
      </c>
      <c r="G355" s="263">
        <f>Dat_02!E354</f>
        <v>99.887771316209069</v>
      </c>
      <c r="I355" s="264" t="str">
        <f>Dat_02!F354</f>
        <v/>
      </c>
      <c r="J355" s="276" t="str">
        <f>IF(Dat_02!G354=0,"",Dat_02!G354)</f>
        <v/>
      </c>
    </row>
    <row r="356" spans="2:10">
      <c r="B356" s="260"/>
      <c r="C356" s="261" t="s">
        <v>542</v>
      </c>
      <c r="D356" s="260"/>
      <c r="E356" s="263">
        <f>Dat_02!C355</f>
        <v>97.503805000207208</v>
      </c>
      <c r="F356" s="263">
        <f>Dat_02!D355</f>
        <v>128.77123560535</v>
      </c>
      <c r="G356" s="263">
        <f>Dat_02!E355</f>
        <v>97.503805000207208</v>
      </c>
      <c r="I356" s="264" t="str">
        <f>Dat_02!F355</f>
        <v/>
      </c>
      <c r="J356" s="276" t="str">
        <f>IF(Dat_02!G355=0,"",Dat_02!G355)</f>
        <v/>
      </c>
    </row>
    <row r="357" spans="2:10">
      <c r="B357" s="260"/>
      <c r="C357" s="261" t="s">
        <v>543</v>
      </c>
      <c r="D357" s="260"/>
      <c r="E357" s="263">
        <f>Dat_02!C356</f>
        <v>76.237347956209064</v>
      </c>
      <c r="F357" s="263">
        <f>Dat_02!D356</f>
        <v>128.77123560535</v>
      </c>
      <c r="G357" s="263">
        <f>Dat_02!E356</f>
        <v>76.237347956209064</v>
      </c>
      <c r="I357" s="264" t="str">
        <f>Dat_02!F356</f>
        <v/>
      </c>
      <c r="J357" s="276" t="str">
        <f>IF(Dat_02!G356=0,"",Dat_02!G356)</f>
        <v/>
      </c>
    </row>
    <row r="358" spans="2:10">
      <c r="B358" s="260"/>
      <c r="C358" s="261" t="s">
        <v>544</v>
      </c>
      <c r="D358" s="260"/>
      <c r="E358" s="263">
        <f>Dat_02!C357</f>
        <v>73.371422276207213</v>
      </c>
      <c r="F358" s="263">
        <f>Dat_02!D357</f>
        <v>128.77123560535</v>
      </c>
      <c r="G358" s="263">
        <f>Dat_02!E357</f>
        <v>73.371422276207213</v>
      </c>
      <c r="I358" s="264" t="str">
        <f>Dat_02!F357</f>
        <v/>
      </c>
      <c r="J358" s="276" t="str">
        <f>IF(Dat_02!G357=0,"",Dat_02!G357)</f>
        <v/>
      </c>
    </row>
    <row r="359" spans="2:10">
      <c r="B359" s="260"/>
      <c r="C359" s="261" t="s">
        <v>545</v>
      </c>
      <c r="D359" s="260"/>
      <c r="E359" s="263">
        <f>Dat_02!C358</f>
        <v>82.086943796209056</v>
      </c>
      <c r="F359" s="263">
        <f>Dat_02!D358</f>
        <v>128.77123560535</v>
      </c>
      <c r="G359" s="263">
        <f>Dat_02!E358</f>
        <v>82.086943796209056</v>
      </c>
      <c r="I359" s="264" t="str">
        <f>Dat_02!F358</f>
        <v/>
      </c>
      <c r="J359" s="276" t="str">
        <f>IF(Dat_02!G358=0,"",Dat_02!G358)</f>
        <v/>
      </c>
    </row>
    <row r="360" spans="2:10">
      <c r="B360" s="260"/>
      <c r="C360" s="261" t="s">
        <v>546</v>
      </c>
      <c r="D360" s="260"/>
      <c r="E360" s="263">
        <f>Dat_02!C359</f>
        <v>83.039042272209073</v>
      </c>
      <c r="F360" s="263">
        <f>Dat_02!D359</f>
        <v>128.77123560535</v>
      </c>
      <c r="G360" s="263">
        <f>Dat_02!E359</f>
        <v>83.039042272209073</v>
      </c>
      <c r="I360" s="264" t="str">
        <f>Dat_02!F359</f>
        <v/>
      </c>
      <c r="J360" s="276" t="str">
        <f>IF(Dat_02!G359=0,"",Dat_02!G359)</f>
        <v/>
      </c>
    </row>
    <row r="361" spans="2:10">
      <c r="B361" s="260"/>
      <c r="C361" s="261" t="s">
        <v>547</v>
      </c>
      <c r="D361" s="260"/>
      <c r="E361" s="263">
        <f>Dat_02!C360</f>
        <v>84.907127912207216</v>
      </c>
      <c r="F361" s="263">
        <f>Dat_02!D360</f>
        <v>128.77123560535</v>
      </c>
      <c r="G361" s="263">
        <f>Dat_02!E360</f>
        <v>84.907127912207216</v>
      </c>
      <c r="I361" s="264" t="str">
        <f>Dat_02!F360</f>
        <v/>
      </c>
      <c r="J361" s="276" t="str">
        <f>IF(Dat_02!G360=0,"",Dat_02!G360)</f>
        <v/>
      </c>
    </row>
    <row r="362" spans="2:10">
      <c r="B362" s="260"/>
      <c r="C362" s="261" t="s">
        <v>548</v>
      </c>
      <c r="D362" s="260"/>
      <c r="E362" s="263">
        <f>Dat_02!C361</f>
        <v>120.09120279154841</v>
      </c>
      <c r="F362" s="263">
        <f>Dat_02!D361</f>
        <v>128.77123560535</v>
      </c>
      <c r="G362" s="263">
        <f>Dat_02!E361</f>
        <v>120.09120279154841</v>
      </c>
      <c r="I362" s="264" t="str">
        <f>Dat_02!F361</f>
        <v/>
      </c>
      <c r="J362" s="276" t="str">
        <f>IF(Dat_02!G361=0,"",Dat_02!G361)</f>
        <v/>
      </c>
    </row>
    <row r="363" spans="2:10">
      <c r="B363" s="260"/>
      <c r="C363" s="261" t="s">
        <v>549</v>
      </c>
      <c r="D363" s="260"/>
      <c r="E363" s="263">
        <f>Dat_02!C362</f>
        <v>122.04502637154656</v>
      </c>
      <c r="F363" s="263">
        <f>Dat_02!D362</f>
        <v>128.77123560535</v>
      </c>
      <c r="G363" s="263">
        <f>Dat_02!E362</f>
        <v>122.04502637154656</v>
      </c>
      <c r="I363" s="264" t="str">
        <f>Dat_02!F362</f>
        <v/>
      </c>
      <c r="J363" s="276" t="str">
        <f>IF(Dat_02!G362=0,"",Dat_02!G362)</f>
        <v/>
      </c>
    </row>
    <row r="364" spans="2:10">
      <c r="B364" s="260"/>
      <c r="C364" s="261" t="s">
        <v>550</v>
      </c>
      <c r="D364" s="260"/>
      <c r="E364" s="263">
        <f>Dat_02!C363</f>
        <v>133.58304685954656</v>
      </c>
      <c r="F364" s="263">
        <f>Dat_02!D363</f>
        <v>128.77123560535</v>
      </c>
      <c r="G364" s="263">
        <f>Dat_02!E363</f>
        <v>128.77123560535</v>
      </c>
      <c r="I364" s="264" t="str">
        <f>Dat_02!F363</f>
        <v/>
      </c>
      <c r="J364" s="276" t="str">
        <f>IF(Dat_02!G363=0,"",Dat_02!G363)</f>
        <v/>
      </c>
    </row>
    <row r="365" spans="2:10">
      <c r="B365" s="260"/>
      <c r="C365" s="261" t="s">
        <v>551</v>
      </c>
      <c r="D365" s="260"/>
      <c r="E365" s="263">
        <f>Dat_02!C364</f>
        <v>132.51193723154842</v>
      </c>
      <c r="F365" s="263">
        <f>Dat_02!D364</f>
        <v>128.77123560535</v>
      </c>
      <c r="G365" s="263">
        <f>Dat_02!E364</f>
        <v>128.77123560535</v>
      </c>
      <c r="I365" s="264" t="str">
        <f>Dat_02!F364</f>
        <v/>
      </c>
      <c r="J365" s="276" t="str">
        <f>IF(Dat_02!G364=0,"",Dat_02!G364)</f>
        <v/>
      </c>
    </row>
    <row r="366" spans="2:10">
      <c r="B366" s="260"/>
      <c r="C366" s="261" t="s">
        <v>552</v>
      </c>
      <c r="D366" s="260"/>
      <c r="E366" s="263">
        <f>Dat_02!C365</f>
        <v>124.74557389154842</v>
      </c>
      <c r="F366" s="263">
        <f>Dat_02!D365</f>
        <v>128.77123560535</v>
      </c>
      <c r="G366" s="263">
        <f>Dat_02!E365</f>
        <v>124.74557389154842</v>
      </c>
      <c r="I366" s="264" t="str">
        <f>Dat_02!F365</f>
        <v/>
      </c>
      <c r="J366" s="276" t="str">
        <f>IF(Dat_02!G365=0,"",Dat_02!G365)</f>
        <v/>
      </c>
    </row>
    <row r="367" spans="2:10">
      <c r="B367" s="260"/>
      <c r="C367" s="261" t="s">
        <v>553</v>
      </c>
      <c r="D367" s="260"/>
      <c r="E367" s="263">
        <f>Dat_02!C366</f>
        <v>140.23924516354651</v>
      </c>
      <c r="F367" s="263">
        <f>Dat_02!D366</f>
        <v>128.77123560535</v>
      </c>
      <c r="G367" s="263">
        <f>Dat_02!E366</f>
        <v>128.77123560535</v>
      </c>
      <c r="I367" s="264" t="str">
        <f>Dat_02!F366</f>
        <v/>
      </c>
      <c r="J367" s="276" t="str">
        <f>IF(Dat_02!G366=0,"",Dat_02!G366)</f>
        <v/>
      </c>
    </row>
    <row r="368" spans="2:10">
      <c r="B368" s="260"/>
      <c r="C368" s="261" t="s">
        <v>554</v>
      </c>
      <c r="D368" s="260"/>
      <c r="E368" s="263">
        <f>Dat_02!C367</f>
        <v>139.9016715475484</v>
      </c>
      <c r="F368" s="263">
        <f>Dat_02!D367</f>
        <v>128.77123560535</v>
      </c>
      <c r="G368" s="263">
        <f>Dat_02!E367</f>
        <v>128.77123560535</v>
      </c>
      <c r="I368" s="264" t="str">
        <f>Dat_02!F367</f>
        <v/>
      </c>
      <c r="J368" s="276" t="str">
        <f>IF(Dat_02!G367=0,"",Dat_02!G367)</f>
        <v/>
      </c>
    </row>
    <row r="369" spans="2:10">
      <c r="B369" s="262" t="s">
        <v>556</v>
      </c>
      <c r="C369" s="267" t="s">
        <v>557</v>
      </c>
      <c r="D369" s="262"/>
      <c r="E369" s="263">
        <f>Dat_02!C368</f>
        <v>105.71601703098868</v>
      </c>
      <c r="F369" s="263">
        <f>Dat_02!D368</f>
        <v>105.65373260469035</v>
      </c>
      <c r="G369" s="263">
        <f>Dat_02!E368</f>
        <v>105.65373260469035</v>
      </c>
      <c r="I369" s="264" t="str">
        <f>Dat_02!F368</f>
        <v/>
      </c>
      <c r="J369" s="276" t="str">
        <f>IF(Dat_02!G368=0,"",Dat_02!G368)</f>
        <v/>
      </c>
    </row>
    <row r="370" spans="2:10">
      <c r="B370" s="260"/>
      <c r="C370" s="261" t="s">
        <v>558</v>
      </c>
      <c r="D370" s="262"/>
      <c r="E370" s="263">
        <f>Dat_02!C369</f>
        <v>100.06853757899054</v>
      </c>
      <c r="F370" s="263">
        <f>Dat_02!D369</f>
        <v>105.65373260469035</v>
      </c>
      <c r="G370" s="263">
        <f>Dat_02!E369</f>
        <v>100.06853757899054</v>
      </c>
      <c r="I370" s="264" t="str">
        <f>Dat_02!F369</f>
        <v/>
      </c>
      <c r="J370" s="276" t="str">
        <f>IF(Dat_02!G369=0,"",Dat_02!G369)</f>
        <v/>
      </c>
    </row>
    <row r="371" spans="2:10">
      <c r="B371" s="260"/>
      <c r="C371" s="261" t="s">
        <v>559</v>
      </c>
      <c r="D371" s="260"/>
      <c r="E371" s="263">
        <f>Dat_02!C370</f>
        <v>102.81004228298868</v>
      </c>
      <c r="F371" s="263">
        <f>Dat_02!D370</f>
        <v>105.65373260469035</v>
      </c>
      <c r="G371" s="263">
        <f>Dat_02!E370</f>
        <v>102.81004228298868</v>
      </c>
      <c r="I371" s="264" t="str">
        <f>Dat_02!F370</f>
        <v/>
      </c>
      <c r="J371" s="276" t="str">
        <f>IF(Dat_02!G370=0,"",Dat_02!G370)</f>
        <v/>
      </c>
    </row>
    <row r="372" spans="2:10">
      <c r="B372" s="260"/>
      <c r="C372" s="261" t="s">
        <v>560</v>
      </c>
      <c r="D372" s="260"/>
      <c r="E372" s="263">
        <f>Dat_02!C371</f>
        <v>101.23971845099054</v>
      </c>
      <c r="F372" s="263">
        <f>Dat_02!D371</f>
        <v>105.65373260469035</v>
      </c>
      <c r="G372" s="263">
        <f>Dat_02!E371</f>
        <v>101.23971845099054</v>
      </c>
      <c r="I372" s="264" t="str">
        <f>Dat_02!F371</f>
        <v/>
      </c>
      <c r="J372" s="276" t="str">
        <f>IF(Dat_02!G371=0,"",Dat_02!G371)</f>
        <v/>
      </c>
    </row>
    <row r="373" spans="2:10">
      <c r="B373" s="260"/>
      <c r="C373" s="261" t="s">
        <v>561</v>
      </c>
      <c r="D373" s="260"/>
      <c r="E373" s="263">
        <f>Dat_02!C372</f>
        <v>93.939445794990547</v>
      </c>
      <c r="F373" s="263">
        <f>Dat_02!D372</f>
        <v>105.65373260469035</v>
      </c>
      <c r="G373" s="263">
        <f>Dat_02!E372</f>
        <v>93.939445794990547</v>
      </c>
      <c r="I373" s="264" t="str">
        <f>Dat_02!F372</f>
        <v/>
      </c>
      <c r="J373" s="276" t="str">
        <f>IF(Dat_02!G372=0,"",Dat_02!G372)</f>
        <v/>
      </c>
    </row>
    <row r="374" spans="2:10">
      <c r="B374" s="260"/>
      <c r="C374" s="261" t="s">
        <v>562</v>
      </c>
      <c r="D374" s="260"/>
      <c r="E374" s="263">
        <f>Dat_02!C373</f>
        <v>113.58412743498869</v>
      </c>
      <c r="F374" s="263">
        <f>Dat_02!D373</f>
        <v>105.65373260469035</v>
      </c>
      <c r="G374" s="263">
        <f>Dat_02!E373</f>
        <v>105.65373260469035</v>
      </c>
      <c r="I374" s="264" t="str">
        <f>Dat_02!F373</f>
        <v/>
      </c>
      <c r="J374" s="276" t="str">
        <f>IF(Dat_02!G373=0,"",Dat_02!G373)</f>
        <v/>
      </c>
    </row>
    <row r="375" spans="2:10">
      <c r="B375" s="260"/>
      <c r="C375" s="261" t="s">
        <v>563</v>
      </c>
      <c r="D375" s="260"/>
      <c r="E375" s="263">
        <f>Dat_02!C374</f>
        <v>103.93047935099054</v>
      </c>
      <c r="F375" s="263">
        <f>Dat_02!D374</f>
        <v>105.65373260469035</v>
      </c>
      <c r="G375" s="263">
        <f>Dat_02!E374</f>
        <v>103.93047935099054</v>
      </c>
      <c r="I375" s="264" t="str">
        <f>Dat_02!F374</f>
        <v/>
      </c>
      <c r="J375" s="276" t="str">
        <f>IF(Dat_02!G374=0,"",Dat_02!G374)</f>
        <v/>
      </c>
    </row>
    <row r="376" spans="2:10">
      <c r="B376" s="260"/>
      <c r="C376" s="261" t="s">
        <v>564</v>
      </c>
      <c r="D376" s="260"/>
      <c r="E376" s="263">
        <f>Dat_02!C375</f>
        <v>66.189202729308803</v>
      </c>
      <c r="F376" s="263">
        <f>Dat_02!D375</f>
        <v>105.65373260469035</v>
      </c>
      <c r="G376" s="263">
        <f>Dat_02!E375</f>
        <v>66.189202729308803</v>
      </c>
      <c r="I376" s="264" t="str">
        <f>Dat_02!F375</f>
        <v/>
      </c>
      <c r="J376" s="276" t="str">
        <f>IF(Dat_02!G375=0,"",Dat_02!G375)</f>
        <v/>
      </c>
    </row>
    <row r="377" spans="2:10">
      <c r="B377" s="260"/>
      <c r="C377" s="261" t="s">
        <v>565</v>
      </c>
      <c r="D377" s="260"/>
      <c r="E377" s="263">
        <f>Dat_02!C376</f>
        <v>74.412695409306934</v>
      </c>
      <c r="F377" s="263">
        <f>Dat_02!D376</f>
        <v>105.65373260469035</v>
      </c>
      <c r="G377" s="263">
        <f>Dat_02!E376</f>
        <v>74.412695409306934</v>
      </c>
      <c r="I377" s="264" t="str">
        <f>Dat_02!F376</f>
        <v/>
      </c>
      <c r="J377" s="276" t="str">
        <f>IF(Dat_02!G376=0,"",Dat_02!G376)</f>
        <v/>
      </c>
    </row>
    <row r="378" spans="2:10">
      <c r="B378" s="260"/>
      <c r="C378" s="261" t="s">
        <v>566</v>
      </c>
      <c r="D378" s="260"/>
      <c r="E378" s="263">
        <f>Dat_02!C377</f>
        <v>83.627382461306937</v>
      </c>
      <c r="F378" s="263">
        <f>Dat_02!D377</f>
        <v>105.65373260469035</v>
      </c>
      <c r="G378" s="263">
        <f>Dat_02!E377</f>
        <v>83.627382461306937</v>
      </c>
      <c r="I378" s="264" t="str">
        <f>Dat_02!F377</f>
        <v/>
      </c>
      <c r="J378" s="276" t="str">
        <f>IF(Dat_02!G377=0,"",Dat_02!G377)</f>
        <v/>
      </c>
    </row>
    <row r="379" spans="2:10">
      <c r="B379" s="260"/>
      <c r="C379" s="261" t="s">
        <v>567</v>
      </c>
      <c r="D379" s="260"/>
      <c r="E379" s="263">
        <f>Dat_02!C378</f>
        <v>75.943218089306924</v>
      </c>
      <c r="F379" s="263">
        <f>Dat_02!D378</f>
        <v>105.65373260469035</v>
      </c>
      <c r="G379" s="263">
        <f>Dat_02!E378</f>
        <v>75.943218089306924</v>
      </c>
      <c r="I379" s="264" t="str">
        <f>Dat_02!F378</f>
        <v/>
      </c>
      <c r="J379" s="276" t="str">
        <f>IF(Dat_02!G378=0,"",Dat_02!G378)</f>
        <v/>
      </c>
    </row>
    <row r="380" spans="2:10">
      <c r="B380" s="260"/>
      <c r="C380" s="261" t="s">
        <v>568</v>
      </c>
      <c r="D380" s="260"/>
      <c r="E380" s="263">
        <f>Dat_02!C379</f>
        <v>66.288154533306923</v>
      </c>
      <c r="F380" s="263">
        <f>Dat_02!D379</f>
        <v>105.65373260469035</v>
      </c>
      <c r="G380" s="263">
        <f>Dat_02!E379</f>
        <v>66.288154533306923</v>
      </c>
      <c r="I380" s="264" t="str">
        <f>Dat_02!F379</f>
        <v/>
      </c>
      <c r="J380" s="276" t="str">
        <f>IF(Dat_02!G379=0,"",Dat_02!G379)</f>
        <v/>
      </c>
    </row>
    <row r="381" spans="2:10">
      <c r="B381" s="260"/>
      <c r="C381" s="261" t="s">
        <v>569</v>
      </c>
      <c r="D381" s="260"/>
      <c r="E381" s="263">
        <f>Dat_02!C380</f>
        <v>71.954015609306921</v>
      </c>
      <c r="F381" s="263">
        <f>Dat_02!D380</f>
        <v>105.65373260469035</v>
      </c>
      <c r="G381" s="263">
        <f>Dat_02!E380</f>
        <v>71.954015609306921</v>
      </c>
      <c r="I381" s="264" t="str">
        <f>Dat_02!F380</f>
        <v/>
      </c>
      <c r="J381" s="276" t="str">
        <f>IF(Dat_02!G380=0,"",Dat_02!G380)</f>
        <v/>
      </c>
    </row>
    <row r="382" spans="2:10">
      <c r="B382" s="260"/>
      <c r="C382" s="261" t="s">
        <v>570</v>
      </c>
      <c r="D382" s="260"/>
      <c r="E382" s="263">
        <f>Dat_02!C381</f>
        <v>75.274204213308792</v>
      </c>
      <c r="F382" s="263">
        <f>Dat_02!D381</f>
        <v>105.65373260469035</v>
      </c>
      <c r="G382" s="263">
        <f>Dat_02!E381</f>
        <v>75.274204213308792</v>
      </c>
      <c r="I382" s="264" t="str">
        <f>Dat_02!F381</f>
        <v/>
      </c>
      <c r="J382" s="276" t="str">
        <f>IF(Dat_02!G381=0,"",Dat_02!G381)</f>
        <v/>
      </c>
    </row>
    <row r="383" spans="2:10">
      <c r="B383" s="260"/>
      <c r="C383" s="261" t="s">
        <v>571</v>
      </c>
      <c r="D383" s="260"/>
      <c r="E383" s="263">
        <f>Dat_02!C382</f>
        <v>74.34173817415514</v>
      </c>
      <c r="F383" s="263">
        <f>Dat_02!D382</f>
        <v>105.65373260469035</v>
      </c>
      <c r="G383" s="263">
        <f>Dat_02!E382</f>
        <v>74.34173817415514</v>
      </c>
      <c r="I383" s="264" t="str">
        <f>Dat_02!F382</f>
        <v>M</v>
      </c>
      <c r="J383" s="276">
        <f>IF(Dat_02!G382=0,"",Dat_02!G382)</f>
        <v>105.65373260469035</v>
      </c>
    </row>
    <row r="384" spans="2:10">
      <c r="B384" s="260"/>
      <c r="C384" s="261" t="s">
        <v>572</v>
      </c>
      <c r="D384" s="260"/>
      <c r="E384" s="263">
        <f>Dat_02!C383</f>
        <v>67.959188766156998</v>
      </c>
      <c r="F384" s="263">
        <f>Dat_02!D383</f>
        <v>105.65373260469035</v>
      </c>
      <c r="G384" s="263">
        <f>Dat_02!E383</f>
        <v>67.959188766156998</v>
      </c>
      <c r="I384" s="264" t="str">
        <f>Dat_02!F383</f>
        <v/>
      </c>
      <c r="J384" s="276" t="str">
        <f>IF(Dat_02!G383=0,"",Dat_02!G383)</f>
        <v/>
      </c>
    </row>
    <row r="385" spans="2:10">
      <c r="B385" s="260"/>
      <c r="C385" s="261" t="s">
        <v>573</v>
      </c>
      <c r="D385" s="260"/>
      <c r="E385" s="263">
        <f>Dat_02!C384</f>
        <v>65.692982786156989</v>
      </c>
      <c r="F385" s="263">
        <f>Dat_02!D384</f>
        <v>105.65373260469035</v>
      </c>
      <c r="G385" s="263">
        <f>Dat_02!E384</f>
        <v>65.692982786156989</v>
      </c>
      <c r="I385" s="264" t="str">
        <f>Dat_02!F384</f>
        <v/>
      </c>
      <c r="J385" s="276" t="str">
        <f>IF(Dat_02!G384=0,"",Dat_02!G384)</f>
        <v/>
      </c>
    </row>
    <row r="386" spans="2:10">
      <c r="B386" s="260"/>
      <c r="C386" s="261" t="s">
        <v>574</v>
      </c>
      <c r="D386" s="260"/>
      <c r="E386" s="263">
        <f>Dat_02!C385</f>
        <v>64.505841354155137</v>
      </c>
      <c r="F386" s="263">
        <f>Dat_02!D385</f>
        <v>105.65373260469035</v>
      </c>
      <c r="G386" s="263">
        <f>Dat_02!E385</f>
        <v>64.505841354155137</v>
      </c>
      <c r="I386" s="264" t="str">
        <f>Dat_02!F385</f>
        <v/>
      </c>
      <c r="J386" s="276" t="str">
        <f>IF(Dat_02!G385=0,"",Dat_02!G385)</f>
        <v/>
      </c>
    </row>
    <row r="387" spans="2:10">
      <c r="B387" s="260"/>
      <c r="C387" s="261" t="s">
        <v>575</v>
      </c>
      <c r="D387" s="260"/>
      <c r="E387" s="263">
        <f>Dat_02!C386</f>
        <v>60.628721762158854</v>
      </c>
      <c r="F387" s="263">
        <f>Dat_02!D386</f>
        <v>105.65373260469035</v>
      </c>
      <c r="G387" s="263">
        <f>Dat_02!E386</f>
        <v>60.628721762158854</v>
      </c>
      <c r="I387" s="264" t="str">
        <f>Dat_02!F386</f>
        <v/>
      </c>
      <c r="J387" s="276" t="str">
        <f>IF(Dat_02!G386=0,"",Dat_02!G386)</f>
        <v/>
      </c>
    </row>
    <row r="388" spans="2:10">
      <c r="B388" s="260"/>
      <c r="C388" s="261" t="s">
        <v>576</v>
      </c>
      <c r="D388" s="260"/>
      <c r="E388" s="263">
        <f>Dat_02!C387</f>
        <v>72.604453906155129</v>
      </c>
      <c r="F388" s="263">
        <f>Dat_02!D387</f>
        <v>105.65373260469035</v>
      </c>
      <c r="G388" s="263">
        <f>Dat_02!E387</f>
        <v>72.604453906155129</v>
      </c>
      <c r="I388" s="264" t="str">
        <f>Dat_02!F387</f>
        <v/>
      </c>
      <c r="J388" s="276" t="str">
        <f>IF(Dat_02!G387=0,"",Dat_02!G387)</f>
        <v/>
      </c>
    </row>
    <row r="389" spans="2:10">
      <c r="B389" s="260"/>
      <c r="C389" s="261" t="s">
        <v>577</v>
      </c>
      <c r="D389" s="260"/>
      <c r="E389" s="263">
        <f>Dat_02!C388</f>
        <v>76.283293826155131</v>
      </c>
      <c r="F389" s="263">
        <f>Dat_02!D388</f>
        <v>105.65373260469035</v>
      </c>
      <c r="G389" s="263">
        <f>Dat_02!E388</f>
        <v>76.283293826155131</v>
      </c>
      <c r="I389" s="264" t="str">
        <f>Dat_02!F388</f>
        <v/>
      </c>
      <c r="J389" s="276" t="str">
        <f>IF(Dat_02!G388=0,"",Dat_02!G388)</f>
        <v/>
      </c>
    </row>
    <row r="390" spans="2:10">
      <c r="B390" s="260"/>
      <c r="C390" s="261" t="s">
        <v>578</v>
      </c>
      <c r="D390" s="260"/>
      <c r="E390" s="263">
        <f>Dat_02!C389</f>
        <v>65.635779093736303</v>
      </c>
      <c r="F390" s="263">
        <f>Dat_02!D389</f>
        <v>105.65373260469035</v>
      </c>
      <c r="G390" s="263">
        <f>Dat_02!E389</f>
        <v>65.635779093736303</v>
      </c>
      <c r="I390" s="264" t="str">
        <f>Dat_02!F389</f>
        <v/>
      </c>
      <c r="J390" s="276" t="str">
        <f>IF(Dat_02!G389=0,"",Dat_02!G389)</f>
        <v/>
      </c>
    </row>
    <row r="391" spans="2:10">
      <c r="B391" s="260"/>
      <c r="C391" s="261" t="s">
        <v>579</v>
      </c>
      <c r="D391" s="260"/>
      <c r="E391" s="263">
        <f>Dat_02!C390</f>
        <v>60.05188925373443</v>
      </c>
      <c r="F391" s="263">
        <f>Dat_02!D390</f>
        <v>105.65373260469035</v>
      </c>
      <c r="G391" s="263">
        <f>Dat_02!E390</f>
        <v>60.05188925373443</v>
      </c>
      <c r="I391" s="264" t="str">
        <f>Dat_02!F390</f>
        <v/>
      </c>
      <c r="J391" s="276" t="str">
        <f>IF(Dat_02!G390=0,"",Dat_02!G390)</f>
        <v/>
      </c>
    </row>
    <row r="392" spans="2:10">
      <c r="B392" s="260"/>
      <c r="C392" s="261" t="s">
        <v>580</v>
      </c>
      <c r="D392" s="260"/>
      <c r="E392" s="263">
        <f>Dat_02!C391</f>
        <v>59.146729805736292</v>
      </c>
      <c r="F392" s="263">
        <f>Dat_02!D391</f>
        <v>105.65373260469035</v>
      </c>
      <c r="G392" s="263">
        <f>Dat_02!E391</f>
        <v>59.146729805736292</v>
      </c>
      <c r="I392" s="264" t="str">
        <f>Dat_02!F391</f>
        <v/>
      </c>
      <c r="J392" s="276" t="str">
        <f>IF(Dat_02!G391=0,"",Dat_02!G391)</f>
        <v/>
      </c>
    </row>
    <row r="393" spans="2:10">
      <c r="B393" s="260"/>
      <c r="C393" s="261" t="s">
        <v>581</v>
      </c>
      <c r="D393" s="260"/>
      <c r="E393" s="263">
        <f>Dat_02!C392</f>
        <v>57.372487131732569</v>
      </c>
      <c r="F393" s="263">
        <f>Dat_02!D392</f>
        <v>105.65373260469035</v>
      </c>
      <c r="G393" s="263">
        <f>Dat_02!E392</f>
        <v>57.372487131732569</v>
      </c>
      <c r="I393" s="264" t="str">
        <f>Dat_02!F392</f>
        <v/>
      </c>
      <c r="J393" s="276" t="str">
        <f>IF(Dat_02!G392=0,"",Dat_02!G392)</f>
        <v/>
      </c>
    </row>
    <row r="394" spans="2:10">
      <c r="B394" s="260"/>
      <c r="C394" s="261" t="s">
        <v>582</v>
      </c>
      <c r="D394" s="260"/>
      <c r="E394" s="263">
        <f>Dat_02!C393</f>
        <v>54.61047347173816</v>
      </c>
      <c r="F394" s="263">
        <f>Dat_02!D393</f>
        <v>105.65373260469035</v>
      </c>
      <c r="G394" s="263">
        <f>Dat_02!E393</f>
        <v>54.61047347173816</v>
      </c>
      <c r="I394" s="264" t="str">
        <f>Dat_02!F393</f>
        <v/>
      </c>
      <c r="J394" s="276" t="str">
        <f>IF(Dat_02!G393=0,"",Dat_02!G393)</f>
        <v/>
      </c>
    </row>
    <row r="395" spans="2:10">
      <c r="B395" s="260"/>
      <c r="C395" s="261" t="s">
        <v>583</v>
      </c>
      <c r="D395" s="260"/>
      <c r="E395" s="263">
        <f>Dat_02!C394</f>
        <v>58.416215127732571</v>
      </c>
      <c r="F395" s="263">
        <f>Dat_02!D394</f>
        <v>105.65373260469035</v>
      </c>
      <c r="G395" s="263">
        <f>Dat_02!E394</f>
        <v>58.416215127732571</v>
      </c>
      <c r="I395" s="264" t="str">
        <f>Dat_02!F394</f>
        <v/>
      </c>
      <c r="J395" s="276" t="str">
        <f>IF(Dat_02!G394=0,"",Dat_02!G394)</f>
        <v/>
      </c>
    </row>
    <row r="396" spans="2:10">
      <c r="B396" s="260"/>
      <c r="C396" s="261" t="s">
        <v>584</v>
      </c>
      <c r="D396" s="260"/>
      <c r="E396" s="263">
        <f>Dat_02!C395</f>
        <v>53.367108333734429</v>
      </c>
      <c r="F396" s="263">
        <f>Dat_02!D395</f>
        <v>105.65373260469035</v>
      </c>
      <c r="G396" s="263">
        <f>Dat_02!E395</f>
        <v>53.367108333734429</v>
      </c>
      <c r="I396" s="264" t="str">
        <f>Dat_02!F395</f>
        <v/>
      </c>
      <c r="J396" s="276" t="str">
        <f>IF(Dat_02!G395=0,"",Dat_02!G395)</f>
        <v/>
      </c>
    </row>
    <row r="397" spans="2:10">
      <c r="B397" s="260"/>
      <c r="C397" s="261" t="s">
        <v>585</v>
      </c>
      <c r="D397" s="260"/>
      <c r="E397" s="263">
        <f>Dat_02!C396</f>
        <v>46.932252174643338</v>
      </c>
      <c r="F397" s="263">
        <f>Dat_02!D396</f>
        <v>105.65373260469035</v>
      </c>
      <c r="G397" s="263">
        <f>Dat_02!E396</f>
        <v>46.932252174643338</v>
      </c>
      <c r="I397" s="264" t="str">
        <f>Dat_02!F396</f>
        <v/>
      </c>
      <c r="J397" s="276" t="str">
        <f>IF(Dat_02!G396=0,"",Dat_02!G396)</f>
        <v/>
      </c>
    </row>
    <row r="398" spans="2:10">
      <c r="B398" s="260"/>
      <c r="C398" s="261" t="s">
        <v>586</v>
      </c>
      <c r="D398" s="260"/>
      <c r="E398" s="263">
        <f>Dat_02!C397</f>
        <v>47.351127922641481</v>
      </c>
      <c r="F398" s="263">
        <f>Dat_02!D397</f>
        <v>105.65373260469035</v>
      </c>
      <c r="G398" s="263">
        <f>Dat_02!E397</f>
        <v>47.351127922641481</v>
      </c>
      <c r="I398" s="264" t="str">
        <f>Dat_02!F397</f>
        <v/>
      </c>
      <c r="J398" s="276" t="str">
        <f>IF(Dat_02!G397=0,"",Dat_02!G397)</f>
        <v/>
      </c>
    </row>
    <row r="399" spans="2:10">
      <c r="B399" s="260"/>
      <c r="C399" s="261" t="s">
        <v>587</v>
      </c>
      <c r="D399" s="260"/>
      <c r="E399" s="263">
        <f>Dat_02!C398</f>
        <v>54.088175124643342</v>
      </c>
      <c r="F399" s="263">
        <f>Dat_02!D398</f>
        <v>105.65373260469035</v>
      </c>
      <c r="G399" s="263">
        <f>Dat_02!E398</f>
        <v>54.088175124643342</v>
      </c>
      <c r="I399" s="264" t="str">
        <f>Dat_02!F398</f>
        <v/>
      </c>
      <c r="J399" s="276" t="str">
        <f>IF(Dat_02!G398=0,"",Dat_02!G398)</f>
        <v/>
      </c>
    </row>
    <row r="400" spans="2:10">
      <c r="B400" s="268"/>
      <c r="C400" s="269"/>
      <c r="D400" s="270"/>
      <c r="E400" s="271"/>
      <c r="F400" s="271"/>
      <c r="G400" s="271"/>
      <c r="H400" s="266"/>
      <c r="I400" s="265"/>
      <c r="J400" s="259"/>
    </row>
    <row r="401" spans="2:10">
      <c r="B401" s="266"/>
      <c r="C401" s="266"/>
      <c r="D401" s="266"/>
      <c r="E401" s="272"/>
      <c r="F401" s="272"/>
      <c r="G401" s="273"/>
      <c r="H401" s="266"/>
      <c r="I401" s="265"/>
      <c r="J401" s="259"/>
    </row>
    <row r="402" spans="2:10">
      <c r="B402" s="266"/>
      <c r="C402" s="266"/>
      <c r="D402" s="266"/>
      <c r="E402" s="272"/>
      <c r="F402" s="272"/>
      <c r="G402" s="273"/>
      <c r="H402" s="266"/>
      <c r="I402" s="265"/>
      <c r="J402" s="259"/>
    </row>
    <row r="403" spans="2:10">
      <c r="B403" s="162"/>
      <c r="C403" s="266"/>
      <c r="D403" s="266"/>
      <c r="E403" s="272"/>
      <c r="F403" s="272"/>
      <c r="G403" s="273"/>
      <c r="H403" s="162"/>
      <c r="I403" s="274"/>
      <c r="J403" s="275"/>
    </row>
    <row r="404" spans="2:10">
      <c r="B404" s="162"/>
      <c r="C404" s="266"/>
      <c r="D404" s="266"/>
      <c r="E404" s="272"/>
      <c r="F404" s="272"/>
      <c r="G404" s="273"/>
      <c r="H404" s="162"/>
      <c r="I404" s="274"/>
      <c r="J404" s="275"/>
    </row>
    <row r="405" spans="2:10">
      <c r="B405" s="162"/>
      <c r="C405" s="266"/>
      <c r="D405" s="266"/>
      <c r="E405" s="272"/>
      <c r="F405" s="272"/>
      <c r="G405" s="273"/>
      <c r="H405" s="162"/>
      <c r="I405" s="274"/>
      <c r="J405" s="275"/>
    </row>
    <row r="406" spans="2:10">
      <c r="B406" s="162"/>
      <c r="C406" s="266"/>
      <c r="D406" s="266"/>
      <c r="E406" s="272"/>
      <c r="F406" s="272"/>
      <c r="G406" s="273"/>
      <c r="H406" s="162"/>
      <c r="I406" s="274"/>
      <c r="J406" s="275"/>
    </row>
    <row r="407" spans="2:10">
      <c r="B407" s="162"/>
      <c r="C407" s="266"/>
      <c r="D407" s="266"/>
      <c r="E407" s="272"/>
      <c r="F407" s="272"/>
      <c r="G407" s="273"/>
      <c r="H407" s="162"/>
      <c r="I407" s="274"/>
      <c r="J407" s="275"/>
    </row>
    <row r="408" spans="2:10">
      <c r="B408" s="162"/>
      <c r="C408" s="266"/>
      <c r="D408" s="266"/>
      <c r="E408" s="272"/>
      <c r="F408" s="272"/>
      <c r="G408" s="273"/>
      <c r="H408" s="162"/>
      <c r="I408" s="274"/>
      <c r="J408" s="275"/>
    </row>
    <row r="409" spans="2:10">
      <c r="B409" s="162"/>
      <c r="C409" s="266"/>
      <c r="D409" s="266"/>
      <c r="E409" s="272"/>
      <c r="F409" s="272"/>
      <c r="G409" s="273"/>
      <c r="H409" s="162"/>
      <c r="I409" s="274"/>
      <c r="J409" s="275"/>
    </row>
    <row r="410" spans="2:10">
      <c r="B410" s="162"/>
      <c r="C410" s="266"/>
      <c r="D410" s="266"/>
      <c r="E410" s="272"/>
      <c r="F410" s="272"/>
      <c r="G410" s="273"/>
      <c r="H410" s="162"/>
      <c r="I410" s="274"/>
      <c r="J410" s="275"/>
    </row>
    <row r="411" spans="2:10">
      <c r="B411" s="162"/>
      <c r="C411" s="266"/>
      <c r="D411" s="266"/>
      <c r="E411" s="272"/>
      <c r="F411" s="272"/>
      <c r="G411" s="273"/>
      <c r="H411" s="162"/>
      <c r="I411" s="274"/>
      <c r="J411" s="275"/>
    </row>
    <row r="412" spans="2:10">
      <c r="B412" s="162"/>
      <c r="C412" s="266"/>
      <c r="D412" s="266"/>
      <c r="E412" s="272"/>
      <c r="F412" s="272"/>
      <c r="G412" s="273"/>
      <c r="H412" s="162"/>
      <c r="I412" s="274"/>
      <c r="J412" s="275"/>
    </row>
    <row r="413" spans="2:10">
      <c r="B413" s="162"/>
      <c r="C413" s="266"/>
      <c r="D413" s="266"/>
      <c r="E413" s="272"/>
      <c r="F413" s="272"/>
      <c r="G413" s="273"/>
      <c r="H413" s="162"/>
      <c r="I413" s="274"/>
      <c r="J413" s="275"/>
    </row>
    <row r="414" spans="2:10">
      <c r="B414" s="162"/>
      <c r="C414" s="266"/>
      <c r="D414" s="266"/>
      <c r="E414" s="272"/>
      <c r="F414" s="272"/>
      <c r="G414" s="273"/>
      <c r="H414" s="162"/>
      <c r="I414" s="274"/>
      <c r="J414" s="275"/>
    </row>
    <row r="415" spans="2:10">
      <c r="B415" s="162"/>
      <c r="C415" s="266"/>
      <c r="D415" s="266"/>
      <c r="E415" s="272"/>
      <c r="F415" s="272"/>
      <c r="G415" s="273"/>
      <c r="H415" s="162"/>
      <c r="I415" s="265"/>
      <c r="J415" s="259"/>
    </row>
    <row r="416" spans="2:10">
      <c r="B416" s="162"/>
      <c r="C416" s="266"/>
      <c r="D416" s="266"/>
      <c r="E416" s="272"/>
      <c r="F416" s="272"/>
      <c r="G416" s="273"/>
      <c r="H416" s="162"/>
      <c r="I416" s="274"/>
      <c r="J416" s="275"/>
    </row>
    <row r="417" spans="2:10">
      <c r="B417" s="162"/>
      <c r="C417" s="266"/>
      <c r="D417" s="266"/>
      <c r="E417" s="272"/>
      <c r="F417" s="272"/>
      <c r="G417" s="273"/>
      <c r="H417" s="162"/>
      <c r="I417" s="274"/>
      <c r="J417" s="275"/>
    </row>
    <row r="418" spans="2:10">
      <c r="B418" s="162"/>
      <c r="C418" s="266"/>
      <c r="D418" s="266"/>
      <c r="E418" s="272"/>
      <c r="F418" s="272"/>
      <c r="G418" s="273"/>
      <c r="H418" s="162"/>
      <c r="I418" s="274"/>
      <c r="J418" s="275"/>
    </row>
    <row r="419" spans="2:10">
      <c r="B419" s="162"/>
      <c r="C419" s="266"/>
      <c r="D419" s="266"/>
      <c r="E419" s="272"/>
      <c r="F419" s="272"/>
      <c r="G419" s="273"/>
      <c r="H419" s="162"/>
      <c r="I419" s="274"/>
      <c r="J419" s="275"/>
    </row>
    <row r="420" spans="2:10">
      <c r="B420" s="162"/>
      <c r="C420" s="266"/>
      <c r="D420" s="266"/>
      <c r="E420" s="272"/>
      <c r="F420" s="272"/>
      <c r="G420" s="273"/>
      <c r="H420" s="162"/>
      <c r="I420" s="274"/>
      <c r="J420" s="275"/>
    </row>
    <row r="421" spans="2:10">
      <c r="B421" s="162"/>
      <c r="C421" s="266"/>
      <c r="D421" s="266"/>
      <c r="E421" s="272"/>
      <c r="F421" s="272"/>
      <c r="G421" s="273"/>
      <c r="H421" s="162"/>
      <c r="I421" s="274"/>
      <c r="J421" s="275"/>
    </row>
    <row r="422" spans="2:10">
      <c r="B422" s="162"/>
      <c r="C422" s="266"/>
      <c r="D422" s="266"/>
      <c r="E422" s="272"/>
      <c r="F422" s="272"/>
      <c r="G422" s="273"/>
      <c r="H422" s="162"/>
      <c r="I422" s="274"/>
      <c r="J422" s="275"/>
    </row>
    <row r="423" spans="2:10">
      <c r="B423" s="162"/>
      <c r="C423" s="266"/>
      <c r="D423" s="266"/>
      <c r="E423" s="272"/>
      <c r="F423" s="272"/>
      <c r="G423" s="273"/>
      <c r="H423" s="162"/>
      <c r="I423" s="274"/>
      <c r="J423" s="275"/>
    </row>
    <row r="424" spans="2:10">
      <c r="B424" s="162"/>
      <c r="C424" s="266"/>
      <c r="D424" s="266"/>
      <c r="E424" s="272"/>
      <c r="F424" s="272"/>
      <c r="G424" s="273"/>
      <c r="H424" s="162"/>
      <c r="I424" s="274"/>
      <c r="J424" s="275"/>
    </row>
    <row r="425" spans="2:10">
      <c r="B425" s="162"/>
      <c r="C425" s="266"/>
      <c r="D425" s="266"/>
      <c r="E425" s="272"/>
      <c r="F425" s="272"/>
      <c r="G425" s="273"/>
      <c r="H425" s="162"/>
      <c r="I425" s="274"/>
      <c r="J425" s="275"/>
    </row>
    <row r="426" spans="2:10">
      <c r="B426" s="162"/>
      <c r="C426" s="266"/>
      <c r="D426" s="266"/>
      <c r="E426" s="272"/>
      <c r="F426" s="272"/>
      <c r="G426" s="273"/>
      <c r="H426" s="266"/>
      <c r="I426" s="265"/>
      <c r="J426" s="275"/>
    </row>
    <row r="427" spans="2:10">
      <c r="B427" s="162"/>
      <c r="C427" s="266"/>
      <c r="D427" s="266"/>
      <c r="E427" s="272"/>
      <c r="F427" s="272"/>
      <c r="G427" s="273"/>
      <c r="H427" s="266"/>
      <c r="I427" s="265"/>
      <c r="J427" s="275"/>
    </row>
    <row r="428" spans="2:10">
      <c r="B428" s="162"/>
      <c r="C428" s="266"/>
      <c r="D428" s="266"/>
      <c r="E428" s="272"/>
      <c r="F428" s="272"/>
      <c r="G428" s="273"/>
      <c r="H428" s="266"/>
      <c r="I428" s="265"/>
      <c r="J428" s="275"/>
    </row>
    <row r="429" spans="2:10">
      <c r="B429" s="162"/>
      <c r="C429" s="266"/>
      <c r="D429" s="266"/>
      <c r="E429" s="272"/>
      <c r="F429" s="272"/>
      <c r="G429" s="273"/>
      <c r="H429" s="266"/>
      <c r="I429" s="265"/>
      <c r="J429" s="275"/>
    </row>
    <row r="430" spans="2:10">
      <c r="B430" s="162"/>
      <c r="C430" s="266"/>
      <c r="D430" s="266"/>
      <c r="E430" s="272"/>
      <c r="F430" s="272"/>
      <c r="G430" s="273"/>
      <c r="H430" s="266"/>
      <c r="I430" s="265"/>
      <c r="J430" s="275"/>
    </row>
    <row r="431" spans="2:10">
      <c r="B431" s="162"/>
      <c r="C431" s="266"/>
      <c r="D431" s="266"/>
      <c r="E431" s="272"/>
      <c r="F431" s="272"/>
      <c r="G431" s="273"/>
      <c r="H431" s="266"/>
      <c r="I431" s="265"/>
      <c r="J431" s="275"/>
    </row>
    <row r="432" spans="2:10">
      <c r="C432" s="266"/>
      <c r="D432" s="266"/>
      <c r="E432" s="272"/>
      <c r="F432" s="272"/>
      <c r="G432" s="273"/>
    </row>
    <row r="433" spans="3:7">
      <c r="C433" s="266"/>
      <c r="D433" s="266"/>
      <c r="E433" s="272"/>
      <c r="F433" s="272"/>
      <c r="G433" s="273"/>
    </row>
    <row r="434" spans="3:7">
      <c r="C434" s="266"/>
      <c r="D434" s="266"/>
      <c r="E434" s="272"/>
      <c r="F434" s="272"/>
      <c r="G434" s="273"/>
    </row>
    <row r="435" spans="3:7">
      <c r="C435" s="266"/>
      <c r="D435" s="266"/>
      <c r="E435" s="272"/>
      <c r="F435" s="272"/>
      <c r="G435" s="273"/>
    </row>
    <row r="436" spans="3:7">
      <c r="C436" s="266"/>
      <c r="D436" s="266"/>
      <c r="E436" s="272"/>
      <c r="F436" s="272"/>
      <c r="G436" s="273"/>
    </row>
    <row r="437" spans="3:7">
      <c r="C437" s="266"/>
      <c r="D437" s="266"/>
      <c r="E437" s="272"/>
      <c r="F437" s="272"/>
      <c r="G437" s="273"/>
    </row>
    <row r="438" spans="3:7">
      <c r="C438" s="266"/>
      <c r="D438" s="266"/>
      <c r="E438" s="272"/>
      <c r="F438" s="272"/>
      <c r="G438" s="273"/>
    </row>
    <row r="439" spans="3:7">
      <c r="C439" s="266"/>
      <c r="D439" s="266"/>
      <c r="E439" s="272"/>
      <c r="F439" s="272"/>
      <c r="G439" s="273"/>
    </row>
    <row r="440" spans="3:7">
      <c r="C440" s="266"/>
      <c r="D440" s="266"/>
      <c r="E440" s="272"/>
      <c r="F440" s="272"/>
      <c r="G440" s="273"/>
    </row>
    <row r="441" spans="3:7">
      <c r="C441" s="266"/>
      <c r="D441" s="266"/>
      <c r="E441" s="272"/>
      <c r="F441" s="272"/>
      <c r="G441" s="273"/>
    </row>
    <row r="442" spans="3:7">
      <c r="C442" s="266"/>
      <c r="D442" s="266"/>
      <c r="E442" s="272"/>
      <c r="F442" s="272"/>
      <c r="G442" s="273"/>
    </row>
    <row r="443" spans="3:7">
      <c r="C443" s="266"/>
      <c r="D443" s="266"/>
      <c r="E443" s="272"/>
      <c r="F443" s="272"/>
      <c r="G443" s="273"/>
    </row>
    <row r="444" spans="3:7">
      <c r="C444" s="266"/>
      <c r="D444" s="266"/>
      <c r="E444" s="272"/>
      <c r="F444" s="272"/>
      <c r="G444" s="273"/>
    </row>
    <row r="445" spans="3:7">
      <c r="C445" s="266"/>
      <c r="D445" s="266"/>
      <c r="E445" s="272"/>
      <c r="F445" s="272"/>
      <c r="G445" s="273"/>
    </row>
    <row r="446" spans="3:7">
      <c r="C446" s="266"/>
      <c r="D446" s="266"/>
      <c r="E446" s="272"/>
      <c r="F446" s="272"/>
      <c r="G446" s="273"/>
    </row>
    <row r="447" spans="3:7">
      <c r="C447" s="266"/>
      <c r="D447" s="266"/>
      <c r="E447" s="272"/>
      <c r="F447" s="272"/>
      <c r="G447" s="273"/>
    </row>
    <row r="448" spans="3:7">
      <c r="C448" s="266"/>
      <c r="D448" s="266"/>
      <c r="E448" s="272"/>
      <c r="F448" s="272"/>
      <c r="G448" s="273"/>
    </row>
    <row r="449" spans="3:7">
      <c r="C449" s="266"/>
      <c r="D449" s="266"/>
      <c r="E449" s="272"/>
      <c r="F449" s="272"/>
      <c r="G449" s="273"/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28"/>
  <dimension ref="B2:K76"/>
  <sheetViews>
    <sheetView showGridLines="0" workbookViewId="0">
      <selection activeCell="I64" sqref="I64"/>
    </sheetView>
  </sheetViews>
  <sheetFormatPr baseColWidth="10" defaultRowHeight="11.25"/>
  <cols>
    <col min="1" max="16384" width="11.42578125" style="177"/>
  </cols>
  <sheetData>
    <row r="2" spans="2:9">
      <c r="B2" s="157" t="s">
        <v>41</v>
      </c>
    </row>
    <row r="3" spans="2:9">
      <c r="B3" s="160"/>
      <c r="C3" s="160"/>
      <c r="D3" s="161"/>
      <c r="E3" s="161" t="s">
        <v>35</v>
      </c>
      <c r="F3" s="320" t="s">
        <v>36</v>
      </c>
      <c r="G3" s="320"/>
      <c r="H3" s="320"/>
      <c r="I3" s="162"/>
    </row>
    <row r="4" spans="2:9">
      <c r="B4" s="163"/>
      <c r="C4" s="163"/>
      <c r="D4" s="164" t="s">
        <v>37</v>
      </c>
      <c r="E4" s="164" t="s">
        <v>38</v>
      </c>
      <c r="F4" s="164" t="s">
        <v>21</v>
      </c>
      <c r="G4" s="164" t="s">
        <v>39</v>
      </c>
      <c r="H4" s="164" t="s">
        <v>70</v>
      </c>
      <c r="I4" s="164" t="s">
        <v>40</v>
      </c>
    </row>
    <row r="5" spans="2:9">
      <c r="B5" s="169">
        <v>2015</v>
      </c>
      <c r="C5" s="165" t="s">
        <v>98</v>
      </c>
      <c r="D5" s="166">
        <v>12887.114576</v>
      </c>
      <c r="E5" s="167">
        <v>18538.071</v>
      </c>
      <c r="F5" s="167">
        <v>14187.1</v>
      </c>
      <c r="G5" s="167">
        <v>6734.3</v>
      </c>
      <c r="H5" s="167">
        <v>11208.4</v>
      </c>
      <c r="I5" s="168">
        <f t="shared" ref="I5:I52" si="0">D5/E5*100</f>
        <v>69.517020276813042</v>
      </c>
    </row>
    <row r="6" spans="2:9">
      <c r="B6" s="169"/>
      <c r="C6" s="170" t="s">
        <v>100</v>
      </c>
      <c r="D6" s="166">
        <v>11918.792775</v>
      </c>
      <c r="E6" s="167">
        <v>18538.071</v>
      </c>
      <c r="F6" s="167">
        <v>13746.6</v>
      </c>
      <c r="G6" s="167">
        <v>6287.9</v>
      </c>
      <c r="H6" s="167">
        <v>10708.8</v>
      </c>
      <c r="I6" s="168">
        <f t="shared" si="0"/>
        <v>64.293597618651916</v>
      </c>
    </row>
    <row r="7" spans="2:9">
      <c r="B7" s="169"/>
      <c r="C7" s="165" t="s">
        <v>100</v>
      </c>
      <c r="D7" s="166">
        <v>10448.885818000001</v>
      </c>
      <c r="E7" s="167">
        <v>18538.071</v>
      </c>
      <c r="F7" s="167">
        <v>12252.4</v>
      </c>
      <c r="G7" s="167">
        <v>5431.9</v>
      </c>
      <c r="H7" s="167">
        <v>9643.2999999999993</v>
      </c>
      <c r="I7" s="168">
        <f t="shared" si="0"/>
        <v>56.364471891385037</v>
      </c>
    </row>
    <row r="8" spans="2:9">
      <c r="B8" s="169"/>
      <c r="C8" s="165" t="s">
        <v>99</v>
      </c>
      <c r="D8" s="166">
        <v>9469.3938039999994</v>
      </c>
      <c r="E8" s="167">
        <v>18538.071</v>
      </c>
      <c r="F8" s="167">
        <v>10937.6</v>
      </c>
      <c r="G8" s="167">
        <v>4750.7</v>
      </c>
      <c r="H8" s="167">
        <v>8625.7000000000007</v>
      </c>
      <c r="I8" s="168">
        <f t="shared" si="0"/>
        <v>51.080793702861527</v>
      </c>
    </row>
    <row r="9" spans="2:9">
      <c r="B9" s="169"/>
      <c r="C9" s="165" t="s">
        <v>101</v>
      </c>
      <c r="D9" s="166">
        <v>8754.5516729999999</v>
      </c>
      <c r="E9" s="167">
        <v>18538.071</v>
      </c>
      <c r="F9" s="167">
        <v>10034.299999999999</v>
      </c>
      <c r="G9" s="167">
        <v>4535.6000000000004</v>
      </c>
      <c r="H9" s="167">
        <v>7930.4</v>
      </c>
      <c r="I9" s="168">
        <f t="shared" si="0"/>
        <v>47.224717571747348</v>
      </c>
    </row>
    <row r="10" spans="2:9">
      <c r="B10" s="169"/>
      <c r="C10" s="165" t="s">
        <v>102</v>
      </c>
      <c r="D10" s="166">
        <v>8623.2692549999992</v>
      </c>
      <c r="E10" s="167">
        <v>18538.071</v>
      </c>
      <c r="F10" s="167">
        <v>9635.2000000000007</v>
      </c>
      <c r="G10" s="167">
        <v>4230.8</v>
      </c>
      <c r="H10" s="167">
        <v>7810.6</v>
      </c>
      <c r="I10" s="168">
        <f t="shared" si="0"/>
        <v>46.516540232260404</v>
      </c>
    </row>
    <row r="11" spans="2:9">
      <c r="B11" s="169"/>
      <c r="C11" s="165" t="s">
        <v>103</v>
      </c>
      <c r="D11" s="166">
        <v>8744.6446699999997</v>
      </c>
      <c r="E11" s="167">
        <v>18538.071</v>
      </c>
      <c r="F11" s="167">
        <v>10899.4</v>
      </c>
      <c r="G11" s="167">
        <v>4607.3</v>
      </c>
      <c r="H11" s="167">
        <v>8257</v>
      </c>
      <c r="I11" s="168">
        <f t="shared" si="0"/>
        <v>47.171276180784936</v>
      </c>
    </row>
    <row r="12" spans="2:9">
      <c r="B12" s="169"/>
      <c r="C12" s="165" t="s">
        <v>104</v>
      </c>
      <c r="D12" s="166">
        <v>8644.1745179999998</v>
      </c>
      <c r="E12" s="167">
        <v>18538.071</v>
      </c>
      <c r="F12" s="167">
        <v>13185.4</v>
      </c>
      <c r="G12" s="167">
        <v>5271.4</v>
      </c>
      <c r="H12" s="167">
        <v>9056</v>
      </c>
      <c r="I12" s="168">
        <f t="shared" si="0"/>
        <v>46.62930958674179</v>
      </c>
    </row>
    <row r="13" spans="2:9">
      <c r="B13" s="169"/>
      <c r="C13" s="165" t="s">
        <v>105</v>
      </c>
      <c r="D13" s="166">
        <v>11227.656998</v>
      </c>
      <c r="E13" s="167">
        <v>18538.071</v>
      </c>
      <c r="F13" s="167">
        <v>13001.9</v>
      </c>
      <c r="G13" s="167">
        <v>5366.1</v>
      </c>
      <c r="H13" s="167">
        <v>10017.4</v>
      </c>
      <c r="I13" s="168">
        <f t="shared" si="0"/>
        <v>60.56540077983302</v>
      </c>
    </row>
    <row r="14" spans="2:9">
      <c r="B14" s="169"/>
      <c r="C14" s="165" t="s">
        <v>97</v>
      </c>
      <c r="D14" s="166">
        <v>12066.238818</v>
      </c>
      <c r="E14" s="167">
        <v>18538.071</v>
      </c>
      <c r="F14" s="167">
        <v>13315.6</v>
      </c>
      <c r="G14" s="167">
        <v>5433.6</v>
      </c>
      <c r="H14" s="167">
        <v>10361.5</v>
      </c>
      <c r="I14" s="168">
        <f t="shared" si="0"/>
        <v>65.088966473372551</v>
      </c>
    </row>
    <row r="15" spans="2:9">
      <c r="B15" s="169"/>
      <c r="C15" s="165" t="s">
        <v>98</v>
      </c>
      <c r="D15" s="166">
        <v>12306.055883000001</v>
      </c>
      <c r="E15" s="167">
        <v>18538.071</v>
      </c>
      <c r="F15" s="167">
        <v>13856.7</v>
      </c>
      <c r="G15" s="167">
        <v>5567.8</v>
      </c>
      <c r="H15" s="167">
        <v>10787.2</v>
      </c>
      <c r="I15" s="168">
        <f t="shared" si="0"/>
        <v>66.382612748651155</v>
      </c>
    </row>
    <row r="16" spans="2:9">
      <c r="B16" s="169"/>
      <c r="C16" s="171" t="s">
        <v>99</v>
      </c>
      <c r="D16" s="166">
        <v>13179.567322000001</v>
      </c>
      <c r="E16" s="167">
        <v>18538.071</v>
      </c>
      <c r="F16" s="167">
        <v>14018.9</v>
      </c>
      <c r="G16" s="167">
        <v>6896.6</v>
      </c>
      <c r="H16" s="167">
        <v>11295.2</v>
      </c>
      <c r="I16" s="168">
        <f t="shared" si="0"/>
        <v>71.094599443491191</v>
      </c>
    </row>
    <row r="17" spans="2:9">
      <c r="B17" s="169">
        <v>2016</v>
      </c>
      <c r="C17" s="171" t="s">
        <v>98</v>
      </c>
      <c r="D17" s="166">
        <v>13577.542675000001</v>
      </c>
      <c r="E17" s="167">
        <v>18538.071</v>
      </c>
      <c r="F17" s="167">
        <v>14159.3</v>
      </c>
      <c r="G17" s="167">
        <v>6811.6</v>
      </c>
      <c r="H17" s="167">
        <v>11509.5</v>
      </c>
      <c r="I17" s="168">
        <f t="shared" si="0"/>
        <v>73.241399685004978</v>
      </c>
    </row>
    <row r="18" spans="2:9">
      <c r="B18" s="169"/>
      <c r="C18" s="171" t="s">
        <v>100</v>
      </c>
      <c r="D18" s="166">
        <v>12751.035658000001</v>
      </c>
      <c r="E18" s="167">
        <v>18538.071</v>
      </c>
      <c r="F18" s="167">
        <v>13746.6</v>
      </c>
      <c r="G18" s="167">
        <v>6354.8</v>
      </c>
      <c r="H18" s="167">
        <v>10990.1</v>
      </c>
      <c r="I18" s="168">
        <f t="shared" si="0"/>
        <v>68.782969155744425</v>
      </c>
    </row>
    <row r="19" spans="2:9">
      <c r="B19" s="169"/>
      <c r="C19" s="171" t="s">
        <v>100</v>
      </c>
      <c r="D19" s="166">
        <v>11400.747851</v>
      </c>
      <c r="E19" s="167">
        <v>18538.071</v>
      </c>
      <c r="F19" s="167">
        <v>12254.4</v>
      </c>
      <c r="G19" s="167">
        <v>5493.3</v>
      </c>
      <c r="H19" s="167">
        <v>9894.2000000000007</v>
      </c>
      <c r="I19" s="168">
        <f t="shared" si="0"/>
        <v>61.499105548792002</v>
      </c>
    </row>
    <row r="20" spans="2:9">
      <c r="B20" s="169"/>
      <c r="C20" s="171" t="s">
        <v>99</v>
      </c>
      <c r="D20" s="166">
        <v>9726.8527639999993</v>
      </c>
      <c r="E20" s="167">
        <v>18538.071</v>
      </c>
      <c r="F20" s="167">
        <v>10936.9</v>
      </c>
      <c r="G20" s="167">
        <v>4803.8</v>
      </c>
      <c r="H20" s="167">
        <v>8861.6</v>
      </c>
      <c r="I20" s="168">
        <f t="shared" si="0"/>
        <v>52.469605731901659</v>
      </c>
    </row>
    <row r="21" spans="2:9">
      <c r="B21" s="169"/>
      <c r="C21" s="171" t="s">
        <v>101</v>
      </c>
      <c r="D21" s="166">
        <v>8542.9985949999991</v>
      </c>
      <c r="E21" s="167">
        <v>18538.071</v>
      </c>
      <c r="F21" s="167">
        <v>10062.1</v>
      </c>
      <c r="G21" s="167">
        <v>4577.6000000000004</v>
      </c>
      <c r="H21" s="167">
        <v>8141.4</v>
      </c>
      <c r="I21" s="168">
        <f t="shared" si="0"/>
        <v>46.083535849010396</v>
      </c>
    </row>
    <row r="22" spans="2:9">
      <c r="B22" s="169"/>
      <c r="C22" s="171" t="s">
        <v>102</v>
      </c>
      <c r="D22" s="166">
        <v>7639.5428579999998</v>
      </c>
      <c r="E22" s="167">
        <v>18538.071</v>
      </c>
      <c r="F22" s="167">
        <v>9669.2000000000007</v>
      </c>
      <c r="G22" s="167">
        <v>4301.2</v>
      </c>
      <c r="H22" s="167">
        <v>8029.9</v>
      </c>
      <c r="I22" s="168">
        <f t="shared" si="0"/>
        <v>41.210020492423396</v>
      </c>
    </row>
    <row r="23" spans="2:9">
      <c r="B23" s="169"/>
      <c r="C23" s="171" t="s">
        <v>103</v>
      </c>
      <c r="D23" s="166">
        <v>7737.8927560000002</v>
      </c>
      <c r="E23" s="167">
        <v>18538.071</v>
      </c>
      <c r="F23" s="167">
        <v>11022.8</v>
      </c>
      <c r="G23" s="167">
        <v>4697.8</v>
      </c>
      <c r="H23" s="167">
        <v>8512.7999999999993</v>
      </c>
      <c r="I23" s="168">
        <f t="shared" si="0"/>
        <v>41.740549790752226</v>
      </c>
    </row>
    <row r="24" spans="2:9">
      <c r="B24" s="169"/>
      <c r="C24" s="171" t="s">
        <v>104</v>
      </c>
      <c r="D24" s="166">
        <v>7271.9042060000002</v>
      </c>
      <c r="E24" s="167">
        <v>18538.071</v>
      </c>
      <c r="F24" s="167">
        <v>13351.2</v>
      </c>
      <c r="G24" s="167">
        <v>5303.9</v>
      </c>
      <c r="H24" s="167">
        <v>9210</v>
      </c>
      <c r="I24" s="168">
        <f t="shared" si="0"/>
        <v>39.226865653929153</v>
      </c>
    </row>
    <row r="25" spans="2:9">
      <c r="B25" s="169"/>
      <c r="C25" s="171" t="s">
        <v>105</v>
      </c>
      <c r="D25" s="166">
        <v>6352.3982489999999</v>
      </c>
      <c r="E25" s="167">
        <v>18538.071</v>
      </c>
      <c r="F25" s="167">
        <v>13008.6</v>
      </c>
      <c r="G25" s="167">
        <v>5403.4</v>
      </c>
      <c r="H25" s="167">
        <v>10035.6</v>
      </c>
      <c r="I25" s="168">
        <f t="shared" si="0"/>
        <v>34.266770523211392</v>
      </c>
    </row>
    <row r="26" spans="2:9">
      <c r="B26" s="169"/>
      <c r="C26" s="171" t="s">
        <v>97</v>
      </c>
      <c r="D26" s="166">
        <v>8201.5317109999996</v>
      </c>
      <c r="E26" s="167">
        <v>18538.071</v>
      </c>
      <c r="F26" s="167">
        <v>13281.7</v>
      </c>
      <c r="G26" s="167">
        <v>5478.9</v>
      </c>
      <c r="H26" s="167">
        <v>10426.700000000001</v>
      </c>
      <c r="I26" s="168">
        <f t="shared" si="0"/>
        <v>44.241559496670391</v>
      </c>
    </row>
    <row r="27" spans="2:9">
      <c r="B27" s="169"/>
      <c r="C27" s="171" t="s">
        <v>98</v>
      </c>
      <c r="D27" s="166">
        <v>8171.2895820000003</v>
      </c>
      <c r="E27" s="167">
        <v>18538.071</v>
      </c>
      <c r="F27" s="167">
        <v>13801.4</v>
      </c>
      <c r="G27" s="167">
        <v>5631.6</v>
      </c>
      <c r="H27" s="167">
        <v>10863.8</v>
      </c>
      <c r="I27" s="168">
        <f t="shared" si="0"/>
        <v>44.078424243816954</v>
      </c>
    </row>
    <row r="28" spans="2:9">
      <c r="B28" s="169"/>
      <c r="C28" s="171" t="s">
        <v>99</v>
      </c>
      <c r="D28" s="166">
        <v>8002.4783509999997</v>
      </c>
      <c r="E28" s="167">
        <v>18538.071</v>
      </c>
      <c r="F28" s="167">
        <v>13963.7</v>
      </c>
      <c r="G28" s="167">
        <v>6949.4</v>
      </c>
      <c r="H28" s="167">
        <v>11392.9</v>
      </c>
      <c r="I28" s="168">
        <f t="shared" si="0"/>
        <v>43.167805059113221</v>
      </c>
    </row>
    <row r="29" spans="2:9">
      <c r="B29" s="169">
        <v>2017</v>
      </c>
      <c r="C29" s="171" t="s">
        <v>98</v>
      </c>
      <c r="D29" s="166">
        <v>8068.3502509999998</v>
      </c>
      <c r="E29" s="167">
        <v>18538.071</v>
      </c>
      <c r="F29" s="167">
        <v>14131.5</v>
      </c>
      <c r="G29" s="167">
        <v>6888.8</v>
      </c>
      <c r="H29" s="167">
        <v>11608.8</v>
      </c>
      <c r="I29" s="168">
        <f t="shared" si="0"/>
        <v>43.523138146358377</v>
      </c>
    </row>
    <row r="30" spans="2:9">
      <c r="B30" s="169"/>
      <c r="C30" s="171" t="s">
        <v>100</v>
      </c>
      <c r="D30" s="166">
        <v>7504.6737370000001</v>
      </c>
      <c r="E30" s="167">
        <v>18538.071</v>
      </c>
      <c r="F30" s="167">
        <v>13746.7</v>
      </c>
      <c r="G30" s="167">
        <v>6417.2</v>
      </c>
      <c r="H30" s="167">
        <v>11080.9</v>
      </c>
      <c r="I30" s="168">
        <f t="shared" si="0"/>
        <v>40.482495384767923</v>
      </c>
    </row>
    <row r="31" spans="2:9">
      <c r="B31" s="169"/>
      <c r="C31" s="171" t="s">
        <v>100</v>
      </c>
      <c r="D31" s="166">
        <v>6868.7604899999997</v>
      </c>
      <c r="E31" s="167">
        <v>18538.071</v>
      </c>
      <c r="F31" s="167">
        <v>12256.4</v>
      </c>
      <c r="G31" s="167">
        <v>5554.7</v>
      </c>
      <c r="H31" s="167">
        <v>9976.6</v>
      </c>
      <c r="I31" s="168">
        <f t="shared" si="0"/>
        <v>37.05218568857569</v>
      </c>
    </row>
    <row r="32" spans="2:9">
      <c r="B32" s="169"/>
      <c r="C32" s="171" t="s">
        <v>99</v>
      </c>
      <c r="D32" s="166">
        <v>6036.3040380000002</v>
      </c>
      <c r="E32" s="167">
        <v>18538.071</v>
      </c>
      <c r="F32" s="167">
        <v>10936.1</v>
      </c>
      <c r="G32" s="167">
        <v>4856.8999999999996</v>
      </c>
      <c r="H32" s="167">
        <v>8897.1</v>
      </c>
      <c r="I32" s="168">
        <f t="shared" si="0"/>
        <v>32.561662095263308</v>
      </c>
    </row>
    <row r="33" spans="2:9">
      <c r="B33" s="169"/>
      <c r="C33" s="172" t="s">
        <v>101</v>
      </c>
      <c r="D33" s="166">
        <v>5135.5098319999997</v>
      </c>
      <c r="E33" s="167">
        <v>18538.071</v>
      </c>
      <c r="F33" s="167">
        <v>10089.799999999999</v>
      </c>
      <c r="G33" s="167">
        <v>4619.6000000000004</v>
      </c>
      <c r="H33" s="167">
        <v>8164.3</v>
      </c>
      <c r="I33" s="168">
        <f t="shared" si="0"/>
        <v>27.702503847352833</v>
      </c>
    </row>
    <row r="34" spans="2:9">
      <c r="B34" s="169"/>
      <c r="C34" s="171" t="s">
        <v>102</v>
      </c>
      <c r="D34" s="166">
        <v>4708.038114</v>
      </c>
      <c r="E34" s="167">
        <v>18538.071</v>
      </c>
      <c r="F34" s="167">
        <v>9703.2000000000007</v>
      </c>
      <c r="G34" s="167">
        <v>4371.6000000000004</v>
      </c>
      <c r="H34" s="167">
        <v>8040.8</v>
      </c>
      <c r="I34" s="168">
        <f t="shared" si="0"/>
        <v>25.396591231094106</v>
      </c>
    </row>
    <row r="35" spans="2:9">
      <c r="B35" s="169"/>
      <c r="C35" s="171" t="s">
        <v>103</v>
      </c>
      <c r="D35" s="166">
        <v>4403.8701209999999</v>
      </c>
      <c r="E35" s="167">
        <v>18538.071</v>
      </c>
      <c r="F35" s="167">
        <v>11121.6</v>
      </c>
      <c r="G35" s="167">
        <v>4788.3</v>
      </c>
      <c r="H35" s="167">
        <v>8517.9</v>
      </c>
      <c r="I35" s="168">
        <f t="shared" si="0"/>
        <v>23.755816454689381</v>
      </c>
    </row>
    <row r="36" spans="2:9">
      <c r="B36" s="169"/>
      <c r="C36" s="171" t="s">
        <v>104</v>
      </c>
      <c r="D36" s="166">
        <v>4883.4119860000001</v>
      </c>
      <c r="E36" s="167">
        <v>18538.071</v>
      </c>
      <c r="F36" s="167">
        <v>13517</v>
      </c>
      <c r="G36" s="167">
        <v>5336.3</v>
      </c>
      <c r="H36" s="167">
        <v>9077</v>
      </c>
      <c r="I36" s="168">
        <f t="shared" si="0"/>
        <v>26.342611299740948</v>
      </c>
    </row>
    <row r="37" spans="2:9">
      <c r="B37" s="169"/>
      <c r="C37" s="171" t="s">
        <v>105</v>
      </c>
      <c r="D37" s="166">
        <v>5398.2220399999997</v>
      </c>
      <c r="E37" s="167">
        <v>18538.071</v>
      </c>
      <c r="F37" s="167">
        <v>13015.3</v>
      </c>
      <c r="G37" s="167">
        <v>5440.7</v>
      </c>
      <c r="H37" s="167">
        <v>9768.7999999999993</v>
      </c>
      <c r="I37" s="168">
        <f t="shared" si="0"/>
        <v>29.11965349577094</v>
      </c>
    </row>
    <row r="38" spans="2:9">
      <c r="B38" s="169"/>
      <c r="C38" s="171" t="s">
        <v>97</v>
      </c>
      <c r="D38" s="166">
        <v>5616.4103269999996</v>
      </c>
      <c r="E38" s="167">
        <v>18538.071</v>
      </c>
      <c r="F38" s="167">
        <v>13247.7</v>
      </c>
      <c r="G38" s="167">
        <v>5524.0950000000003</v>
      </c>
      <c r="H38" s="167">
        <v>10246.200000000001</v>
      </c>
      <c r="I38" s="168">
        <f t="shared" si="0"/>
        <v>30.296627556340678</v>
      </c>
    </row>
    <row r="39" spans="2:9">
      <c r="B39" s="162"/>
      <c r="C39" s="171" t="s">
        <v>98</v>
      </c>
      <c r="D39" s="166">
        <v>9699.4711430000007</v>
      </c>
      <c r="E39" s="167">
        <v>18538.071</v>
      </c>
      <c r="F39" s="167">
        <v>13746</v>
      </c>
      <c r="G39" s="167">
        <v>5695.4</v>
      </c>
      <c r="H39" s="167">
        <v>10704.1</v>
      </c>
      <c r="I39" s="168">
        <f t="shared" si="0"/>
        <v>52.321900930253207</v>
      </c>
    </row>
    <row r="40" spans="2:9">
      <c r="B40" s="162"/>
      <c r="C40" s="171" t="s">
        <v>99</v>
      </c>
      <c r="D40" s="166">
        <v>11897.527652999999</v>
      </c>
      <c r="E40" s="167">
        <v>18538.071</v>
      </c>
      <c r="F40" s="167">
        <v>13908.5</v>
      </c>
      <c r="G40" s="167">
        <v>7002.3</v>
      </c>
      <c r="H40" s="167">
        <v>11260.6</v>
      </c>
      <c r="I40" s="168">
        <f t="shared" si="0"/>
        <v>64.178887075143905</v>
      </c>
    </row>
    <row r="41" spans="2:9">
      <c r="B41" s="162">
        <v>2018</v>
      </c>
      <c r="C41" s="171" t="s">
        <v>98</v>
      </c>
      <c r="D41" s="166">
        <v>12095.723247</v>
      </c>
      <c r="E41" s="167">
        <v>18538.071</v>
      </c>
      <c r="F41" s="167">
        <v>14103.7</v>
      </c>
      <c r="G41" s="167">
        <v>6966.1</v>
      </c>
      <c r="H41" s="167">
        <v>11479.8</v>
      </c>
      <c r="I41" s="168">
        <f t="shared" si="0"/>
        <v>65.248014461698844</v>
      </c>
    </row>
    <row r="42" spans="2:9">
      <c r="B42" s="162"/>
      <c r="C42" s="171" t="s">
        <v>100</v>
      </c>
      <c r="D42" s="166">
        <v>11876.304858</v>
      </c>
      <c r="E42" s="167">
        <v>18538.071</v>
      </c>
      <c r="F42" s="167">
        <v>13746.7</v>
      </c>
      <c r="G42" s="167">
        <v>6477.8</v>
      </c>
      <c r="H42" s="167">
        <v>10910.4</v>
      </c>
      <c r="I42" s="168">
        <f t="shared" si="0"/>
        <v>64.064404856362884</v>
      </c>
    </row>
    <row r="43" spans="2:9">
      <c r="B43" s="169"/>
      <c r="C43" s="171" t="s">
        <v>100</v>
      </c>
      <c r="D43" s="166">
        <v>10246.502908</v>
      </c>
      <c r="E43" s="167">
        <v>18538.071</v>
      </c>
      <c r="F43" s="167">
        <v>12258.4</v>
      </c>
      <c r="G43" s="167">
        <v>5616.1</v>
      </c>
      <c r="H43" s="167">
        <v>9805.5</v>
      </c>
      <c r="I43" s="168">
        <f t="shared" si="0"/>
        <v>55.272756847246953</v>
      </c>
    </row>
    <row r="44" spans="2:9">
      <c r="B44" s="169"/>
      <c r="C44" s="171" t="s">
        <v>99</v>
      </c>
      <c r="D44" s="166">
        <v>9315.071518714738</v>
      </c>
      <c r="E44" s="167">
        <v>18538.071</v>
      </c>
      <c r="F44" s="167">
        <v>10935.4</v>
      </c>
      <c r="G44" s="167">
        <v>4910</v>
      </c>
      <c r="H44" s="167">
        <v>8722.1</v>
      </c>
      <c r="I44" s="168">
        <f t="shared" si="0"/>
        <v>50.24833230337039</v>
      </c>
    </row>
    <row r="45" spans="2:9">
      <c r="B45" s="169"/>
      <c r="C45" s="172" t="s">
        <v>101</v>
      </c>
      <c r="D45" s="166">
        <v>8192.9385726801847</v>
      </c>
      <c r="E45" s="167">
        <v>18538.071</v>
      </c>
      <c r="F45" s="167">
        <v>10117.5</v>
      </c>
      <c r="G45" s="167">
        <v>4649.6000000000004</v>
      </c>
      <c r="H45" s="167">
        <v>7980</v>
      </c>
      <c r="I45" s="168">
        <f t="shared" si="0"/>
        <v>44.195205491877687</v>
      </c>
    </row>
    <row r="46" spans="2:9">
      <c r="B46" s="169"/>
      <c r="C46" s="172" t="s">
        <v>102</v>
      </c>
      <c r="D46" s="166">
        <v>7628.6385403221575</v>
      </c>
      <c r="E46" s="167">
        <v>18538.071</v>
      </c>
      <c r="F46" s="167">
        <v>9737.2663309</v>
      </c>
      <c r="G46" s="167">
        <v>4395.4606318624037</v>
      </c>
      <c r="H46" s="167">
        <v>7851.3065504312008</v>
      </c>
      <c r="I46" s="273">
        <f t="shared" si="0"/>
        <v>41.151199282396519</v>
      </c>
    </row>
    <row r="47" spans="2:9">
      <c r="B47" s="169"/>
      <c r="C47" s="172" t="s">
        <v>103</v>
      </c>
      <c r="D47" s="166">
        <v>8008.98</v>
      </c>
      <c r="E47" s="167">
        <v>18538.071</v>
      </c>
      <c r="F47" s="167">
        <v>11146.955049999997</v>
      </c>
      <c r="G47" s="167">
        <v>4794.2765906499999</v>
      </c>
      <c r="H47" s="167">
        <v>8185.911173848619</v>
      </c>
      <c r="I47" s="273">
        <f t="shared" si="0"/>
        <v>43.20287693363565</v>
      </c>
    </row>
    <row r="48" spans="2:9">
      <c r="B48" s="169"/>
      <c r="C48" s="172" t="s">
        <v>104</v>
      </c>
      <c r="D48" s="166">
        <v>8172.2198288975142</v>
      </c>
      <c r="E48" s="167">
        <v>18538.071</v>
      </c>
      <c r="F48" s="167">
        <v>13456.058434449991</v>
      </c>
      <c r="G48" s="167">
        <v>5331.3250531999984</v>
      </c>
      <c r="H48" s="167">
        <v>8645.3592049681756</v>
      </c>
      <c r="I48" s="273">
        <f t="shared" si="0"/>
        <v>44.083442278851528</v>
      </c>
    </row>
    <row r="49" spans="2:9">
      <c r="B49" s="169"/>
      <c r="C49" s="172" t="s">
        <v>105</v>
      </c>
      <c r="D49" s="166">
        <v>8071.161100088786</v>
      </c>
      <c r="E49" s="167">
        <v>18538.071</v>
      </c>
      <c r="F49" s="167">
        <v>13020.290870750003</v>
      </c>
      <c r="G49" s="167">
        <v>5449.8113076999989</v>
      </c>
      <c r="H49" s="167">
        <v>9388.9296029958969</v>
      </c>
      <c r="I49" s="273">
        <f t="shared" si="0"/>
        <v>43.538300722274641</v>
      </c>
    </row>
    <row r="50" spans="2:9">
      <c r="B50" s="169"/>
      <c r="C50" s="172" t="s">
        <v>97</v>
      </c>
      <c r="D50" s="166">
        <v>8866.4553178436945</v>
      </c>
      <c r="E50" s="167">
        <v>18538.071</v>
      </c>
      <c r="F50" s="167">
        <v>13213.723010049996</v>
      </c>
      <c r="G50" s="167">
        <v>5542.2838559499978</v>
      </c>
      <c r="H50" s="167">
        <v>9889.1240943879329</v>
      </c>
      <c r="I50" s="273">
        <f t="shared" si="0"/>
        <v>47.828359907801058</v>
      </c>
    </row>
    <row r="51" spans="2:9">
      <c r="B51" s="169"/>
      <c r="C51" s="172" t="s">
        <v>98</v>
      </c>
      <c r="D51" s="166">
        <v>8992.1477604144093</v>
      </c>
      <c r="E51" s="167">
        <v>18538.071</v>
      </c>
      <c r="F51" s="167">
        <v>13690.625142599998</v>
      </c>
      <c r="G51" s="167">
        <v>5759.1679040999989</v>
      </c>
      <c r="H51" s="167">
        <v>10570.14772097053</v>
      </c>
      <c r="I51" s="273">
        <f t="shared" si="0"/>
        <v>48.506383217619621</v>
      </c>
    </row>
    <row r="52" spans="2:9">
      <c r="B52" s="169"/>
      <c r="C52" s="172" t="s">
        <v>99</v>
      </c>
      <c r="D52" s="166">
        <v>9541.0680132165635</v>
      </c>
      <c r="E52" s="167">
        <v>18538.071</v>
      </c>
      <c r="F52" s="167">
        <v>13853.30312085</v>
      </c>
      <c r="G52" s="167">
        <v>7055.2102049999985</v>
      </c>
      <c r="H52" s="167">
        <v>11183.148309133439</v>
      </c>
      <c r="I52" s="273">
        <f t="shared" si="0"/>
        <v>51.467426212881392</v>
      </c>
    </row>
    <row r="53" spans="2:9">
      <c r="B53" s="169"/>
      <c r="C53" s="172" t="s">
        <v>98</v>
      </c>
      <c r="D53" s="166">
        <v>9882.0064054258182</v>
      </c>
      <c r="E53" s="167">
        <v>18538.071</v>
      </c>
      <c r="F53" s="167">
        <v>14075.916087449999</v>
      </c>
      <c r="G53" s="167">
        <v>7043.3783189999976</v>
      </c>
      <c r="H53" s="167">
        <v>11397.034267874862</v>
      </c>
      <c r="I53" s="273">
        <f>D53/E53*100</f>
        <v>53.306551719571139</v>
      </c>
    </row>
    <row r="54" spans="2:9">
      <c r="B54" s="169"/>
      <c r="C54" s="171"/>
      <c r="D54" s="166"/>
      <c r="E54" s="167"/>
      <c r="F54" s="167"/>
      <c r="G54" s="167"/>
      <c r="H54" s="167"/>
      <c r="I54" s="168"/>
    </row>
    <row r="55" spans="2:9">
      <c r="B55" s="169"/>
      <c r="C55" s="171"/>
      <c r="D55" s="166"/>
      <c r="E55" s="167"/>
      <c r="F55" s="167"/>
      <c r="G55" s="167"/>
      <c r="H55" s="167"/>
      <c r="I55" s="168"/>
    </row>
    <row r="56" spans="2:9">
      <c r="B56" s="169"/>
      <c r="C56" s="171"/>
      <c r="D56" s="166"/>
      <c r="E56" s="167"/>
      <c r="F56" s="167"/>
      <c r="G56" s="167"/>
      <c r="H56" s="167"/>
      <c r="I56" s="168"/>
    </row>
    <row r="57" spans="2:9">
      <c r="B57" s="169"/>
      <c r="C57" s="171"/>
      <c r="D57" s="166"/>
      <c r="E57" s="167"/>
      <c r="F57" s="167"/>
      <c r="G57" s="167"/>
      <c r="H57" s="167"/>
      <c r="I57" s="168"/>
    </row>
    <row r="58" spans="2:9">
      <c r="B58" s="169"/>
      <c r="C58" s="171"/>
      <c r="D58" s="166"/>
      <c r="E58" s="167"/>
      <c r="F58" s="167"/>
      <c r="G58" s="167"/>
      <c r="H58" s="167"/>
      <c r="I58" s="168"/>
    </row>
    <row r="59" spans="2:9">
      <c r="B59" s="169"/>
      <c r="C59" s="172"/>
      <c r="D59" s="166"/>
      <c r="E59" s="167"/>
      <c r="F59" s="167"/>
      <c r="G59" s="167"/>
      <c r="H59" s="167"/>
      <c r="I59" s="168"/>
    </row>
    <row r="60" spans="2:9">
      <c r="B60" s="169"/>
      <c r="C60" s="171"/>
      <c r="D60" s="166"/>
      <c r="E60" s="167"/>
      <c r="F60" s="167"/>
      <c r="G60" s="167"/>
      <c r="H60" s="167"/>
      <c r="I60" s="168"/>
    </row>
    <row r="61" spans="2:9">
      <c r="B61" s="169"/>
      <c r="C61" s="171"/>
      <c r="D61" s="167"/>
      <c r="E61" s="167"/>
      <c r="F61" s="167"/>
      <c r="G61" s="167"/>
      <c r="H61" s="167"/>
      <c r="I61" s="168"/>
    </row>
    <row r="62" spans="2:9">
      <c r="B62" s="169"/>
      <c r="C62" s="171"/>
      <c r="D62" s="167"/>
      <c r="E62" s="167"/>
      <c r="F62" s="167"/>
      <c r="G62" s="167"/>
      <c r="H62" s="167"/>
      <c r="I62" s="168"/>
    </row>
    <row r="63" spans="2:9">
      <c r="B63" s="169"/>
      <c r="C63" s="171"/>
      <c r="D63" s="167"/>
      <c r="E63" s="167"/>
      <c r="F63" s="167"/>
      <c r="G63" s="167"/>
      <c r="H63" s="167"/>
      <c r="I63" s="168"/>
    </row>
    <row r="64" spans="2:9">
      <c r="B64" s="169"/>
      <c r="C64" s="171"/>
      <c r="D64" s="167"/>
      <c r="E64" s="167"/>
      <c r="F64" s="167"/>
      <c r="G64" s="167"/>
      <c r="H64" s="167"/>
      <c r="I64" s="168"/>
    </row>
    <row r="65" spans="2:11">
      <c r="B65" s="169"/>
      <c r="C65" s="173"/>
      <c r="D65" s="174"/>
      <c r="E65" s="174"/>
      <c r="F65" s="174"/>
      <c r="G65" s="174"/>
      <c r="H65" s="174"/>
      <c r="I65" s="168"/>
    </row>
    <row r="67" spans="2:11">
      <c r="B67" s="285" t="s">
        <v>603</v>
      </c>
      <c r="C67" s="286"/>
      <c r="D67" s="286"/>
      <c r="E67" s="286"/>
      <c r="F67" s="286"/>
      <c r="G67" s="124"/>
      <c r="H67" s="124"/>
      <c r="I67" s="125"/>
      <c r="J67" s="125"/>
    </row>
    <row r="68" spans="2:11">
      <c r="B68" s="126"/>
      <c r="C68" s="319" t="s">
        <v>53</v>
      </c>
      <c r="D68" s="319" t="s">
        <v>53</v>
      </c>
      <c r="E68" s="126"/>
      <c r="F68" s="319" t="s">
        <v>42</v>
      </c>
      <c r="G68" s="319"/>
      <c r="H68" s="319" t="s">
        <v>43</v>
      </c>
      <c r="I68" s="319"/>
      <c r="J68" s="319" t="s">
        <v>44</v>
      </c>
      <c r="K68" s="319"/>
    </row>
    <row r="69" spans="2:11">
      <c r="B69" s="127"/>
      <c r="C69" s="128" t="s">
        <v>42</v>
      </c>
      <c r="D69" s="128" t="s">
        <v>43</v>
      </c>
      <c r="E69" s="128" t="s">
        <v>82</v>
      </c>
      <c r="F69" s="129" t="s">
        <v>40</v>
      </c>
      <c r="G69" s="128" t="s">
        <v>45</v>
      </c>
      <c r="H69" s="129" t="s">
        <v>40</v>
      </c>
      <c r="I69" s="128" t="s">
        <v>45</v>
      </c>
      <c r="J69" s="129" t="s">
        <v>40</v>
      </c>
      <c r="K69" s="128" t="s">
        <v>45</v>
      </c>
    </row>
    <row r="70" spans="2:11">
      <c r="B70" s="130" t="s">
        <v>46</v>
      </c>
      <c r="C70" s="131">
        <v>2546.8180000000002</v>
      </c>
      <c r="D70" s="131">
        <v>909.476</v>
      </c>
      <c r="E70" s="293">
        <v>5205.2719067636108</v>
      </c>
      <c r="F70" s="294">
        <f>G70/C70</f>
        <v>0.73266644562566086</v>
      </c>
      <c r="G70" s="293">
        <v>1865.9680917154544</v>
      </c>
      <c r="H70" s="294">
        <f t="shared" ref="H70:H76" si="1">I70/D70</f>
        <v>0.55181107426505827</v>
      </c>
      <c r="I70" s="293">
        <v>501.85892857828816</v>
      </c>
      <c r="J70" s="158">
        <f>K70/SUM(C70:D70)</f>
        <v>0.68507685407946839</v>
      </c>
      <c r="K70" s="131">
        <f t="shared" ref="K70:K75" si="2">SUM(G70,I70)</f>
        <v>2367.8270202937424</v>
      </c>
    </row>
    <row r="71" spans="2:11">
      <c r="B71" s="130" t="s">
        <v>47</v>
      </c>
      <c r="C71" s="131">
        <v>1681</v>
      </c>
      <c r="D71" s="131">
        <v>3120.6</v>
      </c>
      <c r="E71" s="293">
        <v>3968.2132952293318</v>
      </c>
      <c r="F71" s="294">
        <f>G71/C71</f>
        <v>0.72092367476106001</v>
      </c>
      <c r="G71" s="293">
        <v>1211.8726972733418</v>
      </c>
      <c r="H71" s="294">
        <f t="shared" si="1"/>
        <v>0.41007099438384209</v>
      </c>
      <c r="I71" s="293">
        <v>1279.6675450742175</v>
      </c>
      <c r="J71" s="158">
        <f t="shared" ref="J71:J76" si="3">K71/SUM(C71:D71)</f>
        <v>0.51889791784979156</v>
      </c>
      <c r="K71" s="131">
        <f t="shared" si="2"/>
        <v>2491.5402423475593</v>
      </c>
    </row>
    <row r="72" spans="2:11">
      <c r="B72" s="130" t="s">
        <v>48</v>
      </c>
      <c r="C72" s="131">
        <v>2424.9229999999998</v>
      </c>
      <c r="D72" s="131">
        <v>3791.8719999999998</v>
      </c>
      <c r="E72" s="293">
        <v>3618.5651686053225</v>
      </c>
      <c r="F72" s="294">
        <f>G72/C72</f>
        <v>0.60226251291186983</v>
      </c>
      <c r="G72" s="293">
        <v>1460.44021959779</v>
      </c>
      <c r="H72" s="294">
        <f t="shared" si="1"/>
        <v>0.27594843747993997</v>
      </c>
      <c r="I72" s="293">
        <v>1046.3611535239349</v>
      </c>
      <c r="J72" s="158">
        <f t="shared" si="3"/>
        <v>0.40323050271429656</v>
      </c>
      <c r="K72" s="131">
        <f t="shared" si="2"/>
        <v>2506.8013731217252</v>
      </c>
    </row>
    <row r="73" spans="2:11">
      <c r="B73" s="130" t="s">
        <v>49</v>
      </c>
      <c r="C73" s="131"/>
      <c r="D73" s="131">
        <v>835.14400000000001</v>
      </c>
      <c r="E73" s="293">
        <v>241.15919611927043</v>
      </c>
      <c r="F73" s="294" t="s">
        <v>18</v>
      </c>
      <c r="G73" s="293"/>
      <c r="H73" s="294">
        <f t="shared" si="1"/>
        <v>0.42020059269839843</v>
      </c>
      <c r="I73" s="293">
        <v>350.92800378851126</v>
      </c>
      <c r="J73" s="158">
        <f t="shared" si="3"/>
        <v>0.42020059269839843</v>
      </c>
      <c r="K73" s="131">
        <f t="shared" si="2"/>
        <v>350.92800378851126</v>
      </c>
    </row>
    <row r="74" spans="2:11">
      <c r="B74" s="130" t="s">
        <v>50</v>
      </c>
      <c r="C74" s="131">
        <v>180.3</v>
      </c>
      <c r="D74" s="131">
        <v>669.1</v>
      </c>
      <c r="E74" s="293">
        <v>569.24482711132248</v>
      </c>
      <c r="F74" s="294">
        <f>G74/C74</f>
        <v>0.86464713489266587</v>
      </c>
      <c r="G74" s="293">
        <v>155.89587842114767</v>
      </c>
      <c r="H74" s="294">
        <f t="shared" si="1"/>
        <v>0.55053915769928075</v>
      </c>
      <c r="I74" s="293">
        <v>368.36575041658875</v>
      </c>
      <c r="J74" s="158">
        <f t="shared" si="3"/>
        <v>0.61721406738608009</v>
      </c>
      <c r="K74" s="131">
        <f t="shared" si="2"/>
        <v>524.26162883773645</v>
      </c>
    </row>
    <row r="75" spans="2:11">
      <c r="B75" s="130" t="s">
        <v>51</v>
      </c>
      <c r="C75" s="131">
        <v>2133.8380000000002</v>
      </c>
      <c r="D75" s="131">
        <v>245</v>
      </c>
      <c r="E75" s="293">
        <v>3446.0482361711402</v>
      </c>
      <c r="F75" s="294">
        <f>G75/C75</f>
        <v>0.7171298226028201</v>
      </c>
      <c r="G75" s="293">
        <v>1530.2388664031566</v>
      </c>
      <c r="H75" s="294">
        <f t="shared" si="1"/>
        <v>0.45065008421792085</v>
      </c>
      <c r="I75" s="293">
        <v>110.40927063339061</v>
      </c>
      <c r="J75" s="158">
        <f t="shared" si="3"/>
        <v>0.68968468514314429</v>
      </c>
      <c r="K75" s="131">
        <f t="shared" si="2"/>
        <v>1640.6481370365473</v>
      </c>
    </row>
    <row r="76" spans="2:11">
      <c r="B76" s="127" t="s">
        <v>52</v>
      </c>
      <c r="C76" s="132">
        <f>SUM(C70:C75)</f>
        <v>8966.8790000000008</v>
      </c>
      <c r="D76" s="132">
        <f>SUM(D70:D75)</f>
        <v>9571.1920000000009</v>
      </c>
      <c r="E76" s="295">
        <v>17048.502629999995</v>
      </c>
      <c r="F76" s="296">
        <f>G76/C76</f>
        <v>0.69415632277528105</v>
      </c>
      <c r="G76" s="295">
        <f>SUM(G70:G75)</f>
        <v>6224.4157534108899</v>
      </c>
      <c r="H76" s="296">
        <f t="shared" si="1"/>
        <v>0.38214578205253125</v>
      </c>
      <c r="I76" s="295">
        <f>SUM(I70:I75)</f>
        <v>3657.590652014931</v>
      </c>
      <c r="J76" s="159">
        <f t="shared" si="3"/>
        <v>0.53306551719571149</v>
      </c>
      <c r="K76" s="132">
        <f>SUM(K70:K75)</f>
        <v>9882.0064054258219</v>
      </c>
    </row>
  </sheetData>
  <mergeCells count="5">
    <mergeCell ref="J68:K68"/>
    <mergeCell ref="F3:H3"/>
    <mergeCell ref="C68:D68"/>
    <mergeCell ref="F68:G68"/>
    <mergeCell ref="H68:I68"/>
  </mergeCells>
  <pageMargins left="0.7" right="0.7" top="0.75" bottom="0.75" header="0.3" footer="0.3"/>
  <pageSetup paperSize="9" orientation="portrait" r:id="rId1"/>
  <ignoredErrors>
    <ignoredError sqref="J70:J75" formulaRange="1"/>
    <ignoredError sqref="H76" formula="1"/>
    <ignoredError sqref="J76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Indice</vt:lpstr>
      <vt:lpstr>P1</vt:lpstr>
      <vt:lpstr>P2</vt:lpstr>
      <vt:lpstr>P3</vt:lpstr>
      <vt:lpstr>P4</vt:lpstr>
      <vt:lpstr>P5</vt:lpstr>
      <vt:lpstr>P6</vt:lpstr>
      <vt:lpstr>P7</vt:lpstr>
      <vt:lpstr>P8</vt:lpstr>
      <vt:lpstr>P9</vt:lpstr>
      <vt:lpstr>P10</vt:lpstr>
      <vt:lpstr>P11</vt:lpstr>
      <vt:lpstr>P12</vt:lpstr>
      <vt:lpstr>P13</vt:lpstr>
      <vt:lpstr>Dat_01</vt:lpstr>
      <vt:lpstr>Data 1</vt:lpstr>
      <vt:lpstr>Dat_02</vt:lpstr>
      <vt:lpstr>Data 2</vt:lpstr>
      <vt:lpstr>Data 3</vt:lpstr>
    </vt:vector>
  </TitlesOfParts>
  <Company>Red Electrica de España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SEVPENMA</dc:creator>
  <cp:lastModifiedBy>de la Fuente Perez, Roberto</cp:lastModifiedBy>
  <dcterms:created xsi:type="dcterms:W3CDTF">2016-08-09T07:04:21Z</dcterms:created>
  <dcterms:modified xsi:type="dcterms:W3CDTF">2019-06-13T12:21:18Z</dcterms:modified>
</cp:coreProperties>
</file>