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N\INF_ELABORADA\"/>
    </mc:Choice>
  </mc:AlternateContent>
  <xr:revisionPtr revIDLastSave="0" documentId="13_ncr:1_{5CFD2160-7E9B-4E7F-9943-2FE43942772D}" xr6:coauthVersionLast="36" xr6:coauthVersionMax="36" xr10:uidLastSave="{00000000-0000-0000-0000-000000000000}"/>
  <bookViews>
    <workbookView xWindow="0" yWindow="0" windowWidth="22380" windowHeight="8235" tabRatio="807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 localSheetId="12">#REF!</definedName>
    <definedName name="_xlnm.Print_Area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>#REF!</definedName>
    <definedName name="MSTR.BANDA_PARA_CONSEJO_PROCESOS" localSheetId="12">#REF!</definedName>
    <definedName name="MSTR.BANDA_PARA_CONSEJO_PROCESOS">#REF!</definedName>
    <definedName name="MSTR.BANDA_PARA_CONSEJO_PROCESOS1" localSheetId="12">#REF!</definedName>
    <definedName name="MSTR.BANDA_PARA_CONSEJO_PROCESOS1">#REF!</definedName>
    <definedName name="MSTR.BANDA_PARA_CONSEJO_PROCESOS10" localSheetId="12">#REF!</definedName>
    <definedName name="MSTR.BANDA_PARA_CONSEJO_PROCESOS10">#REF!</definedName>
    <definedName name="MSTR.BANDA_PARA_CONSEJO_PROCESOS2" localSheetId="12">#REF!</definedName>
    <definedName name="MSTR.BANDA_PARA_CONSEJO_PROCESOS2">#REF!</definedName>
    <definedName name="MSTR.BANDA_PARA_CONSEJO_PROCESOS3" localSheetId="12">#REF!</definedName>
    <definedName name="MSTR.BANDA_PARA_CONSEJO_PROCESOS3">#REF!</definedName>
    <definedName name="MSTR.BANDA_PARA_CONSEJO_PROCESOS4" localSheetId="12">#REF!</definedName>
    <definedName name="MSTR.BANDA_PARA_CONSEJO_PROCESOS4">#REF!</definedName>
    <definedName name="MSTR.BANDA_PARA_CONSEJO_PROCESOS5" localSheetId="12">#REF!</definedName>
    <definedName name="MSTR.BANDA_PARA_CONSEJO_PROCESOS5">#REF!</definedName>
    <definedName name="MSTR.BANDA_PARA_CONSEJO_PROCESOS6" localSheetId="12">#REF!</definedName>
    <definedName name="MSTR.BANDA_PARA_CONSEJO_PROCESOS6">#REF!</definedName>
    <definedName name="MSTR.BANDA_PARA_CONSEJO_PROCESOS7" localSheetId="12">#REF!</definedName>
    <definedName name="MSTR.BANDA_PARA_CONSEJO_PROCESOS7">#REF!</definedName>
    <definedName name="MSTR.BANDA_PARA_CONSEJO_PROCESOS8" localSheetId="12">#REF!</definedName>
    <definedName name="MSTR.BANDA_PARA_CONSEJO_PROCESOS8">#REF!</definedName>
    <definedName name="MSTR.BANDA_PARA_CONSEJO_PROCESOS9" localSheetId="12">#REF!</definedName>
    <definedName name="MSTR.BANDA_PARA_CONSEJO_PROCESOS9">#REF!</definedName>
    <definedName name="MSTR.Emisiones_CO2">#REF!</definedName>
    <definedName name="MSTR.Liquidación_por_Segmentos" localSheetId="12">#REF!</definedName>
    <definedName name="MSTR.Liquidación_por_Segmentos">#REF!</definedName>
    <definedName name="MSTR.Liquidación_por_Segmentos1" localSheetId="12">#REF!</definedName>
    <definedName name="MSTR.Liquidación_por_Segmentos1">#REF!</definedName>
    <definedName name="MSTR.Liquidación_por_Segmentos10" localSheetId="12">#REF!</definedName>
    <definedName name="MSTR.Liquidación_por_Segmentos10">#REF!</definedName>
    <definedName name="MSTR.Liquidación_por_Segmentos11" localSheetId="12">#REF!</definedName>
    <definedName name="MSTR.Liquidación_por_Segmentos11">#REF!</definedName>
    <definedName name="MSTR.Liquidación_por_Segmentos2" localSheetId="12">#REF!</definedName>
    <definedName name="MSTR.Liquidación_por_Segmentos2">#REF!</definedName>
    <definedName name="MSTR.Liquidación_por_Segmentos3" localSheetId="12">#REF!</definedName>
    <definedName name="MSTR.Liquidación_por_Segmentos3">#REF!</definedName>
    <definedName name="MSTR.Liquidación_por_Segmentos4" localSheetId="12">#REF!</definedName>
    <definedName name="MSTR.Liquidación_por_Segmentos4">#REF!</definedName>
    <definedName name="MSTR.Liquidación_por_Segmentos5" localSheetId="12">#REF!</definedName>
    <definedName name="MSTR.Liquidación_por_Segmentos5">#REF!</definedName>
    <definedName name="MSTR.Liquidación_por_Segmentos6" localSheetId="12">#REF!</definedName>
    <definedName name="MSTR.Liquidación_por_Segmentos6">#REF!</definedName>
    <definedName name="MSTR.Liquidación_por_Segmentos7" localSheetId="12">#REF!</definedName>
    <definedName name="MSTR.Liquidación_por_Segmentos7">#REF!</definedName>
    <definedName name="MSTR.Liquidación_por_Segmentos8" localSheetId="12">#REF!</definedName>
    <definedName name="MSTR.Liquidación_por_Segmentos8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OFFSET(Dat_02!$E$3,0,0,COUNT(Dat_02!$E$3:$E$500),1)</definedName>
    <definedName name="Prod_Dia">OFFSET(Dat_02!$C$3,0,0,COUNT(Dat_02!$C$3:$C$500),1)</definedName>
    <definedName name="Prod_Inter" localSheetId="12">OFFSET(Dat_02!$H$3,0,0,COUNT(Dat_02!#REF!),1)</definedName>
    <definedName name="Prod_Inter">OFFSET(Dat_02!$H$3,0,0,COUNT(Dat_02!#REF!),1)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5" i="44" l="1"/>
  <c r="M21" i="44"/>
  <c r="E19" i="40" l="1"/>
  <c r="E18" i="40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V220" i="44"/>
  <c r="G290" i="47" l="1"/>
  <c r="G200" i="47"/>
  <c r="G17" i="47"/>
  <c r="G351" i="47"/>
  <c r="G139" i="47"/>
  <c r="G47" i="47"/>
  <c r="V180" i="44" l="1"/>
  <c r="W180" i="44"/>
  <c r="D3" i="57"/>
  <c r="F399" i="47"/>
  <c r="F398" i="47"/>
  <c r="F397" i="47"/>
  <c r="E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G382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F365" i="47"/>
  <c r="E365" i="47"/>
  <c r="F364" i="47"/>
  <c r="E364" i="47"/>
  <c r="F363" i="47"/>
  <c r="E363" i="47"/>
  <c r="F362" i="47"/>
  <c r="E362" i="47"/>
  <c r="F361" i="47"/>
  <c r="E361" i="47"/>
  <c r="F360" i="47"/>
  <c r="E360" i="47"/>
  <c r="F359" i="47"/>
  <c r="E359" i="47"/>
  <c r="F358" i="47"/>
  <c r="E358" i="47"/>
  <c r="F357" i="47"/>
  <c r="E357" i="47"/>
  <c r="F356" i="47"/>
  <c r="E356" i="47"/>
  <c r="F355" i="47"/>
  <c r="E355" i="47"/>
  <c r="F354" i="47"/>
  <c r="E354" i="47"/>
  <c r="F353" i="47"/>
  <c r="E353" i="47"/>
  <c r="F352" i="47"/>
  <c r="E352" i="47"/>
  <c r="F351" i="47"/>
  <c r="E351" i="47"/>
  <c r="F350" i="47"/>
  <c r="E350" i="47"/>
  <c r="F349" i="47"/>
  <c r="E349" i="47"/>
  <c r="F348" i="47"/>
  <c r="E348" i="47"/>
  <c r="F347" i="47"/>
  <c r="E347" i="47"/>
  <c r="F346" i="47"/>
  <c r="E346" i="47"/>
  <c r="F345" i="47"/>
  <c r="E345" i="47"/>
  <c r="F344" i="47"/>
  <c r="E344" i="47"/>
  <c r="F343" i="47"/>
  <c r="E343" i="47"/>
  <c r="F342" i="47"/>
  <c r="E342" i="47"/>
  <c r="F341" i="47"/>
  <c r="E341" i="47"/>
  <c r="F340" i="47"/>
  <c r="E340" i="47"/>
  <c r="F339" i="47"/>
  <c r="E339" i="47"/>
  <c r="F338" i="47"/>
  <c r="E338" i="47"/>
  <c r="F337" i="47"/>
  <c r="E337" i="47"/>
  <c r="F336" i="47"/>
  <c r="E336" i="47"/>
  <c r="F335" i="47"/>
  <c r="E335" i="47"/>
  <c r="F334" i="47"/>
  <c r="E334" i="47"/>
  <c r="F333" i="47"/>
  <c r="E333" i="47"/>
  <c r="F332" i="47"/>
  <c r="E332" i="47"/>
  <c r="F331" i="47"/>
  <c r="E331" i="47"/>
  <c r="F330" i="47"/>
  <c r="E330" i="47"/>
  <c r="F329" i="47"/>
  <c r="E329" i="47"/>
  <c r="F328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G321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F291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G262" i="47"/>
  <c r="F262" i="47"/>
  <c r="E262" i="47"/>
  <c r="F261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G231" i="47"/>
  <c r="F231" i="47"/>
  <c r="E231" i="47"/>
  <c r="F230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F200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G170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F139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G109" i="47"/>
  <c r="F109" i="47"/>
  <c r="E109" i="47"/>
  <c r="F108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G78" i="47"/>
  <c r="F78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F47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F17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E3" i="47"/>
  <c r="K22" i="6" l="1"/>
  <c r="I22" i="6"/>
  <c r="G22" i="6"/>
  <c r="K15" i="6"/>
  <c r="I15" i="6"/>
  <c r="G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5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33" i="44" l="1"/>
  <c r="B44" i="44"/>
  <c r="B43" i="44"/>
  <c r="B42" i="44"/>
  <c r="B41" i="44"/>
  <c r="B40" i="44"/>
  <c r="B39" i="44"/>
  <c r="B38" i="44"/>
  <c r="B37" i="44"/>
  <c r="B36" i="44"/>
  <c r="B35" i="44"/>
  <c r="B34" i="44"/>
  <c r="D45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F400" i="47"/>
  <c r="E400" i="47"/>
  <c r="F70" i="43" l="1"/>
  <c r="V181" i="44" l="1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21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 l="1"/>
  <c r="V245" i="44"/>
  <c r="V246" i="44"/>
  <c r="V247" i="44"/>
  <c r="V248" i="44"/>
  <c r="V249" i="44"/>
  <c r="V250" i="44"/>
  <c r="V251" i="44"/>
  <c r="W208" i="44"/>
  <c r="W209" i="44"/>
  <c r="W210" i="44"/>
  <c r="V208" i="44"/>
  <c r="V209" i="44"/>
  <c r="V210" i="44"/>
  <c r="I76" i="43" l="1"/>
  <c r="K75" i="43" l="1"/>
  <c r="K74" i="43"/>
  <c r="K73" i="43"/>
  <c r="K72" i="43"/>
  <c r="K71" i="43"/>
  <c r="K70" i="43"/>
  <c r="F7" i="15" l="1"/>
  <c r="I53" i="43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H105" i="44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F76" i="43" l="1"/>
  <c r="H76" i="43"/>
  <c r="J70" i="43"/>
  <c r="K76" i="43"/>
  <c r="J76" i="43" s="1"/>
  <c r="I5" i="49" l="1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M125" i="48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6" i="48"/>
  <c r="J140" i="44"/>
  <c r="K157" i="44"/>
  <c r="I141" i="44"/>
  <c r="K154" i="44"/>
  <c r="L82" i="48" s="1"/>
  <c r="K156" i="44"/>
  <c r="M121" i="48" l="1"/>
  <c r="M122" i="48" s="1"/>
  <c r="K68" i="48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C9" i="48"/>
  <c r="H15" i="6"/>
  <c r="E3" i="40"/>
  <c r="H22" i="6" l="1"/>
  <c r="J15" i="6"/>
  <c r="F15" i="6"/>
  <c r="J22" i="6"/>
  <c r="F22" i="6"/>
  <c r="C33" i="44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G8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E3" i="10"/>
  <c r="E3" i="14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<sst xmlns="http://schemas.openxmlformats.org/spreadsheetml/2006/main" count="2691" uniqueCount="621">
  <si>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</si>
  <si>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</si>
  <si>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</si>
  <si>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</si>
  <si>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</si>
  <si>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</si>
  <si>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</si>
  <si>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</si>
  <si>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</si>
  <si>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</si>
  <si>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</si>
  <si>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</si>
  <si>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</si>
  <si>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</si>
  <si>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</si>
  <si>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</si>
  <si>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</si>
  <si>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</si>
  <si>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</si>
  <si>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</si>
  <si>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</si>
  <si>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</si>
  <si>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</si>
  <si>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</si>
  <si>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</si>
  <si>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</si>
  <si>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</si>
  <si>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</si>
  <si>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</si>
  <si>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</si>
  <si>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</si>
  <si>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</si>
  <si>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</si>
  <si>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</si>
  <si>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</si>
  <si>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</si>
  <si>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</si>
  <si>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</si>
  <si>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</si>
  <si>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</si>
  <si>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</si>
  <si>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</si>
  <si>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</si>
  <si>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</si>
  <si>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</si>
  <si>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</si>
  <si>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</si>
  <si>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</si>
  <si>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</si>
  <si>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</si>
  <si>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</si>
  <si>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</si>
  <si>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</si>
  <si>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</si>
  <si>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</si>
  <si>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</si>
  <si>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</si>
  <si>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</si>
  <si>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</si>
  <si>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</si>
  <si>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</si>
  <si>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</si>
  <si>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</si>
  <si>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</si>
  <si>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</si>
  <si>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</si>
  <si>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</si>
  <si>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</si>
  <si>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</si>
  <si>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</si>
  <si>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</si>
  <si>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</si>
  <si>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</si>
  <si>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</si>
  <si>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</si>
  <si>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</si>
  <si>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</si>
  <si>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</si>
  <si>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</si>
  <si>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</si>
  <si>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</si>
  <si>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</si>
  <si>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</si>
  <si>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</si>
  <si>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</si>
  <si>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</si>
  <si>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</si>
  <si>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</si>
  <si>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</si>
  <si>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</si>
  <si>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</si>
  <si>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</si>
  <si>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</si>
  <si>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</si>
  <si>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</si>
  <si>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</si>
  <si>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</si>
  <si>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</si>
  <si>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</si>
  <si>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</si>
  <si>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</si>
  <si>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</si>
  <si>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</si>
  <si>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</si>
  <si>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</si>
  <si>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</si>
  <si>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</si>
  <si>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</si>
  <si>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</si>
  <si>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</si>
  <si>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</si>
  <si>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</si>
  <si>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</si>
  <si>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</si>
  <si>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Potencia UFI (MW)</t>
  </si>
  <si>
    <t>Demanda B.C. (GWh)</t>
  </si>
  <si>
    <t>Balance Máx.Renov.Mes</t>
  </si>
  <si>
    <t>Balance Máx.Renov.Histórico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</si>
  <si>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</si>
  <si>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</si>
  <si>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</si>
  <si>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</si>
  <si>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</si>
  <si>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</si>
  <si>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</si>
  <si>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</si>
  <si>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</si>
  <si>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</si>
  <si>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</si>
  <si>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</si>
  <si>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</si>
  <si>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</si>
  <si>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</si>
  <si>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</si>
  <si>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</si>
  <si>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</si>
  <si>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Abril 2018</t>
  </si>
  <si>
    <t>Marzo 2018</t>
  </si>
  <si>
    <t>20/03/2018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</si>
  <si>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</si>
  <si>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</si>
  <si>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</si>
  <si>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</si>
  <si>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</si>
  <si>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</si>
  <si>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</si>
  <si>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</si>
  <si>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</si>
  <si>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</si>
  <si>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</si>
  <si>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</si>
  <si>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</si>
  <si>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</si>
  <si>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</si>
  <si>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</si>
  <si>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</si>
  <si>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</si>
  <si>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</si>
  <si>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</si>
  <si>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</si>
  <si>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</si>
  <si>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</si>
  <si>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</si>
  <si>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</si>
  <si>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</si>
  <si>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</si>
  <si>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</si>
  <si>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</si>
  <si>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</si>
  <si>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</si>
  <si>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</si>
  <si>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</si>
  <si>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</si>
  <si>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</si>
  <si>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</si>
  <si>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</si>
  <si>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</si>
  <si>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</si>
  <si>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</si>
  <si>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</si>
  <si>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</si>
  <si>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</si>
  <si>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</si>
  <si>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</si>
  <si>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</si>
  <si>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</si>
  <si>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</si>
  <si>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</si>
  <si>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</si>
  <si>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</si>
  <si>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</si>
  <si>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</si>
  <si>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</si>
  <si>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</si>
  <si>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</si>
  <si>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</si>
  <si>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</si>
  <si>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</si>
  <si>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</si>
  <si>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</si>
  <si>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</si>
  <si>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</si>
  <si>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</si>
  <si>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</si>
  <si>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</si>
  <si>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</si>
  <si>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</si>
  <si>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</si>
  <si>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</si>
  <si>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</si>
  <si>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</si>
  <si>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</si>
  <si>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</si>
  <si>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</si>
  <si>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</si>
  <si>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</si>
  <si>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</si>
  <si>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</si>
  <si>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</si>
  <si>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</si>
  <si>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</si>
  <si>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</si>
  <si>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</si>
  <si>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</si>
  <si>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</si>
  <si>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</si>
  <si>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</si>
  <si>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</si>
  <si>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</si>
  <si>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</si>
  <si>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</si>
  <si>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</si>
  <si>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</si>
  <si>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</si>
  <si>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</si>
  <si>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</si>
  <si>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</si>
  <si>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</si>
  <si>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</si>
  <si>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</si>
  <si>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</si>
  <si>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</si>
  <si>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</si>
  <si>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</si>
  <si>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</si>
  <si>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</si>
  <si>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</si>
  <si>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</si>
  <si>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</si>
  <si>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</si>
  <si>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</si>
  <si>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</si>
  <si>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</si>
  <si>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</si>
  <si>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</si>
  <si>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</si>
  <si>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</si>
  <si>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</si>
  <si>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</si>
  <si>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</si>
  <si>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</si>
  <si>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</si>
  <si>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</si>
  <si>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</si>
  <si>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</si>
  <si>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</si>
  <si>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</si>
  <si>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</si>
  <si>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</si>
  <si>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</si>
  <si>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</si>
  <si>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</si>
  <si>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</si>
  <si>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</si>
  <si>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</si>
  <si>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</si>
  <si>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</si>
  <si>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</si>
  <si>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</si>
  <si>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</si>
  <si>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</si>
  <si>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</si>
  <si>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</si>
  <si>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</si>
  <si>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</si>
  <si>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</si>
  <si>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</si>
  <si>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</si>
  <si>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</si>
  <si>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</si>
  <si>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</si>
  <si>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</si>
  <si>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</si>
  <si>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</si>
  <si>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</si>
  <si>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</si>
  <si>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</si>
  <si>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</si>
  <si>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</si>
  <si>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</si>
  <si>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</si>
  <si>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</si>
  <si>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</si>
  <si>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</si>
  <si>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</si>
  <si>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</si>
  <si>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</si>
  <si>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</si>
  <si>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</si>
  <si>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</si>
  <si>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</si>
  <si>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</si>
  <si>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</si>
  <si>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</si>
  <si>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</si>
  <si>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</si>
  <si>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</si>
  <si>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</si>
  <si>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</si>
  <si>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</si>
  <si>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</si>
  <si>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</si>
  <si>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</si>
  <si>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</si>
  <si>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</si>
  <si>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</si>
  <si>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</si>
  <si>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</si>
  <si>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</si>
  <si>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</si>
  <si>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</si>
  <si>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</si>
  <si>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</si>
  <si>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</si>
  <si>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</si>
  <si>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</si>
  <si>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</si>
  <si>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</si>
  <si>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</si>
  <si>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</si>
  <si>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</si>
  <si>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</si>
  <si>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</si>
  <si>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</si>
  <si>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</si>
  <si>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</si>
  <si>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</si>
  <si>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</si>
  <si>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</si>
  <si>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</si>
  <si>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</si>
  <si>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</si>
  <si>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</si>
  <si>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</si>
  <si>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</si>
  <si>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</si>
  <si>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</si>
  <si>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</si>
  <si>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</si>
  <si>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</si>
  <si>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</si>
  <si>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</si>
  <si>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</si>
  <si>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</si>
  <si>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</si>
  <si>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</si>
  <si>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</si>
  <si>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</si>
  <si>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</si>
  <si>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</si>
  <si>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</si>
  <si>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</si>
  <si>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</si>
  <si>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</si>
  <si>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</si>
  <si>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</si>
  <si>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</si>
  <si>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</si>
  <si>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</si>
  <si>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</si>
  <si>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</si>
  <si>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</si>
  <si>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</si>
  <si>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</si>
  <si>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</si>
  <si>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</si>
  <si>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</si>
  <si>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</si>
  <si>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</si>
  <si>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</si>
  <si>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</si>
  <si>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</si>
  <si>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</si>
  <si>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</si>
  <si>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</si>
  <si>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</si>
  <si>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</si>
  <si>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</si>
  <si>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</si>
  <si>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</si>
  <si>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</si>
  <si>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</si>
  <si>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</si>
  <si>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</si>
  <si>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</si>
  <si>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</si>
  <si>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</si>
  <si>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</si>
  <si>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</si>
  <si>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</si>
  <si>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</si>
  <si>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</si>
  <si>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</si>
  <si>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</si>
  <si>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</si>
  <si>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</si>
  <si>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</si>
  <si>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</si>
  <si>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</si>
  <si>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</si>
  <si>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</si>
  <si>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</si>
  <si>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</si>
  <si>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</si>
  <si>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</si>
  <si>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</si>
  <si>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</si>
  <si>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</si>
  <si>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</si>
  <si>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</si>
  <si>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</si>
  <si>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</si>
  <si>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</si>
  <si>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</si>
  <si>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</si>
  <si>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</si>
  <si>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</si>
  <si>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</si>
  <si>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</si>
  <si>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</si>
  <si>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</si>
  <si>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</si>
  <si>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</si>
  <si>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</si>
  <si>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</si>
  <si>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</si>
  <si>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</si>
  <si>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</si>
  <si>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</si>
  <si>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</si>
  <si>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</si>
  <si>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</si>
  <si>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</si>
  <si>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</si>
  <si>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</si>
  <si>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</si>
  <si>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</si>
  <si>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</si>
  <si>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</si>
  <si>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</si>
  <si>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</si>
  <si>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</si>
  <si>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</si>
  <si>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</si>
  <si>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</si>
  <si>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</si>
  <si>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</si>
  <si>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</si>
  <si>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</si>
  <si>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</si>
  <si>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</si>
  <si>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</si>
  <si>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</si>
  <si>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</si>
  <si>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</si>
  <si>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</si>
  <si>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</si>
  <si>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</si>
  <si>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</si>
  <si>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</si>
  <si>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</si>
  <si>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</si>
  <si>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</si>
  <si>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</si>
  <si>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</si>
  <si>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</si>
  <si>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</si>
  <si>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</si>
  <si>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</si>
  <si>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</si>
  <si>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</si>
  <si>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</si>
  <si>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</si>
  <si>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</si>
  <si>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</si>
  <si>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</si>
  <si>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</si>
  <si>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</si>
  <si>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</si>
  <si>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</si>
  <si>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</si>
  <si>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</si>
  <si>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</si>
  <si>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</si>
  <si>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</si>
  <si>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</si>
  <si>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</si>
  <si>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</si>
  <si>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</si>
  <si>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</si>
  <si>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</si>
  <si>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</si>
  <si>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</si>
  <si>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</si>
  <si>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</si>
  <si>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</si>
  <si>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</si>
  <si>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</si>
  <si>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</si>
  <si>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</si>
  <si>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</si>
  <si>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</si>
  <si>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</si>
  <si>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</si>
  <si>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</si>
  <si>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</si>
  <si>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</si>
  <si>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</si>
  <si>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</si>
  <si>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</si>
  <si>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</si>
  <si>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</si>
  <si>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</si>
  <si>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</si>
  <si>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</si>
  <si>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</si>
  <si>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</si>
  <si>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</si>
  <si>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</si>
  <si>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</si>
  <si>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</si>
  <si>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</si>
  <si>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</si>
  <si>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</si>
  <si>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</si>
  <si>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</si>
  <si>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</si>
  <si>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</si>
  <si>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</si>
  <si>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</si>
  <si>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</si>
  <si>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</si>
  <si>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</si>
  <si>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</si>
  <si>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</si>
  <si>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</si>
  <si>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</si>
  <si>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</si>
  <si>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</si>
  <si>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</si>
  <si>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</si>
  <si>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</si>
  <si>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</si>
  <si>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</si>
  <si>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</si>
  <si>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</si>
  <si>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</si>
  <si>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</si>
  <si>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</si>
  <si>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</si>
  <si>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</si>
  <si>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</si>
  <si>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</si>
  <si>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</si>
  <si>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</si>
  <si>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</si>
  <si>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</si>
  <si>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</si>
  <si>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</si>
  <si>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</si>
  <si>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</si>
  <si>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</si>
  <si>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</si>
  <si>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</si>
  <si>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</si>
  <si>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</si>
  <si>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</si>
  <si>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</si>
  <si>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</si>
  <si>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</si>
  <si>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</si>
  <si>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</si>
  <si>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</si>
  <si>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</si>
  <si>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</si>
  <si>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</si>
  <si>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</si>
  <si>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</si>
  <si>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</si>
  <si>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</si>
  <si>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</si>
  <si>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Junio 2019</t>
  </si>
  <si>
    <t>Mes Año anterior (MWh)</t>
  </si>
  <si>
    <t>Año móvil Año anterior (MWh)</t>
  </si>
  <si>
    <t>07/06/2019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</si>
  <si>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ut="07/10/2019 09:53:06"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msgID="78C7483D11E9A2F80EA50080EF2504F0"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nrr="466" nrc="26"&gt;&lt;pg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</si>
  <si>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ut="07/10/2019 09:53:10"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msgID="78A6492111E9A2F80EA50080EFB523EF"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nrr="500" nrc="675"&gt;&lt;pg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</si>
  <si>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05/06/2019</t>
  </si>
  <si>
    <t>30/06/2019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</si>
  <si>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ut="07/10/2019 09:53:29"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msgID="787C386A11E9A2F80EA50080EFA503EF"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nrr="518" nrc="28"&gt;&lt;pg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</si>
  <si>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ut="07/10/2019 09:53:34"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msgID="78A4D7FD11E9A2F80EA50080EF4543EE"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</si>
  <si>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aid="EFAF5E76465120E133A58886DF2D2741" /&gt;&lt;pan pk="86BA8826468B4BC44041DF8DC3E31322@0@10" aid="" /&gt;&lt;/ans&gt;&lt;ci ps="BI" srv="apcpr64b" prj="BDEbi" prjid="D066E1C611E6257C10D00080EF253B44" li="FUEPERRO" am="s" /&gt;&lt;lu ut="07/10/2019 09:53:58" si="2.00000001c19222d97e410dbdc2efef216b3c4da103ef7319a1c815a3ced2e69e34202bd955cf1229c22b68cd037184db52f9d328120add74f5a3030a83d2f2fd8caa14556f9978e4cae6dfcc0538e3b33b38176e7d4d475b8ccb29a56acde9076ba073b5b8abb474f30525195caae2711e124b56e3f18ff07ec54154699bfff45c51.3082.0.1.Europe/Madrid.upriv*_1*_pidn2*_22*_session*-lat*_1.00000001031e47f07777079e71ad2cf254d81933b5ee3e72f7b8482f863df78e46c05f7d87bf8aa443b1489714a4fbedf9cc13be093e04a9.000000012b7f59636fbe3a03f58feae0007439bfb5ee3e729173f468df1c75131f679c25ffe6702455b870d51c0644e7b1624728043db307.0.1.1.BDEbi.D066E1C611E6257C10D00080EF253B44.0-3082.1.1_-0.1.0_-3082.1.1_5.5.0.*0.0000000102a1df0f740d229dbd68016de3a00ae3c911585ad311e018d4bc8ead399c20f142fd67e5.0.10*.25*.15*.214.23.10*.4*.0400*.0074J.e.00000001a9e8e5d261618de74e09be71b77b9426c911585a6be5416345aeec00a2a164b303053373.0" msgID="85CF8D0B11E9A2F80EA50080EFF5A4F0"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nrr="32" nrc="39"&gt;&lt;pg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</si>
  <si>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ut="07/10/2019 09:54:02"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msgID="87DD301611E9A2F80EA50080EF05C4F0"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nrr="831" nrc="526"&gt;&lt;pg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</si>
  <si>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ut="07/10/2019 09:54:33"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msgID="95DB8C6C11E9A2F80EA50080EF4545F2"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nrr="729" nrc="573"&gt;&lt;pg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</si>
  <si>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ut="07/10/2019 09:54:37"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msgID="A41A6A0111E9A2F80EA50080EF75A5F3"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enr="MSTR.Balance_Potencia_Mensual" ptn="" qtn="" rows="20" cols="2" /&gt;&lt;esdo ews="" ece="" ptn="" /&gt;&lt;/excel&gt;&lt;pgs&gt;&lt;pg rows="16" cols="1" nrr="538" nrc="58"&gt;&lt;pg /&gt;&lt;bls&gt;&lt;bl sr="1" sc="1" rfetch="16" cfetch="1" posid="1" darows="0" dacols="1"&gt;&lt;excel&gt;&lt;epo ews="Dat_01" ece="L4"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</si>
  <si>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ut="07/10/2019 09:54:47" si="2.00000001c19222d97e410dbdc2efef216b3c4da103ef7319a1c815a3ced2e69e34202bd955cf1229c22b68cd037184db52f9d328120add74f5a3030a83d2f2fd8caa14556f9978e4cae6dfcc0538e3b33b38176e7d4d475b8ccb29a56acde9076ba073b5b8abb474f30525195caae2711e124b56e3f18ff07ec54154699bfff45c51.3082.0.1.Europe/Madrid.upriv*_1*_pidn2*_22*_session*-lat*_1.00000001031e47f07777079e71ad2cf254d81933b5ee3e72f7b8482f863df78e46c05f7d87bf8aa443b1489714a4fbedf9cc13be093e04a9.000000012b7f59636fbe3a03f58feae0007439bfb5ee3e729173f468df1c75131f679c25ffe6702455b870d51c0644e7b1624728043db307.0.1.1.BDEbi.D066E1C611E6257C10D00080EF253B44.0-3082.1.1_-0.1.0_-3082.1.1_5.5.0.*0.0000000102a1df0f740d229dbd68016de3a00ae3c911585ad311e018d4bc8ead399c20f142fd67e5.0.10*.25*.15*.214.23.10*.4*.0400*.0074J.e.00000001a9e8e5d261618de74e09be71b77b9426c911585a6be5416345aeec00a2a164b303053373.0" msgID="9173A15A11E9A2F80EA50080EF3524F0"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nrr="46" nrc="90"&gt;&lt;pg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</si>
  <si>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ut="07/10/2019 09:55:51" si="2.000000016111bf5a4727192b5aa2403d6b8175a571e3319328699e64ab979d34bd30a74166e871a630947b9e79e01b95875221dbc4f3e137dea063ca638fad408cd96f8fd0057ba23575b701bb306d37aca5eb27d32c45ab55ef27d3443df53b02027b55098b42127063fa26ef12dc3c4995f8cb3c4c2b6201a53e41fde40b508903.3082.0.1.Europe/Madrid.upriv*_1*_pidn2*_9*_session*-lat*_1.000000017a50849c983995b62890ec80b516bf8eb5ee3e72c0d319ab7dbdbd45abf249ce531fd409209dbbedf59a5afb5aef3ffe34e055f6.00000001d72ad06bcbb501136b43be375048d66fb5ee3e72b1b7afd9d73b289b7e403514ae8e9f8c4ae7af3e75abbc532eb1c9ef63db8740.0.1.1.BDEbi.D066E1C611E6257C10D00080EF253B44.0-3082.1.1_-0.1.0_-3082.1.1_5.5.0.*0.000000014f4682a0926203d57b5025041e8fd616c911585a7b5e24b6cd1c71d133bbdb3408018780.0.10*.25*.15*.214.23.10*.4*.0400*.0074J.e.0000000174ff771247d5c2453e4d59ffeed3c760c911585ab5477c64bc056921db05111b949efc4d.0" msgID="934D688111E9A2F80EA50080EFF5A5F2"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nrr="558" nrc="186"&gt;&lt;pg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</si>
  <si>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05c02ccb1da848999b3ddb7da47b08b2</t>
  </si>
  <si>
    <t>Jueves 06/06/2019 (19:24 h)</t>
  </si>
  <si>
    <t>Viernes 07/06/2019 (02:15 h)</t>
  </si>
  <si>
    <t>Reservas hidroelectricas a 30 de Junio de 2019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</si>
</sst>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  <numFmt numFmtId="179" formatCode="#,##0.000;\(#,##0.000\)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  <font>
      <b/>
      <sz val="8"/>
      <color rgb="FF25396E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3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9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3" fillId="4" borderId="13">
      <alignment horizontal="right" vertical="center"/>
    </xf>
    <xf numFmtId="166" fontId="44" fillId="5" borderId="13">
      <alignment horizontal="right" vertical="center"/>
    </xf>
    <xf numFmtId="164" fontId="45" fillId="6" borderId="13">
      <alignment vertical="center" wrapText="1"/>
    </xf>
    <xf numFmtId="10" fontId="44" fillId="5" borderId="13">
      <alignment horizontal="right" vertical="center"/>
    </xf>
    <xf numFmtId="166" fontId="46" fillId="4" borderId="13">
      <alignment horizontal="right" vertical="center"/>
    </xf>
    <xf numFmtId="10" fontId="46" fillId="4" borderId="13">
      <alignment horizontal="right" vertical="center"/>
    </xf>
    <xf numFmtId="164" fontId="47" fillId="4" borderId="13">
      <alignment horizontal="left" vertical="center" wrapText="1"/>
    </xf>
    <xf numFmtId="164" fontId="45" fillId="6" borderId="13">
      <alignment horizontal="center" vertical="center" wrapText="1"/>
    </xf>
    <xf numFmtId="164" fontId="48" fillId="5" borderId="13">
      <alignment horizontal="left" vertical="center" wrapText="1"/>
    </xf>
    <xf numFmtId="164" fontId="49" fillId="7" borderId="16"/>
    <xf numFmtId="164" fontId="45" fillId="6" borderId="13">
      <alignment horizontal="center" wrapText="1"/>
    </xf>
    <xf numFmtId="164" fontId="45" fillId="6" borderId="16">
      <alignment vertical="center" wrapText="1"/>
    </xf>
    <xf numFmtId="166" fontId="51" fillId="4" borderId="13">
      <alignment horizontal="right" vertical="center"/>
    </xf>
    <xf numFmtId="166" fontId="52" fillId="4" borderId="13">
      <alignment horizontal="right" vertical="center"/>
    </xf>
    <xf numFmtId="164" fontId="45" fillId="5" borderId="13">
      <alignment horizontal="center" wrapText="1"/>
    </xf>
    <xf numFmtId="164" fontId="47" fillId="4" borderId="16">
      <alignment horizontal="left" vertical="center" wrapText="1"/>
    </xf>
    <xf numFmtId="167" fontId="46" fillId="4" borderId="13">
      <alignment horizontal="right" vertical="center"/>
    </xf>
    <xf numFmtId="167" fontId="44" fillId="5" borderId="13">
      <alignment horizontal="right" vertical="center"/>
    </xf>
    <xf numFmtId="0" fontId="6" fillId="0" borderId="0"/>
    <xf numFmtId="0" fontId="6" fillId="0" borderId="0"/>
    <xf numFmtId="0" fontId="6" fillId="0" borderId="0"/>
    <xf numFmtId="179" fontId="16" fillId="4" borderId="13">
      <alignment horizontal="right" vertical="center"/>
    </xf>
    <xf numFmtId="179" fontId="65" fillId="13" borderId="13">
      <alignment horizontal="right" vertical="center"/>
    </xf>
    <xf numFmtId="164" fontId="65" fillId="13" borderId="13">
      <alignment horizontal="left" vertical="center"/>
    </xf>
  </cellStyleXfs>
  <cellXfs count="319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5" fillId="0" borderId="0" xfId="11" applyNumberFormat="1" applyFont="1" applyFill="1"/>
    <xf numFmtId="169" fontId="25" fillId="0" borderId="0" xfId="11" applyNumberFormat="1" applyFont="1" applyFill="1"/>
    <xf numFmtId="170" fontId="25" fillId="0" borderId="0" xfId="11" applyNumberFormat="1" applyFont="1" applyFill="1"/>
    <xf numFmtId="0" fontId="25" fillId="0" borderId="0" xfId="11" applyFont="1" applyFill="1" applyBorder="1" applyAlignment="1">
      <alignment horizontal="right"/>
    </xf>
    <xf numFmtId="171" fontId="25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6" fillId="0" borderId="0" xfId="12" applyFont="1" applyFill="1" applyBorder="1" applyAlignment="1" applyProtection="1">
      <alignment horizontal="left" vertical="top" wrapText="1"/>
    </xf>
    <xf numFmtId="0" fontId="27" fillId="0" borderId="0" xfId="11" applyFont="1"/>
    <xf numFmtId="170" fontId="27" fillId="0" borderId="0" xfId="11" applyNumberFormat="1" applyFont="1"/>
    <xf numFmtId="170" fontId="27" fillId="0" borderId="0" xfId="11" applyNumberFormat="1" applyFont="1" applyBorder="1"/>
    <xf numFmtId="174" fontId="27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29" fillId="0" borderId="0" xfId="8" applyFont="1" applyFill="1" applyBorder="1" applyProtection="1"/>
    <xf numFmtId="0" fontId="30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0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0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1" fillId="0" borderId="0" xfId="8" applyFont="1" applyFill="1" applyProtection="1"/>
    <xf numFmtId="1" fontId="31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3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Protection="1"/>
    <xf numFmtId="3" fontId="33" fillId="2" borderId="2" xfId="4" applyNumberFormat="1" applyFont="1" applyFill="1" applyBorder="1" applyAlignment="1" applyProtection="1">
      <alignment horizontal="right" indent="1"/>
    </xf>
    <xf numFmtId="166" fontId="33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3" fillId="2" borderId="3" xfId="4" applyNumberFormat="1" applyFont="1" applyFill="1" applyBorder="1" applyProtection="1"/>
    <xf numFmtId="3" fontId="33" fillId="2" borderId="4" xfId="4" applyNumberFormat="1" applyFont="1" applyFill="1" applyBorder="1" applyAlignment="1" applyProtection="1">
      <alignment horizontal="right" indent="1"/>
    </xf>
    <xf numFmtId="166" fontId="33" fillId="2" borderId="4" xfId="4" applyNumberFormat="1" applyFont="1" applyFill="1" applyBorder="1" applyAlignment="1" applyProtection="1">
      <alignment horizontal="right" indent="1"/>
    </xf>
    <xf numFmtId="164" fontId="36" fillId="0" borderId="0" xfId="0" applyFont="1" applyFill="1" applyBorder="1" applyAlignment="1" applyProtection="1"/>
    <xf numFmtId="0" fontId="36" fillId="0" borderId="0" xfId="1" applyFont="1" applyFill="1" applyAlignment="1" applyProtection="1">
      <alignment horizontal="right"/>
    </xf>
    <xf numFmtId="164" fontId="36" fillId="0" borderId="0" xfId="0" quotePrefix="1" applyFont="1" applyFill="1" applyAlignment="1" applyProtection="1">
      <alignment horizontal="right"/>
    </xf>
    <xf numFmtId="164" fontId="33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3" fillId="2" borderId="6" xfId="0" applyFont="1" applyFill="1" applyBorder="1" applyAlignment="1">
      <alignment horizontal="left"/>
    </xf>
    <xf numFmtId="166" fontId="33" fillId="2" borderId="6" xfId="9" applyNumberFormat="1" applyFont="1" applyFill="1" applyBorder="1" applyAlignment="1" applyProtection="1">
      <alignment horizontal="right" indent="1"/>
    </xf>
    <xf numFmtId="164" fontId="36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3" fillId="2" borderId="0" xfId="10" applyNumberFormat="1" applyFont="1" applyFill="1" applyBorder="1" applyAlignment="1">
      <alignment vertical="center"/>
    </xf>
    <xf numFmtId="164" fontId="33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3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3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3" fillId="2" borderId="0" xfId="0" applyFont="1" applyFill="1" applyProtection="1"/>
    <xf numFmtId="164" fontId="33" fillId="2" borderId="1" xfId="0" applyFont="1" applyFill="1" applyBorder="1" applyProtection="1"/>
    <xf numFmtId="164" fontId="33" fillId="2" borderId="1" xfId="0" applyFont="1" applyFill="1" applyBorder="1" applyAlignment="1" applyProtection="1">
      <alignment horizontal="right"/>
    </xf>
    <xf numFmtId="164" fontId="33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3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3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3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8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29" fillId="0" borderId="0" xfId="16" applyFont="1" applyFill="1" applyBorder="1" applyProtection="1"/>
    <xf numFmtId="0" fontId="30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0" fillId="2" borderId="0" xfId="16" applyFont="1" applyFill="1" applyBorder="1" applyAlignment="1" applyProtection="1">
      <alignment horizontal="left" indent="1"/>
    </xf>
    <xf numFmtId="0" fontId="38" fillId="2" borderId="0" xfId="16" applyFont="1" applyFill="1" applyBorder="1" applyAlignment="1" applyProtection="1">
      <alignment horizontal="right" vertical="center"/>
    </xf>
    <xf numFmtId="0" fontId="33" fillId="2" borderId="0" xfId="17" applyFont="1" applyFill="1" applyBorder="1" applyAlignment="1" applyProtection="1">
      <alignment horizontal="left"/>
    </xf>
    <xf numFmtId="0" fontId="40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3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3" fillId="2" borderId="1" xfId="13" applyNumberFormat="1" applyFont="1" applyFill="1" applyBorder="1" applyAlignment="1" applyProtection="1">
      <alignment horizontal="right"/>
    </xf>
    <xf numFmtId="0" fontId="33" fillId="0" borderId="5" xfId="11" applyFont="1" applyFill="1" applyBorder="1" applyAlignment="1">
      <alignment horizontal="center"/>
    </xf>
    <xf numFmtId="0" fontId="33" fillId="0" borderId="5" xfId="11" applyFont="1" applyFill="1" applyBorder="1" applyAlignment="1">
      <alignment horizontal="right"/>
    </xf>
    <xf numFmtId="0" fontId="15" fillId="0" borderId="0" xfId="11" applyFont="1"/>
    <xf numFmtId="0" fontId="33" fillId="0" borderId="4" xfId="11" applyFont="1" applyFill="1" applyBorder="1" applyAlignment="1">
      <alignment horizontal="center"/>
    </xf>
    <xf numFmtId="0" fontId="33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2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3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45" fillId="6" borderId="13" xfId="21" applyAlignment="1">
      <alignment vertical="center"/>
    </xf>
    <xf numFmtId="164" fontId="45" fillId="6" borderId="13" xfId="26" quotePrefix="1" applyAlignment="1">
      <alignment horizontal="center" vertical="center"/>
    </xf>
    <xf numFmtId="164" fontId="45" fillId="6" borderId="13" xfId="26" applyAlignment="1">
      <alignment horizontal="center" vertical="center"/>
    </xf>
    <xf numFmtId="164" fontId="47" fillId="4" borderId="13" xfId="25" quotePrefix="1" applyAlignment="1">
      <alignment horizontal="left" vertical="center"/>
    </xf>
    <xf numFmtId="166" fontId="46" fillId="4" borderId="13" xfId="23" applyAlignment="1">
      <alignment horizontal="right" vertical="center"/>
    </xf>
    <xf numFmtId="10" fontId="46" fillId="4" borderId="13" xfId="24" applyAlignment="1">
      <alignment horizontal="right" vertical="center"/>
    </xf>
    <xf numFmtId="164" fontId="48" fillId="5" borderId="13" xfId="27" quotePrefix="1" applyAlignment="1">
      <alignment horizontal="left" vertical="center"/>
    </xf>
    <xf numFmtId="166" fontId="44" fillId="5" borderId="13" xfId="20" applyAlignment="1">
      <alignment horizontal="right" vertical="center"/>
    </xf>
    <xf numFmtId="10" fontId="44" fillId="5" borderId="13" xfId="22" applyAlignment="1">
      <alignment horizontal="right" vertical="center"/>
    </xf>
    <xf numFmtId="164" fontId="45" fillId="6" borderId="16" xfId="30" applyAlignment="1">
      <alignment vertical="center"/>
    </xf>
    <xf numFmtId="166" fontId="50" fillId="0" borderId="0" xfId="4" applyNumberFormat="1" applyFont="1" applyFill="1" applyBorder="1" applyProtection="1"/>
    <xf numFmtId="176" fontId="50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3" fillId="0" borderId="0" xfId="6" applyFont="1" applyFill="1" applyBorder="1" applyProtection="1"/>
    <xf numFmtId="164" fontId="54" fillId="0" borderId="0" xfId="0" applyFont="1" applyAlignment="1">
      <alignment horizontal="center"/>
    </xf>
    <xf numFmtId="164" fontId="45" fillId="6" borderId="13" xfId="29" applyAlignment="1">
      <alignment horizontal="center"/>
    </xf>
    <xf numFmtId="164" fontId="55" fillId="0" borderId="0" xfId="0" applyFont="1" applyAlignment="1">
      <alignment horizontal="center"/>
    </xf>
    <xf numFmtId="164" fontId="56" fillId="4" borderId="13" xfId="25" quotePrefix="1" applyFont="1" applyAlignment="1">
      <alignment horizontal="left" vertical="center"/>
    </xf>
    <xf numFmtId="166" fontId="57" fillId="0" borderId="0" xfId="0" applyNumberFormat="1" applyFont="1"/>
    <xf numFmtId="164" fontId="55" fillId="0" borderId="0" xfId="0" applyFont="1"/>
    <xf numFmtId="164" fontId="58" fillId="5" borderId="13" xfId="27" quotePrefix="1" applyFont="1" applyAlignment="1">
      <alignment horizontal="left" vertical="center"/>
    </xf>
    <xf numFmtId="166" fontId="59" fillId="5" borderId="13" xfId="20" applyFont="1" applyAlignment="1">
      <alignment horizontal="right" vertical="center"/>
    </xf>
    <xf numFmtId="164" fontId="60" fillId="8" borderId="17" xfId="0" applyFont="1" applyFill="1" applyBorder="1" applyAlignment="1">
      <alignment horizontal="center"/>
    </xf>
    <xf numFmtId="164" fontId="57" fillId="0" borderId="0" xfId="0" applyFont="1"/>
    <xf numFmtId="170" fontId="57" fillId="0" borderId="0" xfId="0" applyNumberFormat="1" applyFont="1"/>
    <xf numFmtId="164" fontId="45" fillId="5" borderId="13" xfId="33" quotePrefix="1" applyAlignment="1">
      <alignment horizontal="center"/>
    </xf>
    <xf numFmtId="164" fontId="45" fillId="5" borderId="13" xfId="33" applyAlignment="1">
      <alignment horizontal="center"/>
    </xf>
    <xf numFmtId="164" fontId="61" fillId="9" borderId="18" xfId="33" applyFont="1" applyFill="1" applyBorder="1" applyAlignment="1">
      <alignment horizontal="center"/>
    </xf>
    <xf numFmtId="164" fontId="62" fillId="8" borderId="0" xfId="0" applyFont="1" applyFill="1"/>
    <xf numFmtId="168" fontId="62" fillId="8" borderId="0" xfId="0" applyNumberFormat="1" applyFont="1" applyFill="1"/>
    <xf numFmtId="164" fontId="47" fillId="4" borderId="13" xfId="25" applyAlignment="1">
      <alignment horizontal="left" vertical="center"/>
    </xf>
    <xf numFmtId="164" fontId="63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6" fillId="4" borderId="13" xfId="35" applyAlignment="1">
      <alignment horizontal="right" vertical="center"/>
    </xf>
    <xf numFmtId="167" fontId="44" fillId="5" borderId="13" xfId="36" applyAlignment="1">
      <alignment horizontal="right" vertical="center"/>
    </xf>
    <xf numFmtId="164" fontId="45" fillId="10" borderId="13" xfId="29" quotePrefix="1" applyFill="1" applyAlignment="1">
      <alignment horizontal="center"/>
    </xf>
    <xf numFmtId="3" fontId="57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3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4" fillId="2" borderId="0" xfId="0" applyNumberFormat="1" applyFont="1" applyFill="1"/>
    <xf numFmtId="164" fontId="64" fillId="2" borderId="0" xfId="0" applyFont="1" applyFill="1"/>
    <xf numFmtId="3" fontId="64" fillId="2" borderId="0" xfId="0" applyNumberFormat="1" applyFont="1" applyFill="1" applyAlignment="1"/>
    <xf numFmtId="166" fontId="64" fillId="2" borderId="0" xfId="0" applyNumberFormat="1" applyFont="1" applyFill="1"/>
    <xf numFmtId="168" fontId="55" fillId="0" borderId="0" xfId="0" applyNumberFormat="1" applyFont="1"/>
    <xf numFmtId="3" fontId="33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15" fillId="11" borderId="0" xfId="0" applyNumberFormat="1" applyFont="1" applyFill="1" applyBorder="1" applyAlignment="1">
      <alignment horizontal="right" vertical="center" wrapText="1"/>
    </xf>
    <xf numFmtId="164" fontId="15" fillId="11" borderId="8" xfId="0" applyFont="1" applyFill="1" applyBorder="1" applyAlignment="1">
      <alignment horizontal="right" vertical="center" wrapText="1"/>
    </xf>
    <xf numFmtId="170" fontId="15" fillId="11" borderId="9" xfId="0" applyNumberFormat="1" applyFont="1" applyFill="1" applyBorder="1" applyAlignment="1">
      <alignment horizontal="right" vertical="center" wrapText="1"/>
    </xf>
    <xf numFmtId="164" fontId="15" fillId="11" borderId="10" xfId="0" applyFont="1" applyFill="1" applyBorder="1" applyAlignment="1">
      <alignment horizontal="right" vertical="center" wrapText="1"/>
    </xf>
    <xf numFmtId="3" fontId="15" fillId="12" borderId="0" xfId="0" applyNumberFormat="1" applyFont="1" applyFill="1" applyAlignment="1" applyProtection="1">
      <alignment horizontal="right" vertical="center"/>
    </xf>
    <xf numFmtId="176" fontId="15" fillId="12" borderId="0" xfId="13" applyNumberFormat="1" applyFont="1" applyFill="1" applyAlignment="1" applyProtection="1">
      <alignment horizontal="right" vertical="center"/>
    </xf>
    <xf numFmtId="3" fontId="33" fillId="12" borderId="1" xfId="0" applyNumberFormat="1" applyFont="1" applyFill="1" applyBorder="1" applyAlignment="1" applyProtection="1"/>
    <xf numFmtId="176" fontId="33" fillId="12" borderId="1" xfId="13" applyNumberFormat="1" applyFont="1" applyFill="1" applyBorder="1" applyAlignment="1" applyProtection="1">
      <alignment horizontal="right"/>
    </xf>
    <xf numFmtId="164" fontId="33" fillId="0" borderId="0" xfId="0" applyFont="1"/>
    <xf numFmtId="0" fontId="15" fillId="0" borderId="0" xfId="4" applyNumberFormat="1" applyFont="1" applyFill="1" applyAlignment="1" applyProtection="1">
      <alignment horizontal="left" wrapText="1"/>
    </xf>
    <xf numFmtId="164" fontId="45" fillId="6" borderId="13" xfId="29" quotePrefix="1" applyAlignment="1">
      <alignment horizontal="center"/>
    </xf>
    <xf numFmtId="166" fontId="46" fillId="4" borderId="13" xfId="23" applyNumberFormat="1" applyAlignment="1">
      <alignment horizontal="right" vertical="center"/>
    </xf>
    <xf numFmtId="164" fontId="33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0" fontId="15" fillId="0" borderId="5" xfId="4" applyNumberFormat="1" applyFont="1" applyFill="1" applyBorder="1" applyAlignment="1" applyProtection="1">
      <alignment horizontal="justify"/>
    </xf>
    <xf numFmtId="0" fontId="33" fillId="0" borderId="0" xfId="6" applyFont="1" applyFill="1" applyBorder="1" applyAlignment="1" applyProtection="1">
      <alignment horizontal="left" vertical="top" wrapText="1"/>
    </xf>
    <xf numFmtId="0" fontId="33" fillId="0" borderId="0" xfId="2" applyFont="1" applyFill="1" applyBorder="1" applyAlignment="1" applyProtection="1">
      <alignment horizontal="left" vertical="top" wrapText="1"/>
    </xf>
    <xf numFmtId="164" fontId="33" fillId="2" borderId="0" xfId="10" quotePrefix="1" applyNumberFormat="1" applyFont="1" applyFill="1" applyBorder="1" applyAlignment="1">
      <alignment horizontal="center" vertical="center"/>
    </xf>
    <xf numFmtId="0" fontId="33" fillId="2" borderId="8" xfId="10" applyNumberFormat="1" applyFont="1" applyFill="1" applyBorder="1" applyAlignment="1">
      <alignment horizontal="center" vertical="center"/>
    </xf>
    <xf numFmtId="0" fontId="33" fillId="2" borderId="0" xfId="10" applyNumberFormat="1" applyFont="1" applyFill="1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5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5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45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5" fillId="10" borderId="15" xfId="29" applyFill="1" applyBorder="1" applyAlignment="1">
      <alignment horizontal="center"/>
    </xf>
    <xf numFmtId="164" fontId="45" fillId="10" borderId="14" xfId="29" applyFill="1" applyBorder="1" applyAlignment="1">
      <alignment horizontal="center"/>
    </xf>
    <xf numFmtId="164" fontId="33" fillId="2" borderId="12" xfId="0" applyFont="1" applyFill="1" applyBorder="1" applyAlignment="1" applyProtection="1">
      <alignment horizontal="center"/>
    </xf>
    <xf numFmtId="0" fontId="33" fillId="0" borderId="3" xfId="11" applyFont="1" applyFill="1" applyBorder="1" applyAlignment="1">
      <alignment horizontal="center"/>
    </xf>
  </cellXfs>
  <cellStyles count="43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7a1e8989-ce78-4d49-8f33-804e75eaa9ac" xfId="40" xr:uid="{00000000-0005-0000-0000-000005000000}"/>
    <cellStyle name="MSTRStyle.Todos.c13_1c857d04-1888-46ca-a093-da254b91b892" xfId="42" xr:uid="{00000000-0005-0000-0000-000006000000}"/>
    <cellStyle name="MSTRStyle.Todos.c13_7e420611-275d-473b-8f31-0e521fd83d09" xfId="26" xr:uid="{00000000-0005-0000-0000-000007000000}"/>
    <cellStyle name="MSTRStyle.Todos.c14_bd018b41-2aac-4afa-b128-186e0d2a0ba8" xfId="41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9_5a51e594-f96b-4da2-8e95-9c20ffe12f9e" xfId="29" xr:uid="{00000000-0005-0000-0000-00001B000000}"/>
    <cellStyle name="Normal" xfId="0" builtinId="0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F5F5F5"/>
      <color rgb="FF004563"/>
      <color rgb="FFCCCCFF"/>
      <color rgb="FFFFFF99"/>
      <color rgb="FF385723"/>
      <color rgb="FF7F7F7F"/>
      <color rgb="FFA0A0A0"/>
      <color rgb="FFFFC000"/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9.3000000000000007</c:v>
                </c:pt>
                <c:pt idx="3">
                  <c:v>24.8</c:v>
                </c:pt>
                <c:pt idx="4">
                  <c:v>5.6999999999999886</c:v>
                </c:pt>
                <c:pt idx="5">
                  <c:v>0.5</c:v>
                </c:pt>
                <c:pt idx="6">
                  <c:v>0.1</c:v>
                </c:pt>
                <c:pt idx="7">
                  <c:v>23.4</c:v>
                </c:pt>
                <c:pt idx="8">
                  <c:v>17.2</c:v>
                </c:pt>
                <c:pt idx="9">
                  <c:v>5.2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58.722846416000003</c:v>
                </c:pt>
                <c:pt idx="1">
                  <c:v>35.299306414</c:v>
                </c:pt>
                <c:pt idx="2">
                  <c:v>59.999602107999998</c:v>
                </c:pt>
                <c:pt idx="3">
                  <c:v>40.026753237999998</c:v>
                </c:pt>
                <c:pt idx="4">
                  <c:v>214.991378672</c:v>
                </c:pt>
                <c:pt idx="5">
                  <c:v>142.90349618600001</c:v>
                </c:pt>
                <c:pt idx="6">
                  <c:v>134.66925335600001</c:v>
                </c:pt>
                <c:pt idx="7">
                  <c:v>166.107001744</c:v>
                </c:pt>
                <c:pt idx="8">
                  <c:v>188.79902042800001</c:v>
                </c:pt>
                <c:pt idx="9">
                  <c:v>189.243035048</c:v>
                </c:pt>
                <c:pt idx="10">
                  <c:v>130.29129281199999</c:v>
                </c:pt>
                <c:pt idx="11">
                  <c:v>127.53405822400001</c:v>
                </c:pt>
                <c:pt idx="12">
                  <c:v>56.646829089999997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3591.591351</c:v>
                </c:pt>
                <c:pt idx="1">
                  <c:v>4471.0236880000002</c:v>
                </c:pt>
                <c:pt idx="2">
                  <c:v>5135.7248909999998</c:v>
                </c:pt>
                <c:pt idx="3">
                  <c:v>5013.0349210000004</c:v>
                </c:pt>
                <c:pt idx="4">
                  <c:v>5150.6718030000002</c:v>
                </c:pt>
                <c:pt idx="5">
                  <c:v>3829.983448</c:v>
                </c:pt>
                <c:pt idx="6">
                  <c:v>4286.7606750000004</c:v>
                </c:pt>
                <c:pt idx="7">
                  <c:v>5041.3669819999996</c:v>
                </c:pt>
                <c:pt idx="8">
                  <c:v>4766.7856579999998</c:v>
                </c:pt>
                <c:pt idx="9">
                  <c:v>5274.7472820000003</c:v>
                </c:pt>
                <c:pt idx="10">
                  <c:v>4621.6629220000004</c:v>
                </c:pt>
                <c:pt idx="11">
                  <c:v>3976.917465</c:v>
                </c:pt>
                <c:pt idx="12">
                  <c:v>4647.8769560000001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2273.6253510000001</c:v>
                </c:pt>
                <c:pt idx="1">
                  <c:v>3487.5592799999999</c:v>
                </c:pt>
                <c:pt idx="2">
                  <c:v>3495.8629919999998</c:v>
                </c:pt>
                <c:pt idx="3">
                  <c:v>4104.8401640000002</c:v>
                </c:pt>
                <c:pt idx="4">
                  <c:v>3364.3671690000001</c:v>
                </c:pt>
                <c:pt idx="5">
                  <c:v>3875.2183620000001</c:v>
                </c:pt>
                <c:pt idx="6">
                  <c:v>2845.2639509999999</c:v>
                </c:pt>
                <c:pt idx="7">
                  <c:v>3075.0438380000001</c:v>
                </c:pt>
                <c:pt idx="8">
                  <c:v>2246.8140950000002</c:v>
                </c:pt>
                <c:pt idx="9">
                  <c:v>824.670028</c:v>
                </c:pt>
                <c:pt idx="10">
                  <c:v>722.95364099999995</c:v>
                </c:pt>
                <c:pt idx="11">
                  <c:v>343.03717999999998</c:v>
                </c:pt>
                <c:pt idx="12">
                  <c:v>416.81427100000002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2180.126706</c:v>
                </c:pt>
                <c:pt idx="1">
                  <c:v>2229.279387</c:v>
                </c:pt>
                <c:pt idx="2">
                  <c:v>2663.0061409999998</c:v>
                </c:pt>
                <c:pt idx="3">
                  <c:v>2148.659568</c:v>
                </c:pt>
                <c:pt idx="4">
                  <c:v>2501.819391</c:v>
                </c:pt>
                <c:pt idx="5">
                  <c:v>3160.857532</c:v>
                </c:pt>
                <c:pt idx="6">
                  <c:v>2896.6909179999998</c:v>
                </c:pt>
                <c:pt idx="7">
                  <c:v>3198.741031</c:v>
                </c:pt>
                <c:pt idx="8">
                  <c:v>2453.2148360000001</c:v>
                </c:pt>
                <c:pt idx="9">
                  <c:v>2129.3124120000002</c:v>
                </c:pt>
                <c:pt idx="10">
                  <c:v>2714.2451850000002</c:v>
                </c:pt>
                <c:pt idx="11">
                  <c:v>3896.510745</c:v>
                </c:pt>
                <c:pt idx="12">
                  <c:v>5107.4552890000004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2403.6677800000002</c:v>
                </c:pt>
                <c:pt idx="1">
                  <c:v>2436.601287</c:v>
                </c:pt>
                <c:pt idx="2">
                  <c:v>2361.294789</c:v>
                </c:pt>
                <c:pt idx="3">
                  <c:v>2408.3039490000001</c:v>
                </c:pt>
                <c:pt idx="4">
                  <c:v>2520.0659270000001</c:v>
                </c:pt>
                <c:pt idx="5">
                  <c:v>2472.0083749999999</c:v>
                </c:pt>
                <c:pt idx="6">
                  <c:v>2529.9647150000001</c:v>
                </c:pt>
                <c:pt idx="7">
                  <c:v>2656.3842519999998</c:v>
                </c:pt>
                <c:pt idx="8">
                  <c:v>2391.1858710000001</c:v>
                </c:pt>
                <c:pt idx="9">
                  <c:v>2588.9622680000002</c:v>
                </c:pt>
                <c:pt idx="10">
                  <c:v>2488.363464</c:v>
                </c:pt>
                <c:pt idx="11">
                  <c:v>2544.1971939999999</c:v>
                </c:pt>
                <c:pt idx="12">
                  <c:v>2417.8764569999998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175.41279499999999</c:v>
                </c:pt>
                <c:pt idx="1">
                  <c:v>199.57543200000001</c:v>
                </c:pt>
                <c:pt idx="2">
                  <c:v>194.6585925</c:v>
                </c:pt>
                <c:pt idx="3">
                  <c:v>189.02059499999999</c:v>
                </c:pt>
                <c:pt idx="4">
                  <c:v>201.64528799999999</c:v>
                </c:pt>
                <c:pt idx="5">
                  <c:v>191.94905</c:v>
                </c:pt>
                <c:pt idx="6">
                  <c:v>190.76081500000001</c:v>
                </c:pt>
                <c:pt idx="7">
                  <c:v>196.595054</c:v>
                </c:pt>
                <c:pt idx="8">
                  <c:v>180.749244</c:v>
                </c:pt>
                <c:pt idx="9">
                  <c:v>200.77886749999999</c:v>
                </c:pt>
                <c:pt idx="10">
                  <c:v>175.342614</c:v>
                </c:pt>
                <c:pt idx="11">
                  <c:v>154.68218999999999</c:v>
                </c:pt>
                <c:pt idx="12">
                  <c:v>156.89686950000001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297304"/>
        <c:axId val="108297696"/>
      </c:barChart>
      <c:catAx>
        <c:axId val="108297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7696"/>
        <c:crosses val="autoZero"/>
        <c:auto val="1"/>
        <c:lblAlgn val="ctr"/>
        <c:lblOffset val="100"/>
        <c:noMultiLvlLbl val="1"/>
      </c:catAx>
      <c:valAx>
        <c:axId val="108297696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7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0"/>
                <c:pt idx="0">
                  <c:v>75.265467000000001</c:v>
                </c:pt>
                <c:pt idx="1">
                  <c:v>93.206227999999996</c:v>
                </c:pt>
                <c:pt idx="2">
                  <c:v>84.909931</c:v>
                </c:pt>
                <c:pt idx="3">
                  <c:v>167.34780499999999</c:v>
                </c:pt>
                <c:pt idx="4">
                  <c:v>180.36657</c:v>
                </c:pt>
                <c:pt idx="5">
                  <c:v>179.07876899999999</c:v>
                </c:pt>
                <c:pt idx="6">
                  <c:v>177.62349600000002</c:v>
                </c:pt>
                <c:pt idx="7">
                  <c:v>107.69737499999999</c:v>
                </c:pt>
                <c:pt idx="8">
                  <c:v>89.513770000000008</c:v>
                </c:pt>
                <c:pt idx="9">
                  <c:v>121.85668099999999</c:v>
                </c:pt>
                <c:pt idx="10">
                  <c:v>133.961681</c:v>
                </c:pt>
                <c:pt idx="11">
                  <c:v>79.767319000000001</c:v>
                </c:pt>
                <c:pt idx="12">
                  <c:v>120.392235</c:v>
                </c:pt>
                <c:pt idx="13">
                  <c:v>107.02940799999999</c:v>
                </c:pt>
                <c:pt idx="14">
                  <c:v>84.974675000000005</c:v>
                </c:pt>
                <c:pt idx="15">
                  <c:v>53.384023999999997</c:v>
                </c:pt>
                <c:pt idx="16">
                  <c:v>52.657821000000006</c:v>
                </c:pt>
                <c:pt idx="17">
                  <c:v>157.68763300000001</c:v>
                </c:pt>
                <c:pt idx="18">
                  <c:v>89.913592000000008</c:v>
                </c:pt>
                <c:pt idx="19">
                  <c:v>90.847048000000001</c:v>
                </c:pt>
                <c:pt idx="20">
                  <c:v>83.859420999999998</c:v>
                </c:pt>
                <c:pt idx="21">
                  <c:v>82.499842999999998</c:v>
                </c:pt>
                <c:pt idx="22">
                  <c:v>112.38502899999999</c:v>
                </c:pt>
                <c:pt idx="23">
                  <c:v>79.971187</c:v>
                </c:pt>
                <c:pt idx="24">
                  <c:v>60.699669</c:v>
                </c:pt>
                <c:pt idx="25">
                  <c:v>140.38457600000001</c:v>
                </c:pt>
                <c:pt idx="26">
                  <c:v>168.331816</c:v>
                </c:pt>
                <c:pt idx="27">
                  <c:v>83.910345000000007</c:v>
                </c:pt>
                <c:pt idx="28">
                  <c:v>63.874724999999998</c:v>
                </c:pt>
                <c:pt idx="29">
                  <c:v>88.820983999999996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98480"/>
        <c:axId val="108298872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12.574880576758488</c:v>
                </c:pt>
                <c:pt idx="1">
                  <c:v>15.601673337724623</c:v>
                </c:pt>
                <c:pt idx="2">
                  <c:v>12.963349431757202</c:v>
                </c:pt>
                <c:pt idx="3">
                  <c:v>23.710130651518359</c:v>
                </c:pt>
                <c:pt idx="4">
                  <c:v>25.982519115031682</c:v>
                </c:pt>
                <c:pt idx="5">
                  <c:v>26.234513566649781</c:v>
                </c:pt>
                <c:pt idx="6">
                  <c:v>25.78538640522412</c:v>
                </c:pt>
                <c:pt idx="7">
                  <c:v>17.541033696257752</c:v>
                </c:pt>
                <c:pt idx="8">
                  <c:v>15.500155685069169</c:v>
                </c:pt>
                <c:pt idx="9">
                  <c:v>19.349854708104921</c:v>
                </c:pt>
                <c:pt idx="10">
                  <c:v>20.358478026393666</c:v>
                </c:pt>
                <c:pt idx="11">
                  <c:v>12.37489143312887</c:v>
                </c:pt>
                <c:pt idx="12">
                  <c:v>18.305463487335157</c:v>
                </c:pt>
                <c:pt idx="13">
                  <c:v>16.329398017676706</c:v>
                </c:pt>
                <c:pt idx="14">
                  <c:v>13.925483287937777</c:v>
                </c:pt>
                <c:pt idx="15">
                  <c:v>9.5434305051864783</c:v>
                </c:pt>
                <c:pt idx="16">
                  <c:v>8.0014943568599879</c:v>
                </c:pt>
                <c:pt idx="17">
                  <c:v>22.954043873255817</c:v>
                </c:pt>
                <c:pt idx="18">
                  <c:v>13.202894785922153</c:v>
                </c:pt>
                <c:pt idx="19">
                  <c:v>13.595139727320493</c:v>
                </c:pt>
                <c:pt idx="20">
                  <c:v>12.417373182961944</c:v>
                </c:pt>
                <c:pt idx="21">
                  <c:v>13.117665808656797</c:v>
                </c:pt>
                <c:pt idx="22">
                  <c:v>18.804794949237351</c:v>
                </c:pt>
                <c:pt idx="23">
                  <c:v>12.497151986342192</c:v>
                </c:pt>
                <c:pt idx="24">
                  <c:v>8.7651218218868596</c:v>
                </c:pt>
                <c:pt idx="25">
                  <c:v>19.212872124799748</c:v>
                </c:pt>
                <c:pt idx="26">
                  <c:v>22.587567264832927</c:v>
                </c:pt>
                <c:pt idx="27">
                  <c:v>11.5424423647925</c:v>
                </c:pt>
                <c:pt idx="28">
                  <c:v>9.6371025425483605</c:v>
                </c:pt>
                <c:pt idx="29">
                  <c:v>14.036040600515404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99656"/>
        <c:axId val="108299264"/>
      </c:lineChart>
      <c:catAx>
        <c:axId val="10829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8872"/>
        <c:crosses val="autoZero"/>
        <c:auto val="0"/>
        <c:lblAlgn val="ctr"/>
        <c:lblOffset val="100"/>
        <c:noMultiLvlLbl val="0"/>
      </c:catAx>
      <c:valAx>
        <c:axId val="108298872"/>
        <c:scaling>
          <c:orientation val="minMax"/>
          <c:max val="5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8480"/>
        <c:crosses val="autoZero"/>
        <c:crossBetween val="between"/>
        <c:majorUnit val="50"/>
      </c:valAx>
      <c:valAx>
        <c:axId val="10829926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9656"/>
        <c:crosses val="max"/>
        <c:crossBetween val="between"/>
        <c:majorUnit val="5"/>
      </c:valAx>
      <c:catAx>
        <c:axId val="108299656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10829926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25.583162000000002</c:v>
                </c:pt>
                <c:pt idx="1">
                  <c:v>24.650338999999999</c:v>
                </c:pt>
                <c:pt idx="2">
                  <c:v>24.155643999999999</c:v>
                </c:pt>
                <c:pt idx="3">
                  <c:v>24.082080000000001</c:v>
                </c:pt>
                <c:pt idx="4">
                  <c:v>24.182632000000002</c:v>
                </c:pt>
                <c:pt idx="5">
                  <c:v>24.242877</c:v>
                </c:pt>
                <c:pt idx="6">
                  <c:v>25.174178000000001</c:v>
                </c:pt>
                <c:pt idx="7">
                  <c:v>27.582723999999999</c:v>
                </c:pt>
                <c:pt idx="8">
                  <c:v>29.283384000000002</c:v>
                </c:pt>
                <c:pt idx="9">
                  <c:v>30.685034999999999</c:v>
                </c:pt>
                <c:pt idx="10">
                  <c:v>32.097450000000002</c:v>
                </c:pt>
                <c:pt idx="11">
                  <c:v>32.989776999999997</c:v>
                </c:pt>
                <c:pt idx="12">
                  <c:v>33.317698</c:v>
                </c:pt>
                <c:pt idx="13">
                  <c:v>33.550441999999997</c:v>
                </c:pt>
                <c:pt idx="14">
                  <c:v>33.141779</c:v>
                </c:pt>
                <c:pt idx="15">
                  <c:v>33.058503000000002</c:v>
                </c:pt>
                <c:pt idx="16">
                  <c:v>32.413488999999998</c:v>
                </c:pt>
                <c:pt idx="17">
                  <c:v>31.480370000000001</c:v>
                </c:pt>
                <c:pt idx="18">
                  <c:v>30.396004999999999</c:v>
                </c:pt>
                <c:pt idx="19">
                  <c:v>29.497710999999999</c:v>
                </c:pt>
                <c:pt idx="20">
                  <c:v>29.138507000000001</c:v>
                </c:pt>
                <c:pt idx="21">
                  <c:v>28.816555000000001</c:v>
                </c:pt>
                <c:pt idx="22">
                  <c:v>28.197026000000001</c:v>
                </c:pt>
                <c:pt idx="23">
                  <c:v>26.466939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5-491D-86F4-1C3EAD5D033B}"/>
            </c:ext>
          </c:extLst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6.5041779999999996</c:v>
                </c:pt>
                <c:pt idx="1">
                  <c:v>6.1925420000000004</c:v>
                </c:pt>
                <c:pt idx="2">
                  <c:v>6.210432</c:v>
                </c:pt>
                <c:pt idx="3">
                  <c:v>6.1369769999999999</c:v>
                </c:pt>
                <c:pt idx="4">
                  <c:v>6.326619</c:v>
                </c:pt>
                <c:pt idx="5">
                  <c:v>7.1862649999999997</c:v>
                </c:pt>
                <c:pt idx="6">
                  <c:v>7.668139</c:v>
                </c:pt>
                <c:pt idx="7">
                  <c:v>7.8990830000000001</c:v>
                </c:pt>
                <c:pt idx="8">
                  <c:v>8.0309299999999997</c:v>
                </c:pt>
                <c:pt idx="9">
                  <c:v>8.6211389999999994</c:v>
                </c:pt>
                <c:pt idx="10">
                  <c:v>9.1902910000000002</c:v>
                </c:pt>
                <c:pt idx="11">
                  <c:v>9.4060900000000007</c:v>
                </c:pt>
                <c:pt idx="12">
                  <c:v>9.5003019999999996</c:v>
                </c:pt>
                <c:pt idx="13">
                  <c:v>9.6802770000000002</c:v>
                </c:pt>
                <c:pt idx="14">
                  <c:v>10.007439</c:v>
                </c:pt>
                <c:pt idx="15">
                  <c:v>9.9169920000000005</c:v>
                </c:pt>
                <c:pt idx="16">
                  <c:v>9.4769640000000006</c:v>
                </c:pt>
                <c:pt idx="17">
                  <c:v>9.0225899999999992</c:v>
                </c:pt>
                <c:pt idx="18">
                  <c:v>8.1692540000000005</c:v>
                </c:pt>
                <c:pt idx="19">
                  <c:v>7.294791</c:v>
                </c:pt>
                <c:pt idx="20">
                  <c:v>5.8570489999999999</c:v>
                </c:pt>
                <c:pt idx="21">
                  <c:v>4.5003929999999999</c:v>
                </c:pt>
                <c:pt idx="22">
                  <c:v>3.9168959999999999</c:v>
                </c:pt>
                <c:pt idx="23">
                  <c:v>3.650938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670992"/>
        <c:axId val="485671384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25.423667332443113</c:v>
                </c:pt>
                <c:pt idx="1">
                  <c:v>25.12152875463498</c:v>
                </c:pt>
                <c:pt idx="2">
                  <c:v>25.710065937385068</c:v>
                </c:pt>
                <c:pt idx="3">
                  <c:v>25.483583643937731</c:v>
                </c:pt>
                <c:pt idx="4">
                  <c:v>26.161829696618629</c:v>
                </c:pt>
                <c:pt idx="5">
                  <c:v>29.642789508852434</c:v>
                </c:pt>
                <c:pt idx="6">
                  <c:v>30.460335189494568</c:v>
                </c:pt>
                <c:pt idx="7">
                  <c:v>28.637791539370806</c:v>
                </c:pt>
                <c:pt idx="8">
                  <c:v>27.424870021852666</c:v>
                </c:pt>
                <c:pt idx="9">
                  <c:v>28.095581445483113</c:v>
                </c:pt>
                <c:pt idx="10">
                  <c:v>28.632464572730854</c:v>
                </c:pt>
                <c:pt idx="11">
                  <c:v>28.512135744354993</c:v>
                </c:pt>
                <c:pt idx="12">
                  <c:v>28.514280908602991</c:v>
                </c:pt>
                <c:pt idx="13">
                  <c:v>28.852904531034202</c:v>
                </c:pt>
                <c:pt idx="14">
                  <c:v>30.195841327648704</c:v>
                </c:pt>
                <c:pt idx="15">
                  <c:v>29.99830936083222</c:v>
                </c:pt>
                <c:pt idx="16">
                  <c:v>29.23771643342684</c:v>
                </c:pt>
                <c:pt idx="17">
                  <c:v>28.661003666729457</c:v>
                </c:pt>
                <c:pt idx="18">
                  <c:v>26.876077958271168</c:v>
                </c:pt>
                <c:pt idx="19">
                  <c:v>24.730023966944419</c:v>
                </c:pt>
                <c:pt idx="20">
                  <c:v>20.10071758309374</c:v>
                </c:pt>
                <c:pt idx="21">
                  <c:v>15.617387296989524</c:v>
                </c:pt>
                <c:pt idx="22">
                  <c:v>13.891167103935004</c:v>
                </c:pt>
                <c:pt idx="23">
                  <c:v>13.794334131347791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7D5-491D-86F4-1C3EAD5D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72168"/>
        <c:axId val="485671776"/>
      </c:lineChart>
      <c:catAx>
        <c:axId val="48567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5671384"/>
        <c:crosses val="autoZero"/>
        <c:auto val="1"/>
        <c:lblAlgn val="ctr"/>
        <c:lblOffset val="100"/>
        <c:noMultiLvlLbl val="0"/>
      </c:catAx>
      <c:valAx>
        <c:axId val="485671384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5670992"/>
        <c:crosses val="autoZero"/>
        <c:crossBetween val="between"/>
      </c:valAx>
      <c:valAx>
        <c:axId val="485671776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85672168"/>
        <c:crosses val="max"/>
        <c:crossBetween val="between"/>
      </c:valAx>
      <c:catAx>
        <c:axId val="485672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671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133.53712503799977</c:v>
                </c:pt>
                <c:pt idx="1">
                  <c:v>110.29734557600038</c:v>
                </c:pt>
                <c:pt idx="2">
                  <c:v>133.33009142200038</c:v>
                </c:pt>
                <c:pt idx="3">
                  <c:v>125.34429112600037</c:v>
                </c:pt>
                <c:pt idx="4">
                  <c:v>108.44983464799874</c:v>
                </c:pt>
                <c:pt idx="5">
                  <c:v>152.26290827200128</c:v>
                </c:pt>
                <c:pt idx="6">
                  <c:v>122.53201015199907</c:v>
                </c:pt>
                <c:pt idx="7">
                  <c:v>155.96860897000076</c:v>
                </c:pt>
                <c:pt idx="8">
                  <c:v>156.70038058999921</c:v>
                </c:pt>
                <c:pt idx="9">
                  <c:v>160.59838424999964</c:v>
                </c:pt>
                <c:pt idx="10">
                  <c:v>172.36232985200098</c:v>
                </c:pt>
                <c:pt idx="11">
                  <c:v>141.86062300799989</c:v>
                </c:pt>
                <c:pt idx="12">
                  <c:v>134.30981026200041</c:v>
                </c:pt>
                <c:pt idx="13">
                  <c:v>154.84686982799877</c:v>
                </c:pt>
                <c:pt idx="14">
                  <c:v>126.11994040400162</c:v>
                </c:pt>
                <c:pt idx="15">
                  <c:v>134.16614112799948</c:v>
                </c:pt>
                <c:pt idx="16">
                  <c:v>101.77368865599892</c:v>
                </c:pt>
                <c:pt idx="17">
                  <c:v>131.88725680799996</c:v>
                </c:pt>
                <c:pt idx="18">
                  <c:v>94.370074128000383</c:v>
                </c:pt>
                <c:pt idx="19">
                  <c:v>98.643268891999753</c:v>
                </c:pt>
                <c:pt idx="20">
                  <c:v>94.469394864000989</c:v>
                </c:pt>
                <c:pt idx="21">
                  <c:v>97.863587735998834</c:v>
                </c:pt>
                <c:pt idx="22">
                  <c:v>70.112905008001448</c:v>
                </c:pt>
                <c:pt idx="23">
                  <c:v>80.629059501998753</c:v>
                </c:pt>
                <c:pt idx="24">
                  <c:v>99.260723599999821</c:v>
                </c:pt>
                <c:pt idx="25">
                  <c:v>80.488984246000967</c:v>
                </c:pt>
                <c:pt idx="26">
                  <c:v>70.639832656000195</c:v>
                </c:pt>
                <c:pt idx="27">
                  <c:v>76.723105204000333</c:v>
                </c:pt>
                <c:pt idx="28">
                  <c:v>84.375995497999099</c:v>
                </c:pt>
                <c:pt idx="29">
                  <c:v>94.439170259999344</c:v>
                </c:pt>
                <c:pt idx="30">
                  <c:v>83.442903070001222</c:v>
                </c:pt>
                <c:pt idx="31">
                  <c:v>87.552219355998915</c:v>
                </c:pt>
                <c:pt idx="32">
                  <c:v>84.88066473200044</c:v>
                </c:pt>
                <c:pt idx="33">
                  <c:v>85.820354398000092</c:v>
                </c:pt>
                <c:pt idx="34">
                  <c:v>69.123795566000467</c:v>
                </c:pt>
                <c:pt idx="35">
                  <c:v>83.784133238000351</c:v>
                </c:pt>
                <c:pt idx="36">
                  <c:v>62.529769319999858</c:v>
                </c:pt>
                <c:pt idx="37">
                  <c:v>45.655510867999546</c:v>
                </c:pt>
                <c:pt idx="38">
                  <c:v>73.347079030000401</c:v>
                </c:pt>
                <c:pt idx="39">
                  <c:v>71.813322876000214</c:v>
                </c:pt>
                <c:pt idx="40">
                  <c:v>57.828826144000296</c:v>
                </c:pt>
                <c:pt idx="41">
                  <c:v>67.78115290999979</c:v>
                </c:pt>
                <c:pt idx="42">
                  <c:v>37.368353595998762</c:v>
                </c:pt>
                <c:pt idx="43">
                  <c:v>22.442121530000588</c:v>
                </c:pt>
                <c:pt idx="44">
                  <c:v>6.4768478000008471</c:v>
                </c:pt>
                <c:pt idx="45">
                  <c:v>7.1221750679984108</c:v>
                </c:pt>
                <c:pt idx="46">
                  <c:v>5.5775102060000501</c:v>
                </c:pt>
                <c:pt idx="47">
                  <c:v>6.9436143500001055</c:v>
                </c:pt>
                <c:pt idx="48">
                  <c:v>8.0428851500002061</c:v>
                </c:pt>
                <c:pt idx="49">
                  <c:v>5.3483192739994845</c:v>
                </c:pt>
                <c:pt idx="50">
                  <c:v>4.3246602700016812</c:v>
                </c:pt>
                <c:pt idx="51">
                  <c:v>3.1530496419999401</c:v>
                </c:pt>
                <c:pt idx="52">
                  <c:v>61.288159533999846</c:v>
                </c:pt>
                <c:pt idx="53">
                  <c:v>54.448891888000247</c:v>
                </c:pt>
                <c:pt idx="54">
                  <c:v>48.740762289998735</c:v>
                </c:pt>
                <c:pt idx="55">
                  <c:v>48.222570548000483</c:v>
                </c:pt>
                <c:pt idx="56">
                  <c:v>48.665647313999173</c:v>
                </c:pt>
                <c:pt idx="57">
                  <c:v>41.122686298001703</c:v>
                </c:pt>
                <c:pt idx="58">
                  <c:v>36.724430007999224</c:v>
                </c:pt>
                <c:pt idx="59">
                  <c:v>43.001909232000386</c:v>
                </c:pt>
                <c:pt idx="60">
                  <c:v>34.720002079999318</c:v>
                </c:pt>
                <c:pt idx="61">
                  <c:v>50.225131983210481</c:v>
                </c:pt>
                <c:pt idx="62">
                  <c:v>61.525882113210479</c:v>
                </c:pt>
                <c:pt idx="63">
                  <c:v>73.043389039210481</c:v>
                </c:pt>
                <c:pt idx="64">
                  <c:v>47.858004181210475</c:v>
                </c:pt>
                <c:pt idx="65">
                  <c:v>38.260484667210477</c:v>
                </c:pt>
                <c:pt idx="66">
                  <c:v>54.943769509208607</c:v>
                </c:pt>
                <c:pt idx="67">
                  <c:v>41.099467483212344</c:v>
                </c:pt>
                <c:pt idx="68">
                  <c:v>40.945786410027097</c:v>
                </c:pt>
                <c:pt idx="69">
                  <c:v>35.889768946025235</c:v>
                </c:pt>
                <c:pt idx="70">
                  <c:v>27.263751104027097</c:v>
                </c:pt>
                <c:pt idx="71">
                  <c:v>38.547140088027099</c:v>
                </c:pt>
                <c:pt idx="72">
                  <c:v>28.974149410027103</c:v>
                </c:pt>
                <c:pt idx="73">
                  <c:v>32.685722826027103</c:v>
                </c:pt>
                <c:pt idx="74">
                  <c:v>29.523825512027098</c:v>
                </c:pt>
                <c:pt idx="75">
                  <c:v>26.665017136181465</c:v>
                </c:pt>
                <c:pt idx="76">
                  <c:v>34.922528152181464</c:v>
                </c:pt>
                <c:pt idx="77">
                  <c:v>20.846139648181467</c:v>
                </c:pt>
                <c:pt idx="78">
                  <c:v>22.256766180181469</c:v>
                </c:pt>
                <c:pt idx="79">
                  <c:v>21.563551994183335</c:v>
                </c:pt>
                <c:pt idx="80">
                  <c:v>52.050600474181472</c:v>
                </c:pt>
                <c:pt idx="81">
                  <c:v>49.617254990181465</c:v>
                </c:pt>
                <c:pt idx="82">
                  <c:v>47.518441093241606</c:v>
                </c:pt>
                <c:pt idx="83">
                  <c:v>48.319693417243471</c:v>
                </c:pt>
                <c:pt idx="84">
                  <c:v>30.097564563243466</c:v>
                </c:pt>
                <c:pt idx="85">
                  <c:v>11.081069043241602</c:v>
                </c:pt>
                <c:pt idx="86">
                  <c:v>13.516125849243464</c:v>
                </c:pt>
                <c:pt idx="87">
                  <c:v>46.489331559243467</c:v>
                </c:pt>
                <c:pt idx="88">
                  <c:v>40.751426009241605</c:v>
                </c:pt>
                <c:pt idx="89">
                  <c:v>34.861840490035739</c:v>
                </c:pt>
                <c:pt idx="90">
                  <c:v>43.86060615203575</c:v>
                </c:pt>
                <c:pt idx="91">
                  <c:v>28.653423582033881</c:v>
                </c:pt>
                <c:pt idx="92">
                  <c:v>16.29434298203574</c:v>
                </c:pt>
                <c:pt idx="93">
                  <c:v>28.816637316035738</c:v>
                </c:pt>
                <c:pt idx="94">
                  <c:v>39.483834496035733</c:v>
                </c:pt>
                <c:pt idx="95">
                  <c:v>33.96026485803575</c:v>
                </c:pt>
                <c:pt idx="96">
                  <c:v>37.351048555248447</c:v>
                </c:pt>
                <c:pt idx="97">
                  <c:v>26.664488277248456</c:v>
                </c:pt>
                <c:pt idx="98">
                  <c:v>24.865991769250314</c:v>
                </c:pt>
                <c:pt idx="99">
                  <c:v>29.210810431248451</c:v>
                </c:pt>
                <c:pt idx="100">
                  <c:v>19.46127643524845</c:v>
                </c:pt>
                <c:pt idx="101">
                  <c:v>34.97555358325031</c:v>
                </c:pt>
                <c:pt idx="102">
                  <c:v>52.272047133248456</c:v>
                </c:pt>
                <c:pt idx="103">
                  <c:v>55.017085317802554</c:v>
                </c:pt>
                <c:pt idx="104">
                  <c:v>51.866999353802548</c:v>
                </c:pt>
                <c:pt idx="105">
                  <c:v>36.70443928780255</c:v>
                </c:pt>
                <c:pt idx="106">
                  <c:v>15.317967983802555</c:v>
                </c:pt>
                <c:pt idx="107">
                  <c:v>8.5635028258025478</c:v>
                </c:pt>
                <c:pt idx="108">
                  <c:v>14.357926075802549</c:v>
                </c:pt>
                <c:pt idx="109">
                  <c:v>28.287417725802545</c:v>
                </c:pt>
                <c:pt idx="110">
                  <c:v>52.46800354169644</c:v>
                </c:pt>
                <c:pt idx="111">
                  <c:v>48.679917139698297</c:v>
                </c:pt>
                <c:pt idx="112">
                  <c:v>41.435194311696442</c:v>
                </c:pt>
                <c:pt idx="113">
                  <c:v>15.697499941696435</c:v>
                </c:pt>
                <c:pt idx="114">
                  <c:v>5.7475459036983008</c:v>
                </c:pt>
                <c:pt idx="115">
                  <c:v>18.110724911696437</c:v>
                </c:pt>
                <c:pt idx="116">
                  <c:v>18.962033891696432</c:v>
                </c:pt>
                <c:pt idx="117">
                  <c:v>10.506583021213366</c:v>
                </c:pt>
                <c:pt idx="118">
                  <c:v>10.024327815213372</c:v>
                </c:pt>
                <c:pt idx="119">
                  <c:v>10.118638751212435</c:v>
                </c:pt>
                <c:pt idx="120">
                  <c:v>8.9131956272133692</c:v>
                </c:pt>
                <c:pt idx="121">
                  <c:v>8.1930394632124379</c:v>
                </c:pt>
                <c:pt idx="122">
                  <c:v>7.3986204952133701</c:v>
                </c:pt>
                <c:pt idx="123">
                  <c:v>4.609804207212437</c:v>
                </c:pt>
                <c:pt idx="124">
                  <c:v>2.3887407607003261</c:v>
                </c:pt>
                <c:pt idx="125">
                  <c:v>7.0064342647012596</c:v>
                </c:pt>
                <c:pt idx="126">
                  <c:v>5.9097920727003297</c:v>
                </c:pt>
                <c:pt idx="127">
                  <c:v>3.9427618527003285</c:v>
                </c:pt>
                <c:pt idx="128">
                  <c:v>1.9604446107003277</c:v>
                </c:pt>
                <c:pt idx="129">
                  <c:v>2.4853065447012632</c:v>
                </c:pt>
                <c:pt idx="130">
                  <c:v>5.0754817527003322</c:v>
                </c:pt>
                <c:pt idx="131">
                  <c:v>29.921168912888817</c:v>
                </c:pt>
                <c:pt idx="132">
                  <c:v>25.387030768888813</c:v>
                </c:pt>
                <c:pt idx="133">
                  <c:v>26.288014220888815</c:v>
                </c:pt>
                <c:pt idx="134">
                  <c:v>14.197880838888818</c:v>
                </c:pt>
                <c:pt idx="135">
                  <c:v>17.363311476889745</c:v>
                </c:pt>
                <c:pt idx="136">
                  <c:v>36.118517392888819</c:v>
                </c:pt>
                <c:pt idx="137">
                  <c:v>65.71111752088882</c:v>
                </c:pt>
                <c:pt idx="138">
                  <c:v>73.385188114986491</c:v>
                </c:pt>
                <c:pt idx="139">
                  <c:v>45.949748128986485</c:v>
                </c:pt>
                <c:pt idx="140">
                  <c:v>49.229851926986491</c:v>
                </c:pt>
                <c:pt idx="141">
                  <c:v>45.339036974987422</c:v>
                </c:pt>
                <c:pt idx="142">
                  <c:v>45.970911122986486</c:v>
                </c:pt>
                <c:pt idx="143">
                  <c:v>44.120979864986488</c:v>
                </c:pt>
                <c:pt idx="144">
                  <c:v>42.554396610986494</c:v>
                </c:pt>
                <c:pt idx="145">
                  <c:v>32.042032314450054</c:v>
                </c:pt>
                <c:pt idx="146">
                  <c:v>46.542265682450044</c:v>
                </c:pt>
                <c:pt idx="147">
                  <c:v>49.274852104450055</c:v>
                </c:pt>
                <c:pt idx="148">
                  <c:v>19.380238686450053</c:v>
                </c:pt>
                <c:pt idx="149">
                  <c:v>11.52307071845005</c:v>
                </c:pt>
                <c:pt idx="150">
                  <c:v>16.50693054445005</c:v>
                </c:pt>
                <c:pt idx="151">
                  <c:v>46.011846108450044</c:v>
                </c:pt>
                <c:pt idx="152">
                  <c:v>76.009693372363614</c:v>
                </c:pt>
                <c:pt idx="153">
                  <c:v>43.416546616363625</c:v>
                </c:pt>
                <c:pt idx="154">
                  <c:v>47.075057798362693</c:v>
                </c:pt>
                <c:pt idx="155">
                  <c:v>47.243531606363618</c:v>
                </c:pt>
                <c:pt idx="156">
                  <c:v>43.315809924363627</c:v>
                </c:pt>
                <c:pt idx="157">
                  <c:v>57.857351662362696</c:v>
                </c:pt>
                <c:pt idx="158">
                  <c:v>48.876081674363625</c:v>
                </c:pt>
                <c:pt idx="159">
                  <c:v>86.689850459148872</c:v>
                </c:pt>
                <c:pt idx="160">
                  <c:v>90.691329073148879</c:v>
                </c:pt>
                <c:pt idx="161">
                  <c:v>92.796391639148879</c:v>
                </c:pt>
                <c:pt idx="162">
                  <c:v>94.994770411147954</c:v>
                </c:pt>
                <c:pt idx="163">
                  <c:v>98.084029529148893</c:v>
                </c:pt>
                <c:pt idx="164">
                  <c:v>121.64374552914889</c:v>
                </c:pt>
                <c:pt idx="165">
                  <c:v>115.98538030914888</c:v>
                </c:pt>
                <c:pt idx="166">
                  <c:v>92.884565129739187</c:v>
                </c:pt>
                <c:pt idx="167">
                  <c:v>99.53025571373918</c:v>
                </c:pt>
                <c:pt idx="168">
                  <c:v>100.64944806573826</c:v>
                </c:pt>
                <c:pt idx="169">
                  <c:v>76.32607546173918</c:v>
                </c:pt>
                <c:pt idx="170">
                  <c:v>72.289244381739181</c:v>
                </c:pt>
                <c:pt idx="171">
                  <c:v>107.85845773573918</c:v>
                </c:pt>
                <c:pt idx="172">
                  <c:v>95.251663345739189</c:v>
                </c:pt>
                <c:pt idx="173">
                  <c:v>84.210863363573011</c:v>
                </c:pt>
                <c:pt idx="174">
                  <c:v>100.02806360957393</c:v>
                </c:pt>
                <c:pt idx="175">
                  <c:v>93.973128249573932</c:v>
                </c:pt>
                <c:pt idx="176">
                  <c:v>71.462767399572996</c:v>
                </c:pt>
                <c:pt idx="177">
                  <c:v>73.556786463573943</c:v>
                </c:pt>
                <c:pt idx="178">
                  <c:v>89.032887399573013</c:v>
                </c:pt>
                <c:pt idx="179">
                  <c:v>91.791408073573947</c:v>
                </c:pt>
                <c:pt idx="180">
                  <c:v>100.62520183628585</c:v>
                </c:pt>
                <c:pt idx="181">
                  <c:v>106.07573600028584</c:v>
                </c:pt>
                <c:pt idx="182">
                  <c:v>97.476653356285851</c:v>
                </c:pt>
                <c:pt idx="183">
                  <c:v>90.394212360286787</c:v>
                </c:pt>
                <c:pt idx="184">
                  <c:v>84.866914290285848</c:v>
                </c:pt>
                <c:pt idx="185">
                  <c:v>108.37415833628584</c:v>
                </c:pt>
                <c:pt idx="186">
                  <c:v>126.38090736228585</c:v>
                </c:pt>
                <c:pt idx="187">
                  <c:v>87.515008344428594</c:v>
                </c:pt>
                <c:pt idx="188">
                  <c:v>77.782506294428586</c:v>
                </c:pt>
                <c:pt idx="189">
                  <c:v>62.18230000042859</c:v>
                </c:pt>
                <c:pt idx="190">
                  <c:v>55.709332724428592</c:v>
                </c:pt>
                <c:pt idx="191">
                  <c:v>55.556556698428594</c:v>
                </c:pt>
                <c:pt idx="192">
                  <c:v>67.053807550428601</c:v>
                </c:pt>
                <c:pt idx="193">
                  <c:v>96.102252704428594</c:v>
                </c:pt>
                <c:pt idx="194">
                  <c:v>108.87868366227644</c:v>
                </c:pt>
                <c:pt idx="195">
                  <c:v>84.353938072275511</c:v>
                </c:pt>
                <c:pt idx="196">
                  <c:v>86.425479054275513</c:v>
                </c:pt>
                <c:pt idx="197">
                  <c:v>74.544494642275509</c:v>
                </c:pt>
                <c:pt idx="198">
                  <c:v>69.967279598275525</c:v>
                </c:pt>
                <c:pt idx="199">
                  <c:v>111.34327048227644</c:v>
                </c:pt>
                <c:pt idx="200">
                  <c:v>93.932545482275515</c:v>
                </c:pt>
                <c:pt idx="201">
                  <c:v>100.38242194998713</c:v>
                </c:pt>
                <c:pt idx="202">
                  <c:v>105.40698662998713</c:v>
                </c:pt>
                <c:pt idx="203">
                  <c:v>94.165243369987138</c:v>
                </c:pt>
                <c:pt idx="204">
                  <c:v>95.940931389987128</c:v>
                </c:pt>
                <c:pt idx="205">
                  <c:v>90.126315709987125</c:v>
                </c:pt>
                <c:pt idx="206">
                  <c:v>92.583022409987137</c:v>
                </c:pt>
                <c:pt idx="207">
                  <c:v>78.185484777987128</c:v>
                </c:pt>
                <c:pt idx="208">
                  <c:v>80.373116800517693</c:v>
                </c:pt>
                <c:pt idx="209">
                  <c:v>100.59527395651676</c:v>
                </c:pt>
                <c:pt idx="210">
                  <c:v>78.486777536517678</c:v>
                </c:pt>
                <c:pt idx="211">
                  <c:v>61.710580186517689</c:v>
                </c:pt>
                <c:pt idx="212">
                  <c:v>62.105505364517683</c:v>
                </c:pt>
                <c:pt idx="213">
                  <c:v>67.689349472517691</c:v>
                </c:pt>
                <c:pt idx="214">
                  <c:v>48.113297146517681</c:v>
                </c:pt>
                <c:pt idx="215">
                  <c:v>42.619816521668227</c:v>
                </c:pt>
                <c:pt idx="216">
                  <c:v>64.313447971668225</c:v>
                </c:pt>
                <c:pt idx="217">
                  <c:v>75.624265243669157</c:v>
                </c:pt>
                <c:pt idx="218">
                  <c:v>40.138169683668224</c:v>
                </c:pt>
                <c:pt idx="219">
                  <c:v>23.395089041669156</c:v>
                </c:pt>
                <c:pt idx="220">
                  <c:v>48.039766631668229</c:v>
                </c:pt>
                <c:pt idx="221">
                  <c:v>49.373965037669159</c:v>
                </c:pt>
                <c:pt idx="222">
                  <c:v>33.704585509775029</c:v>
                </c:pt>
                <c:pt idx="223">
                  <c:v>47.277197803775032</c:v>
                </c:pt>
                <c:pt idx="224">
                  <c:v>49.300718171775031</c:v>
                </c:pt>
                <c:pt idx="225">
                  <c:v>21.41234182177503</c:v>
                </c:pt>
                <c:pt idx="226">
                  <c:v>27.367468911775031</c:v>
                </c:pt>
                <c:pt idx="227">
                  <c:v>38.59618624177503</c:v>
                </c:pt>
                <c:pt idx="228">
                  <c:v>66.260391331775963</c:v>
                </c:pt>
                <c:pt idx="229">
                  <c:v>57.04045158485799</c:v>
                </c:pt>
                <c:pt idx="230">
                  <c:v>47.077626530858922</c:v>
                </c:pt>
                <c:pt idx="231">
                  <c:v>75.719266858857978</c:v>
                </c:pt>
                <c:pt idx="232">
                  <c:v>43.363908048857994</c:v>
                </c:pt>
                <c:pt idx="233">
                  <c:v>21.83003846885892</c:v>
                </c:pt>
                <c:pt idx="234">
                  <c:v>65.392766698857983</c:v>
                </c:pt>
                <c:pt idx="235">
                  <c:v>50.397212048858911</c:v>
                </c:pt>
                <c:pt idx="236">
                  <c:v>86.926067344620051</c:v>
                </c:pt>
                <c:pt idx="237">
                  <c:v>94.078569926620986</c:v>
                </c:pt>
                <c:pt idx="238">
                  <c:v>99.235658760620055</c:v>
                </c:pt>
                <c:pt idx="239">
                  <c:v>91.517316510620049</c:v>
                </c:pt>
                <c:pt idx="240">
                  <c:v>77.204728650620993</c:v>
                </c:pt>
                <c:pt idx="241">
                  <c:v>98.923464460620039</c:v>
                </c:pt>
                <c:pt idx="242">
                  <c:v>101.44524273062005</c:v>
                </c:pt>
                <c:pt idx="243">
                  <c:v>167.32214358214841</c:v>
                </c:pt>
                <c:pt idx="244">
                  <c:v>172.56405617015773</c:v>
                </c:pt>
                <c:pt idx="245">
                  <c:v>185.55380824014654</c:v>
                </c:pt>
                <c:pt idx="246">
                  <c:v>185.54341329814844</c:v>
                </c:pt>
                <c:pt idx="247">
                  <c:v>184.93688635014843</c:v>
                </c:pt>
                <c:pt idx="248">
                  <c:v>193.98394959414841</c:v>
                </c:pt>
                <c:pt idx="249">
                  <c:v>194.63379708214842</c:v>
                </c:pt>
                <c:pt idx="250">
                  <c:v>141.24407143784808</c:v>
                </c:pt>
                <c:pt idx="251">
                  <c:v>141.98757405784806</c:v>
                </c:pt>
                <c:pt idx="252">
                  <c:v>133.18402521984808</c:v>
                </c:pt>
                <c:pt idx="253">
                  <c:v>125.94839746984809</c:v>
                </c:pt>
                <c:pt idx="254">
                  <c:v>114.23968854384995</c:v>
                </c:pt>
                <c:pt idx="255">
                  <c:v>123.23415218384808</c:v>
                </c:pt>
                <c:pt idx="256">
                  <c:v>139.96216425384807</c:v>
                </c:pt>
                <c:pt idx="257">
                  <c:v>120.50735569644542</c:v>
                </c:pt>
                <c:pt idx="258">
                  <c:v>103.61933332644728</c:v>
                </c:pt>
                <c:pt idx="259">
                  <c:v>107.91993847844542</c:v>
                </c:pt>
                <c:pt idx="260">
                  <c:v>94.657826232447277</c:v>
                </c:pt>
                <c:pt idx="261">
                  <c:v>84.414197128447285</c:v>
                </c:pt>
                <c:pt idx="262">
                  <c:v>109.91337516244728</c:v>
                </c:pt>
                <c:pt idx="263">
                  <c:v>119.44001481844542</c:v>
                </c:pt>
                <c:pt idx="264">
                  <c:v>87.654566587945766</c:v>
                </c:pt>
                <c:pt idx="265">
                  <c:v>79.100640777947632</c:v>
                </c:pt>
                <c:pt idx="266">
                  <c:v>75.29656747794948</c:v>
                </c:pt>
                <c:pt idx="267">
                  <c:v>64.67373701394763</c:v>
                </c:pt>
                <c:pt idx="268">
                  <c:v>66.547907371945769</c:v>
                </c:pt>
                <c:pt idx="269">
                  <c:v>91.929126957949492</c:v>
                </c:pt>
                <c:pt idx="270">
                  <c:v>75.529221327947624</c:v>
                </c:pt>
                <c:pt idx="271">
                  <c:v>69.289263910232478</c:v>
                </c:pt>
                <c:pt idx="272">
                  <c:v>63.050286326230605</c:v>
                </c:pt>
                <c:pt idx="273">
                  <c:v>70.277278594230609</c:v>
                </c:pt>
                <c:pt idx="274">
                  <c:v>55.063279526230609</c:v>
                </c:pt>
                <c:pt idx="275">
                  <c:v>40.958432326230607</c:v>
                </c:pt>
                <c:pt idx="276">
                  <c:v>48.805438076230608</c:v>
                </c:pt>
                <c:pt idx="277">
                  <c:v>50.547411536228744</c:v>
                </c:pt>
                <c:pt idx="278">
                  <c:v>97.01271852355444</c:v>
                </c:pt>
                <c:pt idx="279">
                  <c:v>113.77196696755446</c:v>
                </c:pt>
                <c:pt idx="280">
                  <c:v>134.49824530355446</c:v>
                </c:pt>
                <c:pt idx="281">
                  <c:v>133.48379254355444</c:v>
                </c:pt>
                <c:pt idx="282">
                  <c:v>106.05562519355446</c:v>
                </c:pt>
                <c:pt idx="283">
                  <c:v>131.23816403755447</c:v>
                </c:pt>
                <c:pt idx="284">
                  <c:v>122.21529737355259</c:v>
                </c:pt>
                <c:pt idx="285">
                  <c:v>66.401825921277947</c:v>
                </c:pt>
                <c:pt idx="286">
                  <c:v>83.578813791277952</c:v>
                </c:pt>
                <c:pt idx="287">
                  <c:v>97.28867130127982</c:v>
                </c:pt>
                <c:pt idx="288">
                  <c:v>74.691771641277953</c:v>
                </c:pt>
                <c:pt idx="289">
                  <c:v>41.066370621277947</c:v>
                </c:pt>
                <c:pt idx="290">
                  <c:v>61.15964948127796</c:v>
                </c:pt>
                <c:pt idx="291">
                  <c:v>61.975206013277955</c:v>
                </c:pt>
                <c:pt idx="292">
                  <c:v>59.04501076469046</c:v>
                </c:pt>
                <c:pt idx="293">
                  <c:v>74.889885428690448</c:v>
                </c:pt>
                <c:pt idx="294">
                  <c:v>98.914973132690463</c:v>
                </c:pt>
                <c:pt idx="295">
                  <c:v>68.305593472692308</c:v>
                </c:pt>
                <c:pt idx="296">
                  <c:v>41.294560642690456</c:v>
                </c:pt>
                <c:pt idx="297">
                  <c:v>42.070215022690455</c:v>
                </c:pt>
                <c:pt idx="298">
                  <c:v>37.89081406269046</c:v>
                </c:pt>
                <c:pt idx="299">
                  <c:v>39.164603627379492</c:v>
                </c:pt>
                <c:pt idx="300">
                  <c:v>50.549527553381346</c:v>
                </c:pt>
                <c:pt idx="301">
                  <c:v>62.508611467379481</c:v>
                </c:pt>
                <c:pt idx="302">
                  <c:v>40.584141867379493</c:v>
                </c:pt>
                <c:pt idx="303">
                  <c:v>51.808680707385072</c:v>
                </c:pt>
                <c:pt idx="304">
                  <c:v>76.65771883938136</c:v>
                </c:pt>
                <c:pt idx="305">
                  <c:v>73.103140955377611</c:v>
                </c:pt>
                <c:pt idx="306">
                  <c:v>45.01858317977959</c:v>
                </c:pt>
                <c:pt idx="307">
                  <c:v>42.325144523779592</c:v>
                </c:pt>
                <c:pt idx="308">
                  <c:v>53.114143071777725</c:v>
                </c:pt>
                <c:pt idx="309">
                  <c:v>35.382675467779592</c:v>
                </c:pt>
                <c:pt idx="310">
                  <c:v>30.349885119777724</c:v>
                </c:pt>
                <c:pt idx="311">
                  <c:v>38.869087747777733</c:v>
                </c:pt>
                <c:pt idx="312">
                  <c:v>35.440293803779589</c:v>
                </c:pt>
                <c:pt idx="313">
                  <c:v>73.569345241523081</c:v>
                </c:pt>
                <c:pt idx="314">
                  <c:v>81.876537213523108</c:v>
                </c:pt>
                <c:pt idx="315">
                  <c:v>81.248949489523099</c:v>
                </c:pt>
                <c:pt idx="316">
                  <c:v>71.754454277523095</c:v>
                </c:pt>
                <c:pt idx="317">
                  <c:v>65.207499237523095</c:v>
                </c:pt>
                <c:pt idx="318">
                  <c:v>75.083972453521227</c:v>
                </c:pt>
                <c:pt idx="319">
                  <c:v>82.7277009815231</c:v>
                </c:pt>
                <c:pt idx="320">
                  <c:v>99.887771316209069</c:v>
                </c:pt>
                <c:pt idx="321">
                  <c:v>97.503805000207208</c:v>
                </c:pt>
                <c:pt idx="322">
                  <c:v>76.237347956209064</c:v>
                </c:pt>
                <c:pt idx="323">
                  <c:v>73.371422276207213</c:v>
                </c:pt>
                <c:pt idx="324">
                  <c:v>82.086943796209056</c:v>
                </c:pt>
                <c:pt idx="325">
                  <c:v>83.039042272209073</c:v>
                </c:pt>
                <c:pt idx="326">
                  <c:v>84.907127912207216</c:v>
                </c:pt>
                <c:pt idx="327">
                  <c:v>120.09120279154841</c:v>
                </c:pt>
                <c:pt idx="328">
                  <c:v>122.04502637154656</c:v>
                </c:pt>
                <c:pt idx="329">
                  <c:v>133.58304685954656</c:v>
                </c:pt>
                <c:pt idx="330">
                  <c:v>132.51193723154842</c:v>
                </c:pt>
                <c:pt idx="331">
                  <c:v>124.74557389154842</c:v>
                </c:pt>
                <c:pt idx="332">
                  <c:v>140.23924516354651</c:v>
                </c:pt>
                <c:pt idx="333">
                  <c:v>139.9016715475484</c:v>
                </c:pt>
                <c:pt idx="334">
                  <c:v>105.71601703098868</c:v>
                </c:pt>
                <c:pt idx="335">
                  <c:v>100.06853757899054</c:v>
                </c:pt>
                <c:pt idx="336">
                  <c:v>102.81004228298868</c:v>
                </c:pt>
                <c:pt idx="337">
                  <c:v>101.23971845099054</c:v>
                </c:pt>
                <c:pt idx="338">
                  <c:v>93.939445794990547</c:v>
                </c:pt>
                <c:pt idx="339">
                  <c:v>113.58412743498869</c:v>
                </c:pt>
                <c:pt idx="340">
                  <c:v>103.93047935099054</c:v>
                </c:pt>
                <c:pt idx="341">
                  <c:v>66.189202729308803</c:v>
                </c:pt>
                <c:pt idx="342">
                  <c:v>74.412695409306934</c:v>
                </c:pt>
                <c:pt idx="343">
                  <c:v>83.627382461306937</c:v>
                </c:pt>
                <c:pt idx="344">
                  <c:v>75.943218089306924</c:v>
                </c:pt>
                <c:pt idx="345">
                  <c:v>66.288154533306923</c:v>
                </c:pt>
                <c:pt idx="346">
                  <c:v>71.954015609306921</c:v>
                </c:pt>
                <c:pt idx="347">
                  <c:v>75.274204213308792</c:v>
                </c:pt>
                <c:pt idx="348">
                  <c:v>74.34173817415514</c:v>
                </c:pt>
                <c:pt idx="349">
                  <c:v>67.959188766156998</c:v>
                </c:pt>
                <c:pt idx="350">
                  <c:v>65.692982786156989</c:v>
                </c:pt>
                <c:pt idx="351">
                  <c:v>64.505841354155137</c:v>
                </c:pt>
                <c:pt idx="352">
                  <c:v>60.628721762158854</c:v>
                </c:pt>
                <c:pt idx="353">
                  <c:v>72.604453906155129</c:v>
                </c:pt>
                <c:pt idx="354">
                  <c:v>76.283293826155131</c:v>
                </c:pt>
                <c:pt idx="355">
                  <c:v>65.635779093736303</c:v>
                </c:pt>
                <c:pt idx="356">
                  <c:v>60.05188925373443</c:v>
                </c:pt>
                <c:pt idx="357">
                  <c:v>59.146729805736292</c:v>
                </c:pt>
                <c:pt idx="358">
                  <c:v>57.372487131732569</c:v>
                </c:pt>
                <c:pt idx="359">
                  <c:v>54.61047347173816</c:v>
                </c:pt>
                <c:pt idx="360">
                  <c:v>58.416215127732571</c:v>
                </c:pt>
                <c:pt idx="361">
                  <c:v>53.367108333734429</c:v>
                </c:pt>
                <c:pt idx="362">
                  <c:v>46.932252174643338</c:v>
                </c:pt>
                <c:pt idx="363">
                  <c:v>47.351127922641481</c:v>
                </c:pt>
                <c:pt idx="364">
                  <c:v>54.088175124643342</c:v>
                </c:pt>
                <c:pt idx="365">
                  <c:v>46.029502642641482</c:v>
                </c:pt>
                <c:pt idx="366">
                  <c:v>41.259647216643344</c:v>
                </c:pt>
                <c:pt idx="367">
                  <c:v>49.633967986643341</c:v>
                </c:pt>
                <c:pt idx="368">
                  <c:v>42.163067116641486</c:v>
                </c:pt>
                <c:pt idx="369">
                  <c:v>44.063425011716376</c:v>
                </c:pt>
                <c:pt idx="370">
                  <c:v>41.283456523716374</c:v>
                </c:pt>
                <c:pt idx="371">
                  <c:v>46.541849791718242</c:v>
                </c:pt>
                <c:pt idx="372">
                  <c:v>36.370185447716374</c:v>
                </c:pt>
                <c:pt idx="373">
                  <c:v>36.215956243718239</c:v>
                </c:pt>
                <c:pt idx="374">
                  <c:v>34.954237279718242</c:v>
                </c:pt>
                <c:pt idx="375">
                  <c:v>40.592416139716377</c:v>
                </c:pt>
                <c:pt idx="376">
                  <c:v>39.241911186815599</c:v>
                </c:pt>
                <c:pt idx="377">
                  <c:v>28.634086794815595</c:v>
                </c:pt>
                <c:pt idx="378">
                  <c:v>32.436906178815597</c:v>
                </c:pt>
                <c:pt idx="379">
                  <c:v>29.753917250813736</c:v>
                </c:pt>
                <c:pt idx="380">
                  <c:v>32.905156950815595</c:v>
                </c:pt>
                <c:pt idx="381">
                  <c:v>39.089365578817457</c:v>
                </c:pt>
                <c:pt idx="382">
                  <c:v>30.561841338813736</c:v>
                </c:pt>
                <c:pt idx="383">
                  <c:v>41.62450739765319</c:v>
                </c:pt>
                <c:pt idx="384">
                  <c:v>34.637508205653198</c:v>
                </c:pt>
                <c:pt idx="385">
                  <c:v>40.418200057653195</c:v>
                </c:pt>
                <c:pt idx="386">
                  <c:v>28.832433745655056</c:v>
                </c:pt>
                <c:pt idx="387">
                  <c:v>27.133252947651329</c:v>
                </c:pt>
                <c:pt idx="388">
                  <c:v>32.879115653653194</c:v>
                </c:pt>
                <c:pt idx="389">
                  <c:v>46.052716117655059</c:v>
                </c:pt>
                <c:pt idx="390">
                  <c:v>29.624145615292452</c:v>
                </c:pt>
                <c:pt idx="391">
                  <c:v>25.52030535529618</c:v>
                </c:pt>
                <c:pt idx="392">
                  <c:v>35.373072383292453</c:v>
                </c:pt>
                <c:pt idx="393">
                  <c:v>19.260006891294317</c:v>
                </c:pt>
                <c:pt idx="394">
                  <c:v>18.127347819294314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64.364342968573325</c:v>
                </c:pt>
                <c:pt idx="1">
                  <c:v>64.364342968573325</c:v>
                </c:pt>
                <c:pt idx="2">
                  <c:v>64.364342968573325</c:v>
                </c:pt>
                <c:pt idx="3">
                  <c:v>64.364342968573325</c:v>
                </c:pt>
                <c:pt idx="4">
                  <c:v>64.364342968573325</c:v>
                </c:pt>
                <c:pt idx="5">
                  <c:v>64.364342968573325</c:v>
                </c:pt>
                <c:pt idx="6">
                  <c:v>64.364342968573325</c:v>
                </c:pt>
                <c:pt idx="7">
                  <c:v>64.364342968573325</c:v>
                </c:pt>
                <c:pt idx="8">
                  <c:v>64.364342968573325</c:v>
                </c:pt>
                <c:pt idx="9">
                  <c:v>64.364342968573325</c:v>
                </c:pt>
                <c:pt idx="10">
                  <c:v>64.364342968573325</c:v>
                </c:pt>
                <c:pt idx="11">
                  <c:v>64.364342968573325</c:v>
                </c:pt>
                <c:pt idx="12">
                  <c:v>64.364342968573325</c:v>
                </c:pt>
                <c:pt idx="13">
                  <c:v>64.364342968573325</c:v>
                </c:pt>
                <c:pt idx="14">
                  <c:v>64.364342968573325</c:v>
                </c:pt>
                <c:pt idx="15">
                  <c:v>64.364342968573325</c:v>
                </c:pt>
                <c:pt idx="16">
                  <c:v>64.364342968573325</c:v>
                </c:pt>
                <c:pt idx="17">
                  <c:v>64.364342968573325</c:v>
                </c:pt>
                <c:pt idx="18">
                  <c:v>64.364342968573325</c:v>
                </c:pt>
                <c:pt idx="19">
                  <c:v>64.364342968573325</c:v>
                </c:pt>
                <c:pt idx="20">
                  <c:v>64.364342968573325</c:v>
                </c:pt>
                <c:pt idx="21">
                  <c:v>64.364342968573325</c:v>
                </c:pt>
                <c:pt idx="22">
                  <c:v>64.364342968573325</c:v>
                </c:pt>
                <c:pt idx="23">
                  <c:v>64.364342968573325</c:v>
                </c:pt>
                <c:pt idx="24">
                  <c:v>64.364342968573325</c:v>
                </c:pt>
                <c:pt idx="25">
                  <c:v>64.364342968573325</c:v>
                </c:pt>
                <c:pt idx="26">
                  <c:v>64.364342968573325</c:v>
                </c:pt>
                <c:pt idx="27">
                  <c:v>64.364342968573325</c:v>
                </c:pt>
                <c:pt idx="28">
                  <c:v>64.364342968573325</c:v>
                </c:pt>
                <c:pt idx="29">
                  <c:v>64.364342968573325</c:v>
                </c:pt>
                <c:pt idx="30">
                  <c:v>28.016997662909688</c:v>
                </c:pt>
                <c:pt idx="31">
                  <c:v>28.016997662909688</c:v>
                </c:pt>
                <c:pt idx="32">
                  <c:v>28.016997662909688</c:v>
                </c:pt>
                <c:pt idx="33">
                  <c:v>28.016997662909688</c:v>
                </c:pt>
                <c:pt idx="34">
                  <c:v>28.016997662909688</c:v>
                </c:pt>
                <c:pt idx="35">
                  <c:v>28.016997662909688</c:v>
                </c:pt>
                <c:pt idx="36">
                  <c:v>28.016997662909688</c:v>
                </c:pt>
                <c:pt idx="37">
                  <c:v>28.016997662909688</c:v>
                </c:pt>
                <c:pt idx="38">
                  <c:v>28.016997662909688</c:v>
                </c:pt>
                <c:pt idx="39">
                  <c:v>28.016997662909688</c:v>
                </c:pt>
                <c:pt idx="40">
                  <c:v>28.016997662909688</c:v>
                </c:pt>
                <c:pt idx="41">
                  <c:v>28.016997662909688</c:v>
                </c:pt>
                <c:pt idx="42">
                  <c:v>28.016997662909688</c:v>
                </c:pt>
                <c:pt idx="43">
                  <c:v>28.016997662909688</c:v>
                </c:pt>
                <c:pt idx="44">
                  <c:v>28.016997662909688</c:v>
                </c:pt>
                <c:pt idx="45">
                  <c:v>28.016997662909688</c:v>
                </c:pt>
                <c:pt idx="46">
                  <c:v>28.016997662909688</c:v>
                </c:pt>
                <c:pt idx="47">
                  <c:v>28.016997662909688</c:v>
                </c:pt>
                <c:pt idx="48">
                  <c:v>28.016997662909688</c:v>
                </c:pt>
                <c:pt idx="49">
                  <c:v>28.016997662909688</c:v>
                </c:pt>
                <c:pt idx="50">
                  <c:v>28.016997662909688</c:v>
                </c:pt>
                <c:pt idx="51">
                  <c:v>28.016997662909688</c:v>
                </c:pt>
                <c:pt idx="52">
                  <c:v>28.016997662909688</c:v>
                </c:pt>
                <c:pt idx="53">
                  <c:v>28.016997662909688</c:v>
                </c:pt>
                <c:pt idx="54">
                  <c:v>28.016997662909688</c:v>
                </c:pt>
                <c:pt idx="55">
                  <c:v>28.016997662909688</c:v>
                </c:pt>
                <c:pt idx="56">
                  <c:v>28.016997662909688</c:v>
                </c:pt>
                <c:pt idx="57">
                  <c:v>28.016997662909688</c:v>
                </c:pt>
                <c:pt idx="58">
                  <c:v>28.016997662909688</c:v>
                </c:pt>
                <c:pt idx="59">
                  <c:v>28.016997662909688</c:v>
                </c:pt>
                <c:pt idx="60">
                  <c:v>28.016997662909688</c:v>
                </c:pt>
                <c:pt idx="61">
                  <c:v>16.99706947525484</c:v>
                </c:pt>
                <c:pt idx="62">
                  <c:v>16.99706947525484</c:v>
                </c:pt>
                <c:pt idx="63">
                  <c:v>16.99706947525484</c:v>
                </c:pt>
                <c:pt idx="64">
                  <c:v>16.99706947525484</c:v>
                </c:pt>
                <c:pt idx="65">
                  <c:v>16.99706947525484</c:v>
                </c:pt>
                <c:pt idx="66">
                  <c:v>16.99706947525484</c:v>
                </c:pt>
                <c:pt idx="67">
                  <c:v>16.99706947525484</c:v>
                </c:pt>
                <c:pt idx="68">
                  <c:v>16.99706947525484</c:v>
                </c:pt>
                <c:pt idx="69">
                  <c:v>16.99706947525484</c:v>
                </c:pt>
                <c:pt idx="70">
                  <c:v>16.99706947525484</c:v>
                </c:pt>
                <c:pt idx="71">
                  <c:v>16.99706947525484</c:v>
                </c:pt>
                <c:pt idx="72">
                  <c:v>16.99706947525484</c:v>
                </c:pt>
                <c:pt idx="73">
                  <c:v>16.99706947525484</c:v>
                </c:pt>
                <c:pt idx="74">
                  <c:v>16.99706947525484</c:v>
                </c:pt>
                <c:pt idx="75">
                  <c:v>16.99706947525484</c:v>
                </c:pt>
                <c:pt idx="76">
                  <c:v>16.99706947525484</c:v>
                </c:pt>
                <c:pt idx="77">
                  <c:v>16.99706947525484</c:v>
                </c:pt>
                <c:pt idx="78">
                  <c:v>16.99706947525484</c:v>
                </c:pt>
                <c:pt idx="79">
                  <c:v>16.99706947525484</c:v>
                </c:pt>
                <c:pt idx="80">
                  <c:v>16.99706947525484</c:v>
                </c:pt>
                <c:pt idx="81">
                  <c:v>16.99706947525484</c:v>
                </c:pt>
                <c:pt idx="82">
                  <c:v>16.99706947525484</c:v>
                </c:pt>
                <c:pt idx="83">
                  <c:v>16.99706947525484</c:v>
                </c:pt>
                <c:pt idx="84">
                  <c:v>16.99706947525484</c:v>
                </c:pt>
                <c:pt idx="85">
                  <c:v>16.99706947525484</c:v>
                </c:pt>
                <c:pt idx="86">
                  <c:v>16.99706947525484</c:v>
                </c:pt>
                <c:pt idx="87">
                  <c:v>16.99706947525484</c:v>
                </c:pt>
                <c:pt idx="88">
                  <c:v>16.99706947525484</c:v>
                </c:pt>
                <c:pt idx="89">
                  <c:v>16.99706947525484</c:v>
                </c:pt>
                <c:pt idx="90">
                  <c:v>16.99706947525484</c:v>
                </c:pt>
                <c:pt idx="91">
                  <c:v>16.99706947525484</c:v>
                </c:pt>
                <c:pt idx="92">
                  <c:v>22.743378673520009</c:v>
                </c:pt>
                <c:pt idx="93">
                  <c:v>22.743378673520009</c:v>
                </c:pt>
                <c:pt idx="94">
                  <c:v>22.743378673520009</c:v>
                </c:pt>
                <c:pt idx="95">
                  <c:v>22.743378673520009</c:v>
                </c:pt>
                <c:pt idx="96">
                  <c:v>22.743378673520009</c:v>
                </c:pt>
                <c:pt idx="97">
                  <c:v>22.743378673520009</c:v>
                </c:pt>
                <c:pt idx="98">
                  <c:v>22.743378673520009</c:v>
                </c:pt>
                <c:pt idx="99">
                  <c:v>22.743378673520009</c:v>
                </c:pt>
                <c:pt idx="100">
                  <c:v>22.743378673520009</c:v>
                </c:pt>
                <c:pt idx="101">
                  <c:v>22.743378673520009</c:v>
                </c:pt>
                <c:pt idx="102">
                  <c:v>22.743378673520009</c:v>
                </c:pt>
                <c:pt idx="103">
                  <c:v>22.743378673520009</c:v>
                </c:pt>
                <c:pt idx="104">
                  <c:v>22.743378673520009</c:v>
                </c:pt>
                <c:pt idx="105">
                  <c:v>22.743378673520009</c:v>
                </c:pt>
                <c:pt idx="106">
                  <c:v>22.743378673520009</c:v>
                </c:pt>
                <c:pt idx="107">
                  <c:v>22.743378673520009</c:v>
                </c:pt>
                <c:pt idx="108">
                  <c:v>22.743378673520009</c:v>
                </c:pt>
                <c:pt idx="109">
                  <c:v>22.743378673520009</c:v>
                </c:pt>
                <c:pt idx="110">
                  <c:v>22.743378673520009</c:v>
                </c:pt>
                <c:pt idx="111">
                  <c:v>22.743378673520009</c:v>
                </c:pt>
                <c:pt idx="112">
                  <c:v>22.743378673520009</c:v>
                </c:pt>
                <c:pt idx="113">
                  <c:v>22.743378673520009</c:v>
                </c:pt>
                <c:pt idx="114">
                  <c:v>22.743378673520009</c:v>
                </c:pt>
                <c:pt idx="115">
                  <c:v>22.743378673520009</c:v>
                </c:pt>
                <c:pt idx="116">
                  <c:v>22.743378673520009</c:v>
                </c:pt>
                <c:pt idx="117">
                  <c:v>22.743378673520009</c:v>
                </c:pt>
                <c:pt idx="118">
                  <c:v>22.743378673520009</c:v>
                </c:pt>
                <c:pt idx="119">
                  <c:v>22.743378673520009</c:v>
                </c:pt>
                <c:pt idx="120">
                  <c:v>22.743378673520009</c:v>
                </c:pt>
                <c:pt idx="121">
                  <c:v>22.743378673520009</c:v>
                </c:pt>
                <c:pt idx="122">
                  <c:v>45.741764250654825</c:v>
                </c:pt>
                <c:pt idx="123">
                  <c:v>45.741764250654825</c:v>
                </c:pt>
                <c:pt idx="124">
                  <c:v>45.741764250654825</c:v>
                </c:pt>
                <c:pt idx="125">
                  <c:v>45.741764250654825</c:v>
                </c:pt>
                <c:pt idx="126">
                  <c:v>45.741764250654825</c:v>
                </c:pt>
                <c:pt idx="127">
                  <c:v>45.741764250654825</c:v>
                </c:pt>
                <c:pt idx="128">
                  <c:v>45.741764250654825</c:v>
                </c:pt>
                <c:pt idx="129">
                  <c:v>45.741764250654825</c:v>
                </c:pt>
                <c:pt idx="130">
                  <c:v>45.741764250654825</c:v>
                </c:pt>
                <c:pt idx="131">
                  <c:v>45.741764250654825</c:v>
                </c:pt>
                <c:pt idx="132">
                  <c:v>45.741764250654825</c:v>
                </c:pt>
                <c:pt idx="133">
                  <c:v>45.741764250654825</c:v>
                </c:pt>
                <c:pt idx="134">
                  <c:v>45.741764250654825</c:v>
                </c:pt>
                <c:pt idx="135">
                  <c:v>45.741764250654825</c:v>
                </c:pt>
                <c:pt idx="136">
                  <c:v>45.741764250654825</c:v>
                </c:pt>
                <c:pt idx="137">
                  <c:v>45.741764250654825</c:v>
                </c:pt>
                <c:pt idx="138">
                  <c:v>45.741764250654825</c:v>
                </c:pt>
                <c:pt idx="139">
                  <c:v>45.741764250654825</c:v>
                </c:pt>
                <c:pt idx="140">
                  <c:v>45.741764250654825</c:v>
                </c:pt>
                <c:pt idx="141">
                  <c:v>45.741764250654825</c:v>
                </c:pt>
                <c:pt idx="142">
                  <c:v>45.741764250654825</c:v>
                </c:pt>
                <c:pt idx="143">
                  <c:v>45.741764250654825</c:v>
                </c:pt>
                <c:pt idx="144">
                  <c:v>45.741764250654825</c:v>
                </c:pt>
                <c:pt idx="145">
                  <c:v>45.741764250654825</c:v>
                </c:pt>
                <c:pt idx="146">
                  <c:v>45.741764250654825</c:v>
                </c:pt>
                <c:pt idx="147">
                  <c:v>45.741764250654825</c:v>
                </c:pt>
                <c:pt idx="148">
                  <c:v>45.741764250654825</c:v>
                </c:pt>
                <c:pt idx="149">
                  <c:v>45.741764250654825</c:v>
                </c:pt>
                <c:pt idx="150">
                  <c:v>45.741764250654825</c:v>
                </c:pt>
                <c:pt idx="151">
                  <c:v>45.741764250654825</c:v>
                </c:pt>
                <c:pt idx="152">
                  <c:v>45.741764250654825</c:v>
                </c:pt>
                <c:pt idx="153">
                  <c:v>80.413851096189973</c:v>
                </c:pt>
                <c:pt idx="154">
                  <c:v>80.413851096189973</c:v>
                </c:pt>
                <c:pt idx="155">
                  <c:v>80.413851096189973</c:v>
                </c:pt>
                <c:pt idx="156">
                  <c:v>80.413851096189973</c:v>
                </c:pt>
                <c:pt idx="157">
                  <c:v>80.413851096189973</c:v>
                </c:pt>
                <c:pt idx="158">
                  <c:v>80.413851096189973</c:v>
                </c:pt>
                <c:pt idx="159">
                  <c:v>80.413851096189973</c:v>
                </c:pt>
                <c:pt idx="160">
                  <c:v>80.413851096189973</c:v>
                </c:pt>
                <c:pt idx="161">
                  <c:v>80.413851096189973</c:v>
                </c:pt>
                <c:pt idx="162">
                  <c:v>80.413851096189973</c:v>
                </c:pt>
                <c:pt idx="163">
                  <c:v>80.413851096189973</c:v>
                </c:pt>
                <c:pt idx="164">
                  <c:v>80.413851096189973</c:v>
                </c:pt>
                <c:pt idx="165">
                  <c:v>80.413851096189973</c:v>
                </c:pt>
                <c:pt idx="166">
                  <c:v>80.413851096189973</c:v>
                </c:pt>
                <c:pt idx="167">
                  <c:v>80.413851096189973</c:v>
                </c:pt>
                <c:pt idx="168">
                  <c:v>80.413851096189973</c:v>
                </c:pt>
                <c:pt idx="169">
                  <c:v>80.413851096189973</c:v>
                </c:pt>
                <c:pt idx="170">
                  <c:v>80.413851096189973</c:v>
                </c:pt>
                <c:pt idx="171">
                  <c:v>80.413851096189973</c:v>
                </c:pt>
                <c:pt idx="172">
                  <c:v>80.413851096189973</c:v>
                </c:pt>
                <c:pt idx="173">
                  <c:v>80.413851096189973</c:v>
                </c:pt>
                <c:pt idx="174">
                  <c:v>80.413851096189973</c:v>
                </c:pt>
                <c:pt idx="175">
                  <c:v>80.413851096189973</c:v>
                </c:pt>
                <c:pt idx="176">
                  <c:v>80.413851096189973</c:v>
                </c:pt>
                <c:pt idx="177">
                  <c:v>80.413851096189973</c:v>
                </c:pt>
                <c:pt idx="178">
                  <c:v>80.413851096189973</c:v>
                </c:pt>
                <c:pt idx="179">
                  <c:v>80.413851096189973</c:v>
                </c:pt>
                <c:pt idx="180">
                  <c:v>80.413851096189973</c:v>
                </c:pt>
                <c:pt idx="181">
                  <c:v>80.413851096189973</c:v>
                </c:pt>
                <c:pt idx="182">
                  <c:v>80.413851096189973</c:v>
                </c:pt>
                <c:pt idx="183">
                  <c:v>101.95753277636452</c:v>
                </c:pt>
                <c:pt idx="184">
                  <c:v>101.95753277636452</c:v>
                </c:pt>
                <c:pt idx="185">
                  <c:v>101.95753277636452</c:v>
                </c:pt>
                <c:pt idx="186">
                  <c:v>101.95753277636452</c:v>
                </c:pt>
                <c:pt idx="187">
                  <c:v>101.95753277636452</c:v>
                </c:pt>
                <c:pt idx="188">
                  <c:v>101.95753277636452</c:v>
                </c:pt>
                <c:pt idx="189">
                  <c:v>101.95753277636452</c:v>
                </c:pt>
                <c:pt idx="190">
                  <c:v>101.95753277636452</c:v>
                </c:pt>
                <c:pt idx="191">
                  <c:v>101.95753277636452</c:v>
                </c:pt>
                <c:pt idx="192">
                  <c:v>101.95753277636452</c:v>
                </c:pt>
                <c:pt idx="193">
                  <c:v>101.95753277636452</c:v>
                </c:pt>
                <c:pt idx="194">
                  <c:v>101.95753277636452</c:v>
                </c:pt>
                <c:pt idx="195">
                  <c:v>101.95753277636452</c:v>
                </c:pt>
                <c:pt idx="196">
                  <c:v>101.95753277636452</c:v>
                </c:pt>
                <c:pt idx="197">
                  <c:v>101.95753277636452</c:v>
                </c:pt>
                <c:pt idx="198">
                  <c:v>101.95753277636452</c:v>
                </c:pt>
                <c:pt idx="199">
                  <c:v>101.95753277636452</c:v>
                </c:pt>
                <c:pt idx="200">
                  <c:v>101.95753277636452</c:v>
                </c:pt>
                <c:pt idx="201">
                  <c:v>101.95753277636452</c:v>
                </c:pt>
                <c:pt idx="202">
                  <c:v>101.95753277636452</c:v>
                </c:pt>
                <c:pt idx="203">
                  <c:v>101.95753277636452</c:v>
                </c:pt>
                <c:pt idx="204">
                  <c:v>101.95753277636452</c:v>
                </c:pt>
                <c:pt idx="205">
                  <c:v>101.95753277636452</c:v>
                </c:pt>
                <c:pt idx="206">
                  <c:v>101.95753277636452</c:v>
                </c:pt>
                <c:pt idx="207">
                  <c:v>101.95753277636452</c:v>
                </c:pt>
                <c:pt idx="208">
                  <c:v>101.95753277636452</c:v>
                </c:pt>
                <c:pt idx="209">
                  <c:v>101.95753277636452</c:v>
                </c:pt>
                <c:pt idx="210">
                  <c:v>101.95753277636452</c:v>
                </c:pt>
                <c:pt idx="211">
                  <c:v>101.95753277636452</c:v>
                </c:pt>
                <c:pt idx="212">
                  <c:v>101.95753277636452</c:v>
                </c:pt>
                <c:pt idx="213">
                  <c:v>101.95753277636452</c:v>
                </c:pt>
                <c:pt idx="214">
                  <c:v>120.59631724353227</c:v>
                </c:pt>
                <c:pt idx="215">
                  <c:v>120.59631724353227</c:v>
                </c:pt>
                <c:pt idx="216">
                  <c:v>120.59631724353227</c:v>
                </c:pt>
                <c:pt idx="217">
                  <c:v>120.59631724353227</c:v>
                </c:pt>
                <c:pt idx="218">
                  <c:v>120.59631724353227</c:v>
                </c:pt>
                <c:pt idx="219">
                  <c:v>120.59631724353227</c:v>
                </c:pt>
                <c:pt idx="220">
                  <c:v>120.59631724353227</c:v>
                </c:pt>
                <c:pt idx="221">
                  <c:v>120.59631724353227</c:v>
                </c:pt>
                <c:pt idx="222">
                  <c:v>120.59631724353227</c:v>
                </c:pt>
                <c:pt idx="223">
                  <c:v>120.59631724353227</c:v>
                </c:pt>
                <c:pt idx="224">
                  <c:v>120.59631724353227</c:v>
                </c:pt>
                <c:pt idx="225">
                  <c:v>120.59631724353227</c:v>
                </c:pt>
                <c:pt idx="226">
                  <c:v>120.59631724353227</c:v>
                </c:pt>
                <c:pt idx="227">
                  <c:v>120.59631724353227</c:v>
                </c:pt>
                <c:pt idx="228">
                  <c:v>120.59631724353227</c:v>
                </c:pt>
                <c:pt idx="229">
                  <c:v>120.59631724353227</c:v>
                </c:pt>
                <c:pt idx="230">
                  <c:v>120.59631724353227</c:v>
                </c:pt>
                <c:pt idx="231">
                  <c:v>120.59631724353227</c:v>
                </c:pt>
                <c:pt idx="232">
                  <c:v>120.59631724353227</c:v>
                </c:pt>
                <c:pt idx="233">
                  <c:v>120.59631724353227</c:v>
                </c:pt>
                <c:pt idx="234">
                  <c:v>120.59631724353227</c:v>
                </c:pt>
                <c:pt idx="235">
                  <c:v>120.59631724353227</c:v>
                </c:pt>
                <c:pt idx="236">
                  <c:v>120.59631724353227</c:v>
                </c:pt>
                <c:pt idx="237">
                  <c:v>120.59631724353227</c:v>
                </c:pt>
                <c:pt idx="238">
                  <c:v>120.59631724353227</c:v>
                </c:pt>
                <c:pt idx="239">
                  <c:v>120.59631724353227</c:v>
                </c:pt>
                <c:pt idx="240">
                  <c:v>120.59631724353227</c:v>
                </c:pt>
                <c:pt idx="241">
                  <c:v>120.59631724353227</c:v>
                </c:pt>
                <c:pt idx="242">
                  <c:v>120.59631724353227</c:v>
                </c:pt>
                <c:pt idx="243">
                  <c:v>120.59631724353227</c:v>
                </c:pt>
                <c:pt idx="244">
                  <c:v>120.59631724353227</c:v>
                </c:pt>
                <c:pt idx="245">
                  <c:v>120.04142913099631</c:v>
                </c:pt>
                <c:pt idx="246">
                  <c:v>120.04142913099631</c:v>
                </c:pt>
                <c:pt idx="247">
                  <c:v>120.04142913099631</c:v>
                </c:pt>
                <c:pt idx="248">
                  <c:v>120.04142913099631</c:v>
                </c:pt>
                <c:pt idx="249">
                  <c:v>120.04142913099631</c:v>
                </c:pt>
                <c:pt idx="250">
                  <c:v>120.04142913099631</c:v>
                </c:pt>
                <c:pt idx="251">
                  <c:v>120.04142913099631</c:v>
                </c:pt>
                <c:pt idx="252">
                  <c:v>120.04142913099631</c:v>
                </c:pt>
                <c:pt idx="253">
                  <c:v>120.04142913099631</c:v>
                </c:pt>
                <c:pt idx="254">
                  <c:v>120.04142913099631</c:v>
                </c:pt>
                <c:pt idx="255">
                  <c:v>120.04142913099631</c:v>
                </c:pt>
                <c:pt idx="256">
                  <c:v>120.04142913099631</c:v>
                </c:pt>
                <c:pt idx="257">
                  <c:v>120.04142913099631</c:v>
                </c:pt>
                <c:pt idx="258">
                  <c:v>120.04142913099631</c:v>
                </c:pt>
                <c:pt idx="259">
                  <c:v>120.04142913099631</c:v>
                </c:pt>
                <c:pt idx="260">
                  <c:v>120.04142913099631</c:v>
                </c:pt>
                <c:pt idx="261">
                  <c:v>120.04142913099631</c:v>
                </c:pt>
                <c:pt idx="262">
                  <c:v>120.04142913099631</c:v>
                </c:pt>
                <c:pt idx="263">
                  <c:v>120.04142913099631</c:v>
                </c:pt>
                <c:pt idx="264">
                  <c:v>120.04142913099631</c:v>
                </c:pt>
                <c:pt idx="265">
                  <c:v>120.04142913099631</c:v>
                </c:pt>
                <c:pt idx="266">
                  <c:v>120.04142913099631</c:v>
                </c:pt>
                <c:pt idx="267">
                  <c:v>120.04142913099631</c:v>
                </c:pt>
                <c:pt idx="268">
                  <c:v>120.04142913099631</c:v>
                </c:pt>
                <c:pt idx="269">
                  <c:v>120.04142913099631</c:v>
                </c:pt>
                <c:pt idx="270">
                  <c:v>120.04142913099631</c:v>
                </c:pt>
                <c:pt idx="271">
                  <c:v>120.04142913099631</c:v>
                </c:pt>
                <c:pt idx="272">
                  <c:v>120.04142913099631</c:v>
                </c:pt>
                <c:pt idx="273">
                  <c:v>132.90693384979679</c:v>
                </c:pt>
                <c:pt idx="274">
                  <c:v>132.90693384979679</c:v>
                </c:pt>
                <c:pt idx="275">
                  <c:v>132.90693384979679</c:v>
                </c:pt>
                <c:pt idx="276">
                  <c:v>132.90693384979679</c:v>
                </c:pt>
                <c:pt idx="277">
                  <c:v>132.90693384979679</c:v>
                </c:pt>
                <c:pt idx="278">
                  <c:v>132.90693384979679</c:v>
                </c:pt>
                <c:pt idx="279">
                  <c:v>132.90693384979679</c:v>
                </c:pt>
                <c:pt idx="280">
                  <c:v>132.90693384979679</c:v>
                </c:pt>
                <c:pt idx="281">
                  <c:v>132.90693384979679</c:v>
                </c:pt>
                <c:pt idx="282">
                  <c:v>132.90693384979679</c:v>
                </c:pt>
                <c:pt idx="283">
                  <c:v>132.90693384979679</c:v>
                </c:pt>
                <c:pt idx="284">
                  <c:v>132.90693384979679</c:v>
                </c:pt>
                <c:pt idx="285">
                  <c:v>132.90693384979679</c:v>
                </c:pt>
                <c:pt idx="286">
                  <c:v>132.90693384979679</c:v>
                </c:pt>
                <c:pt idx="287">
                  <c:v>132.90693384979679</c:v>
                </c:pt>
                <c:pt idx="288">
                  <c:v>132.90693384979679</c:v>
                </c:pt>
                <c:pt idx="289">
                  <c:v>132.90693384979679</c:v>
                </c:pt>
                <c:pt idx="290">
                  <c:v>132.90693384979679</c:v>
                </c:pt>
                <c:pt idx="291">
                  <c:v>132.90693384979679</c:v>
                </c:pt>
                <c:pt idx="292">
                  <c:v>132.90693384979679</c:v>
                </c:pt>
                <c:pt idx="293">
                  <c:v>132.90693384979679</c:v>
                </c:pt>
                <c:pt idx="294">
                  <c:v>132.90693384979679</c:v>
                </c:pt>
                <c:pt idx="295">
                  <c:v>132.90693384979679</c:v>
                </c:pt>
                <c:pt idx="296">
                  <c:v>132.90693384979679</c:v>
                </c:pt>
                <c:pt idx="297">
                  <c:v>132.90693384979679</c:v>
                </c:pt>
                <c:pt idx="298">
                  <c:v>132.90693384979679</c:v>
                </c:pt>
                <c:pt idx="299">
                  <c:v>132.90693384979679</c:v>
                </c:pt>
                <c:pt idx="300">
                  <c:v>132.90693384979679</c:v>
                </c:pt>
                <c:pt idx="301">
                  <c:v>132.90693384979679</c:v>
                </c:pt>
                <c:pt idx="302">
                  <c:v>132.90693384979679</c:v>
                </c:pt>
                <c:pt idx="303">
                  <c:v>132.90693384979679</c:v>
                </c:pt>
                <c:pt idx="304">
                  <c:v>128.77123560535</c:v>
                </c:pt>
                <c:pt idx="305">
                  <c:v>128.77123560535</c:v>
                </c:pt>
                <c:pt idx="306">
                  <c:v>128.77123560535</c:v>
                </c:pt>
                <c:pt idx="307">
                  <c:v>128.77123560535</c:v>
                </c:pt>
                <c:pt idx="308">
                  <c:v>128.77123560535</c:v>
                </c:pt>
                <c:pt idx="309">
                  <c:v>128.77123560535</c:v>
                </c:pt>
                <c:pt idx="310">
                  <c:v>128.77123560535</c:v>
                </c:pt>
                <c:pt idx="311">
                  <c:v>128.77123560535</c:v>
                </c:pt>
                <c:pt idx="312">
                  <c:v>128.77123560535</c:v>
                </c:pt>
                <c:pt idx="313">
                  <c:v>128.77123560535</c:v>
                </c:pt>
                <c:pt idx="314">
                  <c:v>128.77123560535</c:v>
                </c:pt>
                <c:pt idx="315">
                  <c:v>128.77123560535</c:v>
                </c:pt>
                <c:pt idx="316">
                  <c:v>128.77123560535</c:v>
                </c:pt>
                <c:pt idx="317">
                  <c:v>128.77123560535</c:v>
                </c:pt>
                <c:pt idx="318">
                  <c:v>128.77123560535</c:v>
                </c:pt>
                <c:pt idx="319">
                  <c:v>128.77123560535</c:v>
                </c:pt>
                <c:pt idx="320">
                  <c:v>128.77123560535</c:v>
                </c:pt>
                <c:pt idx="321">
                  <c:v>128.77123560535</c:v>
                </c:pt>
                <c:pt idx="322">
                  <c:v>128.77123560535</c:v>
                </c:pt>
                <c:pt idx="323">
                  <c:v>128.77123560535</c:v>
                </c:pt>
                <c:pt idx="324">
                  <c:v>128.77123560535</c:v>
                </c:pt>
                <c:pt idx="325">
                  <c:v>128.77123560535</c:v>
                </c:pt>
                <c:pt idx="326">
                  <c:v>128.77123560535</c:v>
                </c:pt>
                <c:pt idx="327">
                  <c:v>128.77123560535</c:v>
                </c:pt>
                <c:pt idx="328">
                  <c:v>128.77123560535</c:v>
                </c:pt>
                <c:pt idx="329">
                  <c:v>128.77123560535</c:v>
                </c:pt>
                <c:pt idx="330">
                  <c:v>128.77123560535</c:v>
                </c:pt>
                <c:pt idx="331">
                  <c:v>128.77123560535</c:v>
                </c:pt>
                <c:pt idx="332">
                  <c:v>128.77123560535</c:v>
                </c:pt>
                <c:pt idx="333">
                  <c:v>128.77123560535</c:v>
                </c:pt>
                <c:pt idx="334">
                  <c:v>105.65373260469035</c:v>
                </c:pt>
                <c:pt idx="335">
                  <c:v>105.65373260469035</c:v>
                </c:pt>
                <c:pt idx="336">
                  <c:v>105.65373260469035</c:v>
                </c:pt>
                <c:pt idx="337">
                  <c:v>105.65373260469035</c:v>
                </c:pt>
                <c:pt idx="338">
                  <c:v>105.65373260469035</c:v>
                </c:pt>
                <c:pt idx="339">
                  <c:v>105.65373260469035</c:v>
                </c:pt>
                <c:pt idx="340">
                  <c:v>105.65373260469035</c:v>
                </c:pt>
                <c:pt idx="341">
                  <c:v>105.65373260469035</c:v>
                </c:pt>
                <c:pt idx="342">
                  <c:v>105.65373260469035</c:v>
                </c:pt>
                <c:pt idx="343">
                  <c:v>105.65373260469035</c:v>
                </c:pt>
                <c:pt idx="344">
                  <c:v>105.65373260469035</c:v>
                </c:pt>
                <c:pt idx="345">
                  <c:v>105.65373260469035</c:v>
                </c:pt>
                <c:pt idx="346">
                  <c:v>105.65373260469035</c:v>
                </c:pt>
                <c:pt idx="347">
                  <c:v>105.65373260469035</c:v>
                </c:pt>
                <c:pt idx="348">
                  <c:v>105.65373260469035</c:v>
                </c:pt>
                <c:pt idx="349">
                  <c:v>105.65373260469035</c:v>
                </c:pt>
                <c:pt idx="350">
                  <c:v>105.65373260469035</c:v>
                </c:pt>
                <c:pt idx="351">
                  <c:v>105.65373260469035</c:v>
                </c:pt>
                <c:pt idx="352">
                  <c:v>105.65373260469035</c:v>
                </c:pt>
                <c:pt idx="353">
                  <c:v>105.65373260469035</c:v>
                </c:pt>
                <c:pt idx="354">
                  <c:v>105.65373260469035</c:v>
                </c:pt>
                <c:pt idx="355">
                  <c:v>105.65373260469035</c:v>
                </c:pt>
                <c:pt idx="356">
                  <c:v>105.65373260469035</c:v>
                </c:pt>
                <c:pt idx="357">
                  <c:v>105.65373260469035</c:v>
                </c:pt>
                <c:pt idx="358">
                  <c:v>105.65373260469035</c:v>
                </c:pt>
                <c:pt idx="359">
                  <c:v>105.65373260469035</c:v>
                </c:pt>
                <c:pt idx="360">
                  <c:v>105.65373260469035</c:v>
                </c:pt>
                <c:pt idx="361">
                  <c:v>105.65373260469035</c:v>
                </c:pt>
                <c:pt idx="362">
                  <c:v>105.65373260469035</c:v>
                </c:pt>
                <c:pt idx="363">
                  <c:v>105.65373260469035</c:v>
                </c:pt>
                <c:pt idx="364">
                  <c:v>105.65373260469035</c:v>
                </c:pt>
                <c:pt idx="365">
                  <c:v>65.26716544621334</c:v>
                </c:pt>
                <c:pt idx="366">
                  <c:v>65.26716544621334</c:v>
                </c:pt>
                <c:pt idx="367">
                  <c:v>65.26716544621334</c:v>
                </c:pt>
                <c:pt idx="368">
                  <c:v>65.26716544621334</c:v>
                </c:pt>
                <c:pt idx="369">
                  <c:v>65.26716544621334</c:v>
                </c:pt>
                <c:pt idx="370">
                  <c:v>65.26716544621334</c:v>
                </c:pt>
                <c:pt idx="371">
                  <c:v>65.26716544621334</c:v>
                </c:pt>
                <c:pt idx="372">
                  <c:v>65.26716544621334</c:v>
                </c:pt>
                <c:pt idx="373">
                  <c:v>65.26716544621334</c:v>
                </c:pt>
                <c:pt idx="374">
                  <c:v>65.26716544621334</c:v>
                </c:pt>
                <c:pt idx="375">
                  <c:v>65.26716544621334</c:v>
                </c:pt>
                <c:pt idx="376">
                  <c:v>65.26716544621334</c:v>
                </c:pt>
                <c:pt idx="377">
                  <c:v>65.26716544621334</c:v>
                </c:pt>
                <c:pt idx="378">
                  <c:v>65.26716544621334</c:v>
                </c:pt>
                <c:pt idx="379">
                  <c:v>65.26716544621334</c:v>
                </c:pt>
                <c:pt idx="380">
                  <c:v>65.26716544621334</c:v>
                </c:pt>
                <c:pt idx="381">
                  <c:v>65.26716544621334</c:v>
                </c:pt>
                <c:pt idx="382">
                  <c:v>65.26716544621334</c:v>
                </c:pt>
                <c:pt idx="383">
                  <c:v>65.26716544621334</c:v>
                </c:pt>
                <c:pt idx="384">
                  <c:v>65.26716544621334</c:v>
                </c:pt>
                <c:pt idx="385">
                  <c:v>65.26716544621334</c:v>
                </c:pt>
                <c:pt idx="386">
                  <c:v>65.26716544621334</c:v>
                </c:pt>
                <c:pt idx="387">
                  <c:v>65.26716544621334</c:v>
                </c:pt>
                <c:pt idx="388">
                  <c:v>65.26716544621334</c:v>
                </c:pt>
                <c:pt idx="389">
                  <c:v>65.26716544621334</c:v>
                </c:pt>
                <c:pt idx="390">
                  <c:v>65.26716544621334</c:v>
                </c:pt>
                <c:pt idx="391">
                  <c:v>65.26716544621334</c:v>
                </c:pt>
                <c:pt idx="392">
                  <c:v>65.26716544621334</c:v>
                </c:pt>
                <c:pt idx="393">
                  <c:v>65.26716544621334</c:v>
                </c:pt>
                <c:pt idx="394">
                  <c:v>65.26716544621334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64.364342968573325</c:v>
                </c:pt>
                <c:pt idx="1">
                  <c:v>64.364342968573325</c:v>
                </c:pt>
                <c:pt idx="2">
                  <c:v>64.364342968573325</c:v>
                </c:pt>
                <c:pt idx="3">
                  <c:v>64.364342968573325</c:v>
                </c:pt>
                <c:pt idx="4">
                  <c:v>64.364342968573325</c:v>
                </c:pt>
                <c:pt idx="5">
                  <c:v>64.364342968573325</c:v>
                </c:pt>
                <c:pt idx="6">
                  <c:v>64.364342968573325</c:v>
                </c:pt>
                <c:pt idx="7">
                  <c:v>64.364342968573325</c:v>
                </c:pt>
                <c:pt idx="8">
                  <c:v>64.364342968573325</c:v>
                </c:pt>
                <c:pt idx="9">
                  <c:v>64.364342968573325</c:v>
                </c:pt>
                <c:pt idx="10">
                  <c:v>64.364342968573325</c:v>
                </c:pt>
                <c:pt idx="11">
                  <c:v>64.364342968573325</c:v>
                </c:pt>
                <c:pt idx="12">
                  <c:v>64.364342968573325</c:v>
                </c:pt>
                <c:pt idx="13">
                  <c:v>64.364342968573325</c:v>
                </c:pt>
                <c:pt idx="14">
                  <c:v>64.364342968573325</c:v>
                </c:pt>
                <c:pt idx="15">
                  <c:v>64.364342968573325</c:v>
                </c:pt>
                <c:pt idx="16">
                  <c:v>64.364342968573325</c:v>
                </c:pt>
                <c:pt idx="17">
                  <c:v>64.364342968573325</c:v>
                </c:pt>
                <c:pt idx="18">
                  <c:v>64.364342968573325</c:v>
                </c:pt>
                <c:pt idx="19">
                  <c:v>64.364342968573325</c:v>
                </c:pt>
                <c:pt idx="20">
                  <c:v>64.364342968573325</c:v>
                </c:pt>
                <c:pt idx="21">
                  <c:v>64.364342968573325</c:v>
                </c:pt>
                <c:pt idx="22">
                  <c:v>64.364342968573325</c:v>
                </c:pt>
                <c:pt idx="23">
                  <c:v>64.364342968573325</c:v>
                </c:pt>
                <c:pt idx="24">
                  <c:v>64.364342968573325</c:v>
                </c:pt>
                <c:pt idx="25">
                  <c:v>64.364342968573325</c:v>
                </c:pt>
                <c:pt idx="26">
                  <c:v>64.364342968573325</c:v>
                </c:pt>
                <c:pt idx="27">
                  <c:v>64.364342968573325</c:v>
                </c:pt>
                <c:pt idx="28">
                  <c:v>64.364342968573325</c:v>
                </c:pt>
                <c:pt idx="29">
                  <c:v>64.364342968573325</c:v>
                </c:pt>
                <c:pt idx="30">
                  <c:v>28.016997662909688</c:v>
                </c:pt>
                <c:pt idx="31">
                  <c:v>28.016997662909688</c:v>
                </c:pt>
                <c:pt idx="32">
                  <c:v>28.016997662909688</c:v>
                </c:pt>
                <c:pt idx="33">
                  <c:v>28.016997662909688</c:v>
                </c:pt>
                <c:pt idx="34">
                  <c:v>28.016997662909688</c:v>
                </c:pt>
                <c:pt idx="35">
                  <c:v>28.016997662909688</c:v>
                </c:pt>
                <c:pt idx="36">
                  <c:v>28.016997662909688</c:v>
                </c:pt>
                <c:pt idx="37">
                  <c:v>28.016997662909688</c:v>
                </c:pt>
                <c:pt idx="38">
                  <c:v>28.016997662909688</c:v>
                </c:pt>
                <c:pt idx="39">
                  <c:v>28.016997662909688</c:v>
                </c:pt>
                <c:pt idx="40">
                  <c:v>28.016997662909688</c:v>
                </c:pt>
                <c:pt idx="41">
                  <c:v>28.016997662909688</c:v>
                </c:pt>
                <c:pt idx="42">
                  <c:v>28.016997662909688</c:v>
                </c:pt>
                <c:pt idx="43">
                  <c:v>22.442121530000588</c:v>
                </c:pt>
                <c:pt idx="44">
                  <c:v>6.4768478000008471</c:v>
                </c:pt>
                <c:pt idx="45">
                  <c:v>7.1221750679984108</c:v>
                </c:pt>
                <c:pt idx="46">
                  <c:v>5.5775102060000501</c:v>
                </c:pt>
                <c:pt idx="47">
                  <c:v>6.9436143500001055</c:v>
                </c:pt>
                <c:pt idx="48">
                  <c:v>8.0428851500002061</c:v>
                </c:pt>
                <c:pt idx="49">
                  <c:v>5.3483192739994845</c:v>
                </c:pt>
                <c:pt idx="50">
                  <c:v>4.3246602700016812</c:v>
                </c:pt>
                <c:pt idx="51">
                  <c:v>3.1530496419999401</c:v>
                </c:pt>
                <c:pt idx="52">
                  <c:v>28.016997662909688</c:v>
                </c:pt>
                <c:pt idx="53">
                  <c:v>28.016997662909688</c:v>
                </c:pt>
                <c:pt idx="54">
                  <c:v>28.016997662909688</c:v>
                </c:pt>
                <c:pt idx="55">
                  <c:v>28.016997662909688</c:v>
                </c:pt>
                <c:pt idx="56">
                  <c:v>28.016997662909688</c:v>
                </c:pt>
                <c:pt idx="57">
                  <c:v>28.016997662909688</c:v>
                </c:pt>
                <c:pt idx="58">
                  <c:v>28.016997662909688</c:v>
                </c:pt>
                <c:pt idx="59">
                  <c:v>28.016997662909688</c:v>
                </c:pt>
                <c:pt idx="60">
                  <c:v>28.016997662909688</c:v>
                </c:pt>
                <c:pt idx="61">
                  <c:v>16.99706947525484</c:v>
                </c:pt>
                <c:pt idx="62">
                  <c:v>16.99706947525484</c:v>
                </c:pt>
                <c:pt idx="63">
                  <c:v>16.99706947525484</c:v>
                </c:pt>
                <c:pt idx="64">
                  <c:v>16.99706947525484</c:v>
                </c:pt>
                <c:pt idx="65">
                  <c:v>16.99706947525484</c:v>
                </c:pt>
                <c:pt idx="66">
                  <c:v>16.99706947525484</c:v>
                </c:pt>
                <c:pt idx="67">
                  <c:v>16.99706947525484</c:v>
                </c:pt>
                <c:pt idx="68">
                  <c:v>16.99706947525484</c:v>
                </c:pt>
                <c:pt idx="69">
                  <c:v>16.99706947525484</c:v>
                </c:pt>
                <c:pt idx="70">
                  <c:v>16.99706947525484</c:v>
                </c:pt>
                <c:pt idx="71">
                  <c:v>16.99706947525484</c:v>
                </c:pt>
                <c:pt idx="72">
                  <c:v>16.99706947525484</c:v>
                </c:pt>
                <c:pt idx="73">
                  <c:v>16.99706947525484</c:v>
                </c:pt>
                <c:pt idx="74">
                  <c:v>16.99706947525484</c:v>
                </c:pt>
                <c:pt idx="75">
                  <c:v>16.99706947525484</c:v>
                </c:pt>
                <c:pt idx="76">
                  <c:v>16.99706947525484</c:v>
                </c:pt>
                <c:pt idx="77">
                  <c:v>16.99706947525484</c:v>
                </c:pt>
                <c:pt idx="78">
                  <c:v>16.99706947525484</c:v>
                </c:pt>
                <c:pt idx="79">
                  <c:v>16.99706947525484</c:v>
                </c:pt>
                <c:pt idx="80">
                  <c:v>16.99706947525484</c:v>
                </c:pt>
                <c:pt idx="81">
                  <c:v>16.99706947525484</c:v>
                </c:pt>
                <c:pt idx="82">
                  <c:v>16.99706947525484</c:v>
                </c:pt>
                <c:pt idx="83">
                  <c:v>16.99706947525484</c:v>
                </c:pt>
                <c:pt idx="84">
                  <c:v>16.99706947525484</c:v>
                </c:pt>
                <c:pt idx="85">
                  <c:v>11.081069043241602</c:v>
                </c:pt>
                <c:pt idx="86">
                  <c:v>13.516125849243464</c:v>
                </c:pt>
                <c:pt idx="87">
                  <c:v>16.99706947525484</c:v>
                </c:pt>
                <c:pt idx="88">
                  <c:v>16.99706947525484</c:v>
                </c:pt>
                <c:pt idx="89">
                  <c:v>16.99706947525484</c:v>
                </c:pt>
                <c:pt idx="90">
                  <c:v>16.99706947525484</c:v>
                </c:pt>
                <c:pt idx="91">
                  <c:v>16.99706947525484</c:v>
                </c:pt>
                <c:pt idx="92">
                  <c:v>16.29434298203574</c:v>
                </c:pt>
                <c:pt idx="93">
                  <c:v>22.743378673520009</c:v>
                </c:pt>
                <c:pt idx="94">
                  <c:v>22.743378673520009</c:v>
                </c:pt>
                <c:pt idx="95">
                  <c:v>22.743378673520009</c:v>
                </c:pt>
                <c:pt idx="96">
                  <c:v>22.743378673520009</c:v>
                </c:pt>
                <c:pt idx="97">
                  <c:v>22.743378673520009</c:v>
                </c:pt>
                <c:pt idx="98">
                  <c:v>22.743378673520009</c:v>
                </c:pt>
                <c:pt idx="99">
                  <c:v>22.743378673520009</c:v>
                </c:pt>
                <c:pt idx="100">
                  <c:v>19.46127643524845</c:v>
                </c:pt>
                <c:pt idx="101">
                  <c:v>22.743378673520009</c:v>
                </c:pt>
                <c:pt idx="102">
                  <c:v>22.743378673520009</c:v>
                </c:pt>
                <c:pt idx="103">
                  <c:v>22.743378673520009</c:v>
                </c:pt>
                <c:pt idx="104">
                  <c:v>22.743378673520009</c:v>
                </c:pt>
                <c:pt idx="105">
                  <c:v>22.743378673520009</c:v>
                </c:pt>
                <c:pt idx="106">
                  <c:v>15.317967983802555</c:v>
                </c:pt>
                <c:pt idx="107">
                  <c:v>8.5635028258025478</c:v>
                </c:pt>
                <c:pt idx="108">
                  <c:v>14.357926075802549</c:v>
                </c:pt>
                <c:pt idx="109">
                  <c:v>22.743378673520009</c:v>
                </c:pt>
                <c:pt idx="110">
                  <c:v>22.743378673520009</c:v>
                </c:pt>
                <c:pt idx="111">
                  <c:v>22.743378673520009</c:v>
                </c:pt>
                <c:pt idx="112">
                  <c:v>22.743378673520009</c:v>
                </c:pt>
                <c:pt idx="113">
                  <c:v>15.697499941696435</c:v>
                </c:pt>
                <c:pt idx="114">
                  <c:v>5.7475459036983008</c:v>
                </c:pt>
                <c:pt idx="115">
                  <c:v>18.110724911696437</c:v>
                </c:pt>
                <c:pt idx="116">
                  <c:v>18.962033891696432</c:v>
                </c:pt>
                <c:pt idx="117">
                  <c:v>10.506583021213366</c:v>
                </c:pt>
                <c:pt idx="118">
                  <c:v>10.024327815213372</c:v>
                </c:pt>
                <c:pt idx="119">
                  <c:v>10.118638751212435</c:v>
                </c:pt>
                <c:pt idx="120">
                  <c:v>8.9131956272133692</c:v>
                </c:pt>
                <c:pt idx="121">
                  <c:v>8.1930394632124379</c:v>
                </c:pt>
                <c:pt idx="122">
                  <c:v>7.3986204952133701</c:v>
                </c:pt>
                <c:pt idx="123">
                  <c:v>4.609804207212437</c:v>
                </c:pt>
                <c:pt idx="124">
                  <c:v>2.3887407607003261</c:v>
                </c:pt>
                <c:pt idx="125">
                  <c:v>7.0064342647012596</c:v>
                </c:pt>
                <c:pt idx="126">
                  <c:v>5.9097920727003297</c:v>
                </c:pt>
                <c:pt idx="127">
                  <c:v>3.9427618527003285</c:v>
                </c:pt>
                <c:pt idx="128">
                  <c:v>1.9604446107003277</c:v>
                </c:pt>
                <c:pt idx="129">
                  <c:v>2.4853065447012632</c:v>
                </c:pt>
                <c:pt idx="130">
                  <c:v>5.0754817527003322</c:v>
                </c:pt>
                <c:pt idx="131">
                  <c:v>29.921168912888817</c:v>
                </c:pt>
                <c:pt idx="132">
                  <c:v>25.387030768888813</c:v>
                </c:pt>
                <c:pt idx="133">
                  <c:v>26.288014220888815</c:v>
                </c:pt>
                <c:pt idx="134">
                  <c:v>14.197880838888818</c:v>
                </c:pt>
                <c:pt idx="135">
                  <c:v>17.363311476889745</c:v>
                </c:pt>
                <c:pt idx="136">
                  <c:v>36.118517392888819</c:v>
                </c:pt>
                <c:pt idx="137">
                  <c:v>45.741764250654825</c:v>
                </c:pt>
                <c:pt idx="138">
                  <c:v>45.741764250654825</c:v>
                </c:pt>
                <c:pt idx="139">
                  <c:v>45.741764250654825</c:v>
                </c:pt>
                <c:pt idx="140">
                  <c:v>45.741764250654825</c:v>
                </c:pt>
                <c:pt idx="141">
                  <c:v>45.339036974987422</c:v>
                </c:pt>
                <c:pt idx="142">
                  <c:v>45.741764250654825</c:v>
                </c:pt>
                <c:pt idx="143">
                  <c:v>44.120979864986488</c:v>
                </c:pt>
                <c:pt idx="144">
                  <c:v>42.554396610986494</c:v>
                </c:pt>
                <c:pt idx="145">
                  <c:v>32.042032314450054</c:v>
                </c:pt>
                <c:pt idx="146">
                  <c:v>45.741764250654825</c:v>
                </c:pt>
                <c:pt idx="147">
                  <c:v>45.741764250654825</c:v>
                </c:pt>
                <c:pt idx="148">
                  <c:v>19.380238686450053</c:v>
                </c:pt>
                <c:pt idx="149">
                  <c:v>11.52307071845005</c:v>
                </c:pt>
                <c:pt idx="150">
                  <c:v>16.50693054445005</c:v>
                </c:pt>
                <c:pt idx="151">
                  <c:v>45.741764250654825</c:v>
                </c:pt>
                <c:pt idx="152">
                  <c:v>45.741764250654825</c:v>
                </c:pt>
                <c:pt idx="153">
                  <c:v>43.416546616363625</c:v>
                </c:pt>
                <c:pt idx="154">
                  <c:v>47.075057798362693</c:v>
                </c:pt>
                <c:pt idx="155">
                  <c:v>47.243531606363618</c:v>
                </c:pt>
                <c:pt idx="156">
                  <c:v>43.315809924363627</c:v>
                </c:pt>
                <c:pt idx="157">
                  <c:v>57.857351662362696</c:v>
                </c:pt>
                <c:pt idx="158">
                  <c:v>48.876081674363625</c:v>
                </c:pt>
                <c:pt idx="159">
                  <c:v>80.413851096189973</c:v>
                </c:pt>
                <c:pt idx="160">
                  <c:v>80.413851096189973</c:v>
                </c:pt>
                <c:pt idx="161">
                  <c:v>80.413851096189973</c:v>
                </c:pt>
                <c:pt idx="162">
                  <c:v>80.413851096189973</c:v>
                </c:pt>
                <c:pt idx="163">
                  <c:v>80.413851096189973</c:v>
                </c:pt>
                <c:pt idx="164">
                  <c:v>80.413851096189973</c:v>
                </c:pt>
                <c:pt idx="165">
                  <c:v>80.413851096189973</c:v>
                </c:pt>
                <c:pt idx="166">
                  <c:v>80.413851096189973</c:v>
                </c:pt>
                <c:pt idx="167">
                  <c:v>80.413851096189973</c:v>
                </c:pt>
                <c:pt idx="168">
                  <c:v>80.413851096189973</c:v>
                </c:pt>
                <c:pt idx="169">
                  <c:v>76.32607546173918</c:v>
                </c:pt>
                <c:pt idx="170">
                  <c:v>72.289244381739181</c:v>
                </c:pt>
                <c:pt idx="171">
                  <c:v>80.413851096189973</c:v>
                </c:pt>
                <c:pt idx="172">
                  <c:v>80.413851096189973</c:v>
                </c:pt>
                <c:pt idx="173">
                  <c:v>80.413851096189973</c:v>
                </c:pt>
                <c:pt idx="174">
                  <c:v>80.413851096189973</c:v>
                </c:pt>
                <c:pt idx="175">
                  <c:v>80.413851096189973</c:v>
                </c:pt>
                <c:pt idx="176">
                  <c:v>71.462767399572996</c:v>
                </c:pt>
                <c:pt idx="177">
                  <c:v>73.556786463573943</c:v>
                </c:pt>
                <c:pt idx="178">
                  <c:v>80.413851096189973</c:v>
                </c:pt>
                <c:pt idx="179">
                  <c:v>80.413851096189973</c:v>
                </c:pt>
                <c:pt idx="180">
                  <c:v>80.413851096189973</c:v>
                </c:pt>
                <c:pt idx="181">
                  <c:v>80.413851096189973</c:v>
                </c:pt>
                <c:pt idx="182">
                  <c:v>80.413851096189973</c:v>
                </c:pt>
                <c:pt idx="183">
                  <c:v>90.394212360286787</c:v>
                </c:pt>
                <c:pt idx="184">
                  <c:v>84.866914290285848</c:v>
                </c:pt>
                <c:pt idx="185">
                  <c:v>101.95753277636452</c:v>
                </c:pt>
                <c:pt idx="186">
                  <c:v>101.95753277636452</c:v>
                </c:pt>
                <c:pt idx="187">
                  <c:v>87.515008344428594</c:v>
                </c:pt>
                <c:pt idx="188">
                  <c:v>77.782506294428586</c:v>
                </c:pt>
                <c:pt idx="189">
                  <c:v>62.18230000042859</c:v>
                </c:pt>
                <c:pt idx="190">
                  <c:v>55.709332724428592</c:v>
                </c:pt>
                <c:pt idx="191">
                  <c:v>55.556556698428594</c:v>
                </c:pt>
                <c:pt idx="192">
                  <c:v>67.053807550428601</c:v>
                </c:pt>
                <c:pt idx="193">
                  <c:v>96.102252704428594</c:v>
                </c:pt>
                <c:pt idx="194">
                  <c:v>101.95753277636452</c:v>
                </c:pt>
                <c:pt idx="195">
                  <c:v>84.353938072275511</c:v>
                </c:pt>
                <c:pt idx="196">
                  <c:v>86.425479054275513</c:v>
                </c:pt>
                <c:pt idx="197">
                  <c:v>74.544494642275509</c:v>
                </c:pt>
                <c:pt idx="198">
                  <c:v>69.967279598275525</c:v>
                </c:pt>
                <c:pt idx="199">
                  <c:v>101.95753277636452</c:v>
                </c:pt>
                <c:pt idx="200">
                  <c:v>93.932545482275515</c:v>
                </c:pt>
                <c:pt idx="201">
                  <c:v>100.38242194998713</c:v>
                </c:pt>
                <c:pt idx="202">
                  <c:v>101.95753277636452</c:v>
                </c:pt>
                <c:pt idx="203">
                  <c:v>94.165243369987138</c:v>
                </c:pt>
                <c:pt idx="204">
                  <c:v>95.940931389987128</c:v>
                </c:pt>
                <c:pt idx="205">
                  <c:v>90.126315709987125</c:v>
                </c:pt>
                <c:pt idx="206">
                  <c:v>92.583022409987137</c:v>
                </c:pt>
                <c:pt idx="207">
                  <c:v>78.185484777987128</c:v>
                </c:pt>
                <c:pt idx="208">
                  <c:v>80.373116800517693</c:v>
                </c:pt>
                <c:pt idx="209">
                  <c:v>100.59527395651676</c:v>
                </c:pt>
                <c:pt idx="210">
                  <c:v>78.486777536517678</c:v>
                </c:pt>
                <c:pt idx="211">
                  <c:v>61.710580186517689</c:v>
                </c:pt>
                <c:pt idx="212">
                  <c:v>62.105505364517683</c:v>
                </c:pt>
                <c:pt idx="213">
                  <c:v>67.689349472517691</c:v>
                </c:pt>
                <c:pt idx="214">
                  <c:v>48.113297146517681</c:v>
                </c:pt>
                <c:pt idx="215">
                  <c:v>42.619816521668227</c:v>
                </c:pt>
                <c:pt idx="216">
                  <c:v>64.313447971668225</c:v>
                </c:pt>
                <c:pt idx="217">
                  <c:v>75.624265243669157</c:v>
                </c:pt>
                <c:pt idx="218">
                  <c:v>40.138169683668224</c:v>
                </c:pt>
                <c:pt idx="219">
                  <c:v>23.395089041669156</c:v>
                </c:pt>
                <c:pt idx="220">
                  <c:v>48.039766631668229</c:v>
                </c:pt>
                <c:pt idx="221">
                  <c:v>49.373965037669159</c:v>
                </c:pt>
                <c:pt idx="222">
                  <c:v>33.704585509775029</c:v>
                </c:pt>
                <c:pt idx="223">
                  <c:v>47.277197803775032</c:v>
                </c:pt>
                <c:pt idx="224">
                  <c:v>49.300718171775031</c:v>
                </c:pt>
                <c:pt idx="225">
                  <c:v>21.41234182177503</c:v>
                </c:pt>
                <c:pt idx="226">
                  <c:v>27.367468911775031</c:v>
                </c:pt>
                <c:pt idx="227">
                  <c:v>38.59618624177503</c:v>
                </c:pt>
                <c:pt idx="228">
                  <c:v>66.260391331775963</c:v>
                </c:pt>
                <c:pt idx="229">
                  <c:v>57.04045158485799</c:v>
                </c:pt>
                <c:pt idx="230">
                  <c:v>47.077626530858922</c:v>
                </c:pt>
                <c:pt idx="231">
                  <c:v>75.719266858857978</c:v>
                </c:pt>
                <c:pt idx="232">
                  <c:v>43.363908048857994</c:v>
                </c:pt>
                <c:pt idx="233">
                  <c:v>21.83003846885892</c:v>
                </c:pt>
                <c:pt idx="234">
                  <c:v>65.392766698857983</c:v>
                </c:pt>
                <c:pt idx="235">
                  <c:v>50.397212048858911</c:v>
                </c:pt>
                <c:pt idx="236">
                  <c:v>86.926067344620051</c:v>
                </c:pt>
                <c:pt idx="237">
                  <c:v>94.078569926620986</c:v>
                </c:pt>
                <c:pt idx="238">
                  <c:v>99.235658760620055</c:v>
                </c:pt>
                <c:pt idx="239">
                  <c:v>91.517316510620049</c:v>
                </c:pt>
                <c:pt idx="240">
                  <c:v>77.204728650620993</c:v>
                </c:pt>
                <c:pt idx="241">
                  <c:v>98.923464460620039</c:v>
                </c:pt>
                <c:pt idx="242">
                  <c:v>101.44524273062005</c:v>
                </c:pt>
                <c:pt idx="243">
                  <c:v>120.59631724353227</c:v>
                </c:pt>
                <c:pt idx="244">
                  <c:v>120.59631724353227</c:v>
                </c:pt>
                <c:pt idx="245">
                  <c:v>120.04142913099631</c:v>
                </c:pt>
                <c:pt idx="246">
                  <c:v>120.04142913099631</c:v>
                </c:pt>
                <c:pt idx="247">
                  <c:v>120.04142913099631</c:v>
                </c:pt>
                <c:pt idx="248">
                  <c:v>120.04142913099631</c:v>
                </c:pt>
                <c:pt idx="249">
                  <c:v>120.04142913099631</c:v>
                </c:pt>
                <c:pt idx="250">
                  <c:v>120.04142913099631</c:v>
                </c:pt>
                <c:pt idx="251">
                  <c:v>120.04142913099631</c:v>
                </c:pt>
                <c:pt idx="252">
                  <c:v>120.04142913099631</c:v>
                </c:pt>
                <c:pt idx="253">
                  <c:v>120.04142913099631</c:v>
                </c:pt>
                <c:pt idx="254">
                  <c:v>114.23968854384995</c:v>
                </c:pt>
                <c:pt idx="255">
                  <c:v>120.04142913099631</c:v>
                </c:pt>
                <c:pt idx="256">
                  <c:v>120.04142913099631</c:v>
                </c:pt>
                <c:pt idx="257">
                  <c:v>120.04142913099631</c:v>
                </c:pt>
                <c:pt idx="258">
                  <c:v>103.61933332644728</c:v>
                </c:pt>
                <c:pt idx="259">
                  <c:v>107.91993847844542</c:v>
                </c:pt>
                <c:pt idx="260">
                  <c:v>94.657826232447277</c:v>
                </c:pt>
                <c:pt idx="261">
                  <c:v>84.414197128447285</c:v>
                </c:pt>
                <c:pt idx="262">
                  <c:v>109.91337516244728</c:v>
                </c:pt>
                <c:pt idx="263">
                  <c:v>119.44001481844542</c:v>
                </c:pt>
                <c:pt idx="264">
                  <c:v>87.654566587945766</c:v>
                </c:pt>
                <c:pt idx="265">
                  <c:v>79.100640777947632</c:v>
                </c:pt>
                <c:pt idx="266">
                  <c:v>75.29656747794948</c:v>
                </c:pt>
                <c:pt idx="267">
                  <c:v>64.67373701394763</c:v>
                </c:pt>
                <c:pt idx="268">
                  <c:v>66.547907371945769</c:v>
                </c:pt>
                <c:pt idx="269">
                  <c:v>91.929126957949492</c:v>
                </c:pt>
                <c:pt idx="270">
                  <c:v>75.529221327947624</c:v>
                </c:pt>
                <c:pt idx="271">
                  <c:v>69.289263910232478</c:v>
                </c:pt>
                <c:pt idx="272">
                  <c:v>63.050286326230605</c:v>
                </c:pt>
                <c:pt idx="273">
                  <c:v>70.277278594230609</c:v>
                </c:pt>
                <c:pt idx="274">
                  <c:v>55.063279526230609</c:v>
                </c:pt>
                <c:pt idx="275">
                  <c:v>40.958432326230607</c:v>
                </c:pt>
                <c:pt idx="276">
                  <c:v>48.805438076230608</c:v>
                </c:pt>
                <c:pt idx="277">
                  <c:v>50.547411536228744</c:v>
                </c:pt>
                <c:pt idx="278">
                  <c:v>97.01271852355444</c:v>
                </c:pt>
                <c:pt idx="279">
                  <c:v>113.77196696755446</c:v>
                </c:pt>
                <c:pt idx="280">
                  <c:v>132.90693384979679</c:v>
                </c:pt>
                <c:pt idx="281">
                  <c:v>132.90693384979679</c:v>
                </c:pt>
                <c:pt idx="282">
                  <c:v>106.05562519355446</c:v>
                </c:pt>
                <c:pt idx="283">
                  <c:v>131.23816403755447</c:v>
                </c:pt>
                <c:pt idx="284">
                  <c:v>122.21529737355259</c:v>
                </c:pt>
                <c:pt idx="285">
                  <c:v>66.401825921277947</c:v>
                </c:pt>
                <c:pt idx="286">
                  <c:v>83.578813791277952</c:v>
                </c:pt>
                <c:pt idx="287">
                  <c:v>97.28867130127982</c:v>
                </c:pt>
                <c:pt idx="288">
                  <c:v>74.691771641277953</c:v>
                </c:pt>
                <c:pt idx="289">
                  <c:v>41.066370621277947</c:v>
                </c:pt>
                <c:pt idx="290">
                  <c:v>61.15964948127796</c:v>
                </c:pt>
                <c:pt idx="291">
                  <c:v>61.975206013277955</c:v>
                </c:pt>
                <c:pt idx="292">
                  <c:v>59.04501076469046</c:v>
                </c:pt>
                <c:pt idx="293">
                  <c:v>74.889885428690448</c:v>
                </c:pt>
                <c:pt idx="294">
                  <c:v>98.914973132690463</c:v>
                </c:pt>
                <c:pt idx="295">
                  <c:v>68.305593472692308</c:v>
                </c:pt>
                <c:pt idx="296">
                  <c:v>41.294560642690456</c:v>
                </c:pt>
                <c:pt idx="297">
                  <c:v>42.070215022690455</c:v>
                </c:pt>
                <c:pt idx="298">
                  <c:v>37.89081406269046</c:v>
                </c:pt>
                <c:pt idx="299">
                  <c:v>39.164603627379492</c:v>
                </c:pt>
                <c:pt idx="300">
                  <c:v>50.549527553381346</c:v>
                </c:pt>
                <c:pt idx="301">
                  <c:v>62.508611467379481</c:v>
                </c:pt>
                <c:pt idx="302">
                  <c:v>40.584141867379493</c:v>
                </c:pt>
                <c:pt idx="303">
                  <c:v>51.808680707385072</c:v>
                </c:pt>
                <c:pt idx="304">
                  <c:v>76.65771883938136</c:v>
                </c:pt>
                <c:pt idx="305">
                  <c:v>73.103140955377611</c:v>
                </c:pt>
                <c:pt idx="306">
                  <c:v>45.01858317977959</c:v>
                </c:pt>
                <c:pt idx="307">
                  <c:v>42.325144523779592</c:v>
                </c:pt>
                <c:pt idx="308">
                  <c:v>53.114143071777725</c:v>
                </c:pt>
                <c:pt idx="309">
                  <c:v>35.382675467779592</c:v>
                </c:pt>
                <c:pt idx="310">
                  <c:v>30.349885119777724</c:v>
                </c:pt>
                <c:pt idx="311">
                  <c:v>38.869087747777733</c:v>
                </c:pt>
                <c:pt idx="312">
                  <c:v>35.440293803779589</c:v>
                </c:pt>
                <c:pt idx="313">
                  <c:v>73.569345241523081</c:v>
                </c:pt>
                <c:pt idx="314">
                  <c:v>81.876537213523108</c:v>
                </c:pt>
                <c:pt idx="315">
                  <c:v>81.248949489523099</c:v>
                </c:pt>
                <c:pt idx="316">
                  <c:v>71.754454277523095</c:v>
                </c:pt>
                <c:pt idx="317">
                  <c:v>65.207499237523095</c:v>
                </c:pt>
                <c:pt idx="318">
                  <c:v>75.083972453521227</c:v>
                </c:pt>
                <c:pt idx="319">
                  <c:v>82.7277009815231</c:v>
                </c:pt>
                <c:pt idx="320">
                  <c:v>99.887771316209069</c:v>
                </c:pt>
                <c:pt idx="321">
                  <c:v>97.503805000207208</c:v>
                </c:pt>
                <c:pt idx="322">
                  <c:v>76.237347956209064</c:v>
                </c:pt>
                <c:pt idx="323">
                  <c:v>73.371422276207213</c:v>
                </c:pt>
                <c:pt idx="324">
                  <c:v>82.086943796209056</c:v>
                </c:pt>
                <c:pt idx="325">
                  <c:v>83.039042272209073</c:v>
                </c:pt>
                <c:pt idx="326">
                  <c:v>84.907127912207216</c:v>
                </c:pt>
                <c:pt idx="327">
                  <c:v>120.09120279154841</c:v>
                </c:pt>
                <c:pt idx="328">
                  <c:v>122.04502637154656</c:v>
                </c:pt>
                <c:pt idx="329">
                  <c:v>128.77123560535</c:v>
                </c:pt>
                <c:pt idx="330">
                  <c:v>128.77123560535</c:v>
                </c:pt>
                <c:pt idx="331">
                  <c:v>124.74557389154842</c:v>
                </c:pt>
                <c:pt idx="332">
                  <c:v>128.77123560535</c:v>
                </c:pt>
                <c:pt idx="333">
                  <c:v>128.77123560535</c:v>
                </c:pt>
                <c:pt idx="334">
                  <c:v>105.65373260469035</c:v>
                </c:pt>
                <c:pt idx="335">
                  <c:v>100.06853757899054</c:v>
                </c:pt>
                <c:pt idx="336">
                  <c:v>102.81004228298868</c:v>
                </c:pt>
                <c:pt idx="337">
                  <c:v>101.23971845099054</c:v>
                </c:pt>
                <c:pt idx="338">
                  <c:v>93.939445794990547</c:v>
                </c:pt>
                <c:pt idx="339">
                  <c:v>105.65373260469035</c:v>
                </c:pt>
                <c:pt idx="340">
                  <c:v>103.93047935099054</c:v>
                </c:pt>
                <c:pt idx="341">
                  <c:v>66.189202729308803</c:v>
                </c:pt>
                <c:pt idx="342">
                  <c:v>74.412695409306934</c:v>
                </c:pt>
                <c:pt idx="343">
                  <c:v>83.627382461306937</c:v>
                </c:pt>
                <c:pt idx="344">
                  <c:v>75.943218089306924</c:v>
                </c:pt>
                <c:pt idx="345">
                  <c:v>66.288154533306923</c:v>
                </c:pt>
                <c:pt idx="346">
                  <c:v>71.954015609306921</c:v>
                </c:pt>
                <c:pt idx="347">
                  <c:v>75.274204213308792</c:v>
                </c:pt>
                <c:pt idx="348">
                  <c:v>74.34173817415514</c:v>
                </c:pt>
                <c:pt idx="349">
                  <c:v>67.959188766156998</c:v>
                </c:pt>
                <c:pt idx="350">
                  <c:v>65.692982786156989</c:v>
                </c:pt>
                <c:pt idx="351">
                  <c:v>64.505841354155137</c:v>
                </c:pt>
                <c:pt idx="352">
                  <c:v>60.628721762158854</c:v>
                </c:pt>
                <c:pt idx="353">
                  <c:v>72.604453906155129</c:v>
                </c:pt>
                <c:pt idx="354">
                  <c:v>76.283293826155131</c:v>
                </c:pt>
                <c:pt idx="355">
                  <c:v>65.635779093736303</c:v>
                </c:pt>
                <c:pt idx="356">
                  <c:v>60.05188925373443</c:v>
                </c:pt>
                <c:pt idx="357">
                  <c:v>59.146729805736292</c:v>
                </c:pt>
                <c:pt idx="358">
                  <c:v>57.372487131732569</c:v>
                </c:pt>
                <c:pt idx="359">
                  <c:v>54.61047347173816</c:v>
                </c:pt>
                <c:pt idx="360">
                  <c:v>58.416215127732571</c:v>
                </c:pt>
                <c:pt idx="361">
                  <c:v>53.367108333734429</c:v>
                </c:pt>
                <c:pt idx="362">
                  <c:v>46.932252174643338</c:v>
                </c:pt>
                <c:pt idx="363">
                  <c:v>47.351127922641481</c:v>
                </c:pt>
                <c:pt idx="364">
                  <c:v>54.088175124643342</c:v>
                </c:pt>
                <c:pt idx="365">
                  <c:v>46.029502642641482</c:v>
                </c:pt>
                <c:pt idx="366">
                  <c:v>41.259647216643344</c:v>
                </c:pt>
                <c:pt idx="367">
                  <c:v>49.633967986643341</c:v>
                </c:pt>
                <c:pt idx="368">
                  <c:v>42.163067116641486</c:v>
                </c:pt>
                <c:pt idx="369">
                  <c:v>44.063425011716376</c:v>
                </c:pt>
                <c:pt idx="370">
                  <c:v>41.283456523716374</c:v>
                </c:pt>
                <c:pt idx="371">
                  <c:v>46.541849791718242</c:v>
                </c:pt>
                <c:pt idx="372">
                  <c:v>36.370185447716374</c:v>
                </c:pt>
                <c:pt idx="373">
                  <c:v>36.215956243718239</c:v>
                </c:pt>
                <c:pt idx="374">
                  <c:v>34.954237279718242</c:v>
                </c:pt>
                <c:pt idx="375">
                  <c:v>40.592416139716377</c:v>
                </c:pt>
                <c:pt idx="376">
                  <c:v>39.241911186815599</c:v>
                </c:pt>
                <c:pt idx="377">
                  <c:v>28.634086794815595</c:v>
                </c:pt>
                <c:pt idx="378">
                  <c:v>32.436906178815597</c:v>
                </c:pt>
                <c:pt idx="379">
                  <c:v>29.753917250813736</c:v>
                </c:pt>
                <c:pt idx="380">
                  <c:v>32.905156950815595</c:v>
                </c:pt>
                <c:pt idx="381">
                  <c:v>39.089365578817457</c:v>
                </c:pt>
                <c:pt idx="382">
                  <c:v>30.561841338813736</c:v>
                </c:pt>
                <c:pt idx="383">
                  <c:v>41.62450739765319</c:v>
                </c:pt>
                <c:pt idx="384">
                  <c:v>34.637508205653198</c:v>
                </c:pt>
                <c:pt idx="385">
                  <c:v>40.418200057653195</c:v>
                </c:pt>
                <c:pt idx="386">
                  <c:v>28.832433745655056</c:v>
                </c:pt>
                <c:pt idx="387">
                  <c:v>27.133252947651329</c:v>
                </c:pt>
                <c:pt idx="388">
                  <c:v>32.879115653653194</c:v>
                </c:pt>
                <c:pt idx="389">
                  <c:v>46.052716117655059</c:v>
                </c:pt>
                <c:pt idx="390">
                  <c:v>29.624145615292452</c:v>
                </c:pt>
                <c:pt idx="391">
                  <c:v>25.52030535529618</c:v>
                </c:pt>
                <c:pt idx="392">
                  <c:v>35.373072383292453</c:v>
                </c:pt>
                <c:pt idx="393">
                  <c:v>19.260006891294317</c:v>
                </c:pt>
                <c:pt idx="394">
                  <c:v>18.127347819294314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ln w="25400">
              <a:noFill/>
            </a:ln>
          </c:spPr>
          <c:dLbls>
            <c:dLbl>
              <c:idx val="44"/>
              <c:layout>
                <c:manualLayout>
                  <c:x val="-3.316711270474679E-17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F7-4152-9D24-00490E000A9C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5"/>
              <c:layout>
                <c:manualLayout>
                  <c:x val="-5.4274084124830728E-3"/>
                  <c:y val="-7.874015748031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F7-4152-9D24-00490E000A9C}"/>
                </c:ext>
              </c:extLst>
            </c:dLbl>
            <c:dLbl>
              <c:idx val="106"/>
              <c:layout>
                <c:manualLayout>
                  <c:x val="-1.8091361374944128E-3"/>
                  <c:y val="-9.448818897637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F7-4152-9D24-00490E000A9C}"/>
                </c:ext>
              </c:extLst>
            </c:dLbl>
            <c:dLbl>
              <c:idx val="136"/>
              <c:layout>
                <c:manualLayout>
                  <c:x val="0"/>
                  <c:y val="-8.3989501312335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F7-4152-9D24-00490E000A9C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F7-4152-9D24-00490E000A9C}"/>
                </c:ext>
              </c:extLst>
            </c:dLbl>
            <c:dLbl>
              <c:idx val="167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F7-4152-9D24-00490E000A9C}"/>
                </c:ext>
              </c:extLst>
            </c:dLbl>
            <c:dLbl>
              <c:idx val="197"/>
              <c:layout>
                <c:manualLayout>
                  <c:x val="-6.633422540949358E-17"/>
                  <c:y val="-0.110236220472441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F7-4152-9D24-00490E000A9C}"/>
                </c:ext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F7-4152-9D24-00490E000A9C}"/>
                </c:ext>
              </c:extLst>
            </c:dLbl>
            <c:dLbl>
              <c:idx val="228"/>
              <c:layout>
                <c:manualLayout>
                  <c:x val="6.633422540949358E-17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F7-4152-9D24-00490E000A9C}"/>
                </c:ext>
              </c:extLst>
            </c:dLbl>
            <c:dLbl>
              <c:idx val="259"/>
              <c:layout>
                <c:manualLayout>
                  <c:x val="-1.8091361374943465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F7-4152-9D24-00490E000A9C}"/>
                </c:ext>
              </c:extLst>
            </c:dLbl>
            <c:dLbl>
              <c:idx val="287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F7-4152-9D24-00490E000A9C}"/>
                </c:ext>
              </c:extLst>
            </c:dLbl>
            <c:dLbl>
              <c:idx val="318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8"/>
              <c:layout>
                <c:manualLayout>
                  <c:x val="1.8091361374942137E-3"/>
                  <c:y val="-0.162729658792650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F7-4152-9D24-00490E000A9C}"/>
                </c:ext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1.8091361374943465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Dat_02!$G$3:$G$397</c:f>
              <c:numCache>
                <c:formatCode>0</c:formatCode>
                <c:ptCount val="395"/>
                <c:pt idx="14">
                  <c:v>64.364342968573325</c:v>
                </c:pt>
                <c:pt idx="44">
                  <c:v>28.016997662909688</c:v>
                </c:pt>
                <c:pt idx="75">
                  <c:v>16.99706947525484</c:v>
                </c:pt>
                <c:pt idx="106">
                  <c:v>22.743378673520009</c:v>
                </c:pt>
                <c:pt idx="136">
                  <c:v>45.741764250654825</c:v>
                </c:pt>
                <c:pt idx="167">
                  <c:v>80.413851096189973</c:v>
                </c:pt>
                <c:pt idx="197">
                  <c:v>101.95753277636452</c:v>
                </c:pt>
                <c:pt idx="228">
                  <c:v>120.59631724353227</c:v>
                </c:pt>
                <c:pt idx="259">
                  <c:v>120.04142913099631</c:v>
                </c:pt>
                <c:pt idx="287">
                  <c:v>132.90693384979679</c:v>
                </c:pt>
                <c:pt idx="318">
                  <c:v>128.77123560535</c:v>
                </c:pt>
                <c:pt idx="348">
                  <c:v>105.65373260469035</c:v>
                </c:pt>
                <c:pt idx="379">
                  <c:v>65.26716544621334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85672952"/>
        <c:axId val="485673344"/>
      </c:areaChart>
      <c:catAx>
        <c:axId val="48567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5673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5673344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567295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13746.7</c:v>
                </c:pt>
                <c:pt idx="1">
                  <c:v>12258.4</c:v>
                </c:pt>
                <c:pt idx="2">
                  <c:v>10935.4</c:v>
                </c:pt>
                <c:pt idx="3">
                  <c:v>10117.5</c:v>
                </c:pt>
                <c:pt idx="4">
                  <c:v>9737.2663309</c:v>
                </c:pt>
                <c:pt idx="5">
                  <c:v>11146.955049999997</c:v>
                </c:pt>
                <c:pt idx="6">
                  <c:v>13456.058434449991</c:v>
                </c:pt>
                <c:pt idx="7">
                  <c:v>13020.290870750003</c:v>
                </c:pt>
                <c:pt idx="8">
                  <c:v>13213.723010049996</c:v>
                </c:pt>
                <c:pt idx="9">
                  <c:v>13690.625142599998</c:v>
                </c:pt>
                <c:pt idx="10">
                  <c:v>13853.30312085</c:v>
                </c:pt>
                <c:pt idx="11">
                  <c:v>14075.916087449999</c:v>
                </c:pt>
                <c:pt idx="12">
                  <c:v>13746.724281450002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6477.8</c:v>
                </c:pt>
                <c:pt idx="1">
                  <c:v>5616.1</c:v>
                </c:pt>
                <c:pt idx="2">
                  <c:v>4910</c:v>
                </c:pt>
                <c:pt idx="3">
                  <c:v>4649.6000000000004</c:v>
                </c:pt>
                <c:pt idx="4">
                  <c:v>4395.4606318624037</c:v>
                </c:pt>
                <c:pt idx="5">
                  <c:v>4794.2765906499999</c:v>
                </c:pt>
                <c:pt idx="6">
                  <c:v>5331.3250531999984</c:v>
                </c:pt>
                <c:pt idx="7">
                  <c:v>5449.8113076999989</c:v>
                </c:pt>
                <c:pt idx="8">
                  <c:v>5542.2838559499978</c:v>
                </c:pt>
                <c:pt idx="9">
                  <c:v>5759.1679040999989</c:v>
                </c:pt>
                <c:pt idx="10">
                  <c:v>7055.2102049999985</c:v>
                </c:pt>
                <c:pt idx="11">
                  <c:v>7043.3783189999976</c:v>
                </c:pt>
                <c:pt idx="12">
                  <c:v>6538.4545967989416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674128"/>
        <c:axId val="48567452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10910.4</c:v>
                </c:pt>
                <c:pt idx="1">
                  <c:v>9805.5</c:v>
                </c:pt>
                <c:pt idx="2">
                  <c:v>8722.1</c:v>
                </c:pt>
                <c:pt idx="3">
                  <c:v>7980</c:v>
                </c:pt>
                <c:pt idx="4">
                  <c:v>7851.3065504312008</c:v>
                </c:pt>
                <c:pt idx="5">
                  <c:v>8185.911173848619</c:v>
                </c:pt>
                <c:pt idx="6">
                  <c:v>8645.3592049681756</c:v>
                </c:pt>
                <c:pt idx="7">
                  <c:v>9388.9296029958969</c:v>
                </c:pt>
                <c:pt idx="8">
                  <c:v>9889.1240943879329</c:v>
                </c:pt>
                <c:pt idx="9">
                  <c:v>10570.14772097053</c:v>
                </c:pt>
                <c:pt idx="10">
                  <c:v>11183.148309133439</c:v>
                </c:pt>
                <c:pt idx="11">
                  <c:v>11397.034267874862</c:v>
                </c:pt>
                <c:pt idx="12">
                  <c:v>10842.690741399472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11876.304858</c:v>
                </c:pt>
                <c:pt idx="1">
                  <c:v>10246.502908</c:v>
                </c:pt>
                <c:pt idx="2">
                  <c:v>9315.071518714738</c:v>
                </c:pt>
                <c:pt idx="3">
                  <c:v>8192.9385726801847</c:v>
                </c:pt>
                <c:pt idx="4">
                  <c:v>7628.6385403221575</c:v>
                </c:pt>
                <c:pt idx="5">
                  <c:v>8008.98</c:v>
                </c:pt>
                <c:pt idx="6">
                  <c:v>8172.2198288975142</c:v>
                </c:pt>
                <c:pt idx="7">
                  <c:v>8071.161100088786</c:v>
                </c:pt>
                <c:pt idx="8">
                  <c:v>8866.4553178436945</c:v>
                </c:pt>
                <c:pt idx="9">
                  <c:v>8992.1477604144093</c:v>
                </c:pt>
                <c:pt idx="10">
                  <c:v>9541.0680132165635</c:v>
                </c:pt>
                <c:pt idx="11">
                  <c:v>9882.0064054258182</c:v>
                </c:pt>
                <c:pt idx="12">
                  <c:v>9327.5746473861582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674128"/>
        <c:axId val="485674520"/>
      </c:lineChart>
      <c:catAx>
        <c:axId val="48567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567452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4856745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85674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7642276422764217"/>
                  <c:y val="-4.4117647058823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3089430894308932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9186991869918699"/>
                  <c:y val="-1.47058823529412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1382113821138218"/>
                  <c:y val="0.176565925582831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8.1300813008130135E-2"/>
                  <c:y val="0.1715686274509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1138211382113822"/>
                  <c:y val="8.33333333333332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0.3</c:v>
                </c:pt>
                <c:pt idx="1">
                  <c:v>23.6</c:v>
                </c:pt>
                <c:pt idx="2">
                  <c:v>2.1</c:v>
                </c:pt>
                <c:pt idx="3">
                  <c:v>26</c:v>
                </c:pt>
                <c:pt idx="4">
                  <c:v>12.447074787946988</c:v>
                </c:pt>
                <c:pt idx="5">
                  <c:v>0.8</c:v>
                </c:pt>
                <c:pt idx="6">
                  <c:v>0.3</c:v>
                </c:pt>
                <c:pt idx="7">
                  <c:v>16.3</c:v>
                </c:pt>
                <c:pt idx="8">
                  <c:v>8.3000000000000007</c:v>
                </c:pt>
                <c:pt idx="9">
                  <c:v>4.5</c:v>
                </c:pt>
                <c:pt idx="10">
                  <c:v>3.9</c:v>
                </c:pt>
                <c:pt idx="11">
                  <c:v>1.4529252120530218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50.899999999999991</c:v>
                </c:pt>
                <c:pt idx="1">
                  <c:v>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65.247074787946985</c:v>
                </c:pt>
                <c:pt idx="1">
                  <c:v>34.752925212053029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07/06/2019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3333333333333333"/>
                  <c:y val="7.84313725490196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3658536585365855"/>
                  <c:y val="-0.1045751633986928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55.000000000000014</c:v>
                </c:pt>
                <c:pt idx="1">
                  <c:v>45.000000000000007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211382113821137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861788617886166"/>
                  <c:y val="-1.04575163398693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1056910569105691"/>
                  <c:y val="-4.18300653594771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22439024390243903"/>
                  <c:y val="-3.8265452112603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2016260162601626"/>
                  <c:y val="7.54468632597395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-0.12357723577235778"/>
                  <c:y val="8.01873295249857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21700185647525766"/>
                  <c:y val="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1964406888163371"/>
                  <c:y val="1.83006535947712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3739837398373984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0.7</c:v>
                </c:pt>
                <c:pt idx="1">
                  <c:v>19.2</c:v>
                </c:pt>
                <c:pt idx="2">
                  <c:v>2</c:v>
                </c:pt>
                <c:pt idx="3">
                  <c:v>20.2</c:v>
                </c:pt>
                <c:pt idx="4">
                  <c:v>12.200000000000017</c:v>
                </c:pt>
                <c:pt idx="5">
                  <c:v>0.7</c:v>
                </c:pt>
                <c:pt idx="6">
                  <c:v>0.3</c:v>
                </c:pt>
                <c:pt idx="7">
                  <c:v>25.8</c:v>
                </c:pt>
                <c:pt idx="8">
                  <c:v>8.8000000000000007</c:v>
                </c:pt>
                <c:pt idx="9">
                  <c:v>4.5999999999999996</c:v>
                </c:pt>
                <c:pt idx="10">
                  <c:v>4.0999999999999996</c:v>
                </c:pt>
                <c:pt idx="1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1224569265037715E-2"/>
                  <c:y val="-3.1265351090373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1A-4337-AD86-D2D3C7BBF9BF}"/>
                </c:ext>
              </c:extLst>
            </c:dLbl>
            <c:dLbl>
              <c:idx val="12"/>
              <c:layout>
                <c:manualLayout>
                  <c:x val="-2.5805982745286459E-2"/>
                  <c:y val="4.6923949321149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42.800000000000004</c:v>
                </c:pt>
                <c:pt idx="1">
                  <c:v>37.4</c:v>
                </c:pt>
                <c:pt idx="2">
                  <c:v>33.599999999999994</c:v>
                </c:pt>
                <c:pt idx="3">
                  <c:v>29.7</c:v>
                </c:pt>
                <c:pt idx="4">
                  <c:v>33.299999999999997</c:v>
                </c:pt>
                <c:pt idx="5">
                  <c:v>35.399999999999991</c:v>
                </c:pt>
                <c:pt idx="6">
                  <c:v>37.4</c:v>
                </c:pt>
                <c:pt idx="7">
                  <c:v>39</c:v>
                </c:pt>
                <c:pt idx="8">
                  <c:v>37.499999999999993</c:v>
                </c:pt>
                <c:pt idx="9">
                  <c:v>43.4</c:v>
                </c:pt>
                <c:pt idx="10">
                  <c:v>42.099999999999994</c:v>
                </c:pt>
                <c:pt idx="11">
                  <c:v>43.4</c:v>
                </c:pt>
                <c:pt idx="12">
                  <c:v>34.799999999999997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457827030880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1A-4337-AD86-D2D3C7BBF9BF}"/>
                </c:ext>
              </c:extLst>
            </c:dLbl>
            <c:dLbl>
              <c:idx val="1"/>
              <c:layout>
                <c:manualLayout>
                  <c:x val="-2.3999787238702532E-2"/>
                  <c:y val="-5.59567091150643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1A-4337-AD86-D2D3C7BBF9BF}"/>
                </c:ext>
              </c:extLst>
            </c:dLbl>
            <c:dLbl>
              <c:idx val="2"/>
              <c:layout>
                <c:manualLayout>
                  <c:x val="-2.9418373758453919E-2"/>
                  <c:y val="-3.9495803765270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1A-4337-AD86-D2D3C7BBF9BF}"/>
                </c:ext>
              </c:extLst>
            </c:dLbl>
            <c:dLbl>
              <c:idx val="3"/>
              <c:layout>
                <c:manualLayout>
                  <c:x val="-3.3030764771621576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1A-4337-AD86-D2D3C7BBF9BF}"/>
                </c:ext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1A-4337-AD86-D2D3C7BBF9BF}"/>
                </c:ext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1A-4337-AD86-D2D3C7BBF9BF}"/>
                </c:ext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1A-4337-AD86-D2D3C7BBF9BF}"/>
                </c:ext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1A-4337-AD86-D2D3C7BBF9BF}"/>
                </c:ext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1A-4337-AD86-D2D3C7BBF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57.199999999999996</c:v>
                </c:pt>
                <c:pt idx="1">
                  <c:v>62.6</c:v>
                </c:pt>
                <c:pt idx="2">
                  <c:v>66.400000000000006</c:v>
                </c:pt>
                <c:pt idx="3">
                  <c:v>70.3</c:v>
                </c:pt>
                <c:pt idx="4">
                  <c:v>66.7</c:v>
                </c:pt>
                <c:pt idx="5">
                  <c:v>64.600000000000009</c:v>
                </c:pt>
                <c:pt idx="6">
                  <c:v>62.6</c:v>
                </c:pt>
                <c:pt idx="7">
                  <c:v>61</c:v>
                </c:pt>
                <c:pt idx="8">
                  <c:v>62.500000000000007</c:v>
                </c:pt>
                <c:pt idx="9">
                  <c:v>56.6</c:v>
                </c:pt>
                <c:pt idx="10">
                  <c:v>57.900000000000006</c:v>
                </c:pt>
                <c:pt idx="11">
                  <c:v>56.6</c:v>
                </c:pt>
                <c:pt idx="12">
                  <c:v>65.2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845520"/>
        <c:axId val="108292208"/>
      </c:lineChart>
      <c:catAx>
        <c:axId val="492845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2208"/>
        <c:crosses val="autoZero"/>
        <c:auto val="1"/>
        <c:lblAlgn val="ctr"/>
        <c:lblOffset val="100"/>
        <c:noMultiLvlLbl val="1"/>
      </c:catAx>
      <c:valAx>
        <c:axId val="10829220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284552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62.3</c:v>
                </c:pt>
                <c:pt idx="1">
                  <c:v>59.400000000000006</c:v>
                </c:pt>
                <c:pt idx="2">
                  <c:v>58.399999999999991</c:v>
                </c:pt>
                <c:pt idx="3">
                  <c:v>55.3</c:v>
                </c:pt>
                <c:pt idx="4">
                  <c:v>58.9</c:v>
                </c:pt>
                <c:pt idx="5">
                  <c:v>54.199999999999996</c:v>
                </c:pt>
                <c:pt idx="6">
                  <c:v>58.899999999999991</c:v>
                </c:pt>
                <c:pt idx="7">
                  <c:v>61.199999999999996</c:v>
                </c:pt>
                <c:pt idx="8">
                  <c:v>62.899999999999991</c:v>
                </c:pt>
                <c:pt idx="9">
                  <c:v>71.099999999999994</c:v>
                </c:pt>
                <c:pt idx="10">
                  <c:v>67.399999999999991</c:v>
                </c:pt>
                <c:pt idx="11">
                  <c:v>64.5</c:v>
                </c:pt>
                <c:pt idx="12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37.700000000000003</c:v>
                </c:pt>
                <c:pt idx="1">
                  <c:v>40.599999999999994</c:v>
                </c:pt>
                <c:pt idx="2">
                  <c:v>41.600000000000009</c:v>
                </c:pt>
                <c:pt idx="3">
                  <c:v>44.7</c:v>
                </c:pt>
                <c:pt idx="4">
                  <c:v>41.1</c:v>
                </c:pt>
                <c:pt idx="5">
                  <c:v>45.800000000000004</c:v>
                </c:pt>
                <c:pt idx="6">
                  <c:v>41.100000000000009</c:v>
                </c:pt>
                <c:pt idx="7">
                  <c:v>38.800000000000004</c:v>
                </c:pt>
                <c:pt idx="8">
                  <c:v>37.100000000000009</c:v>
                </c:pt>
                <c:pt idx="9">
                  <c:v>28.900000000000006</c:v>
                </c:pt>
                <c:pt idx="10">
                  <c:v>32.600000000000009</c:v>
                </c:pt>
                <c:pt idx="11">
                  <c:v>35.5</c:v>
                </c:pt>
                <c:pt idx="12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292992"/>
        <c:axId val="108293384"/>
      </c:lineChart>
      <c:catAx>
        <c:axId val="108292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3384"/>
        <c:crosses val="autoZero"/>
        <c:auto val="1"/>
        <c:lblAlgn val="ctr"/>
        <c:lblOffset val="100"/>
        <c:noMultiLvlLbl val="1"/>
      </c:catAx>
      <c:valAx>
        <c:axId val="108293384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29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3717.7821305839998</c:v>
                </c:pt>
                <c:pt idx="1">
                  <c:v>3027.0962775859998</c:v>
                </c:pt>
                <c:pt idx="2">
                  <c:v>2105.289042892</c:v>
                </c:pt>
                <c:pt idx="3">
                  <c:v>1926.4612847620001</c:v>
                </c:pt>
                <c:pt idx="4">
                  <c:v>1461.905502328</c:v>
                </c:pt>
                <c:pt idx="5">
                  <c:v>2161.351999814</c:v>
                </c:pt>
                <c:pt idx="6">
                  <c:v>2485.8744506439998</c:v>
                </c:pt>
                <c:pt idx="7">
                  <c:v>2126.6339542559999</c:v>
                </c:pt>
                <c:pt idx="8">
                  <c:v>2482.7010685720002</c:v>
                </c:pt>
                <c:pt idx="9">
                  <c:v>2131.4241339519999</c:v>
                </c:pt>
                <c:pt idx="10">
                  <c:v>1922.9600431880001</c:v>
                </c:pt>
                <c:pt idx="11">
                  <c:v>1933.0273067759999</c:v>
                </c:pt>
                <c:pt idx="12">
                  <c:v>1625.6452669099999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2576.1112600000001</c:v>
                </c:pt>
                <c:pt idx="1">
                  <c:v>2480.8914359999999</c:v>
                </c:pt>
                <c:pt idx="2">
                  <c:v>3067.4116530000001</c:v>
                </c:pt>
                <c:pt idx="3">
                  <c:v>2405.7918490000002</c:v>
                </c:pt>
                <c:pt idx="4">
                  <c:v>4298.5552319999997</c:v>
                </c:pt>
                <c:pt idx="5">
                  <c:v>4525.949721</c:v>
                </c:pt>
                <c:pt idx="6">
                  <c:v>4319.0411860000004</c:v>
                </c:pt>
                <c:pt idx="7">
                  <c:v>5970.6598999999997</c:v>
                </c:pt>
                <c:pt idx="8">
                  <c:v>3646.4345840000001</c:v>
                </c:pt>
                <c:pt idx="9">
                  <c:v>4823.4316840000001</c:v>
                </c:pt>
                <c:pt idx="10">
                  <c:v>4594.9791249999998</c:v>
                </c:pt>
                <c:pt idx="11">
                  <c:v>4580.5968780000003</c:v>
                </c:pt>
                <c:pt idx="12">
                  <c:v>3212.2191229999999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781.41990099999998</c:v>
                </c:pt>
                <c:pt idx="1">
                  <c:v>892.45500200000004</c:v>
                </c:pt>
                <c:pt idx="2">
                  <c:v>808.18866300000002</c:v>
                </c:pt>
                <c:pt idx="3">
                  <c:v>687.70805700000005</c:v>
                </c:pt>
                <c:pt idx="4">
                  <c:v>543.564031</c:v>
                </c:pt>
                <c:pt idx="5">
                  <c:v>354.028189</c:v>
                </c:pt>
                <c:pt idx="6">
                  <c:v>404.07867700000003</c:v>
                </c:pt>
                <c:pt idx="7">
                  <c:v>480.728812</c:v>
                </c:pt>
                <c:pt idx="8">
                  <c:v>601.892966</c:v>
                </c:pt>
                <c:pt idx="9">
                  <c:v>768.80490399999996</c:v>
                </c:pt>
                <c:pt idx="10">
                  <c:v>661.66676800000005</c:v>
                </c:pt>
                <c:pt idx="11">
                  <c:v>889.528772</c:v>
                </c:pt>
                <c:pt idx="12">
                  <c:v>891.40100299999995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551.29260299999999</c:v>
                </c:pt>
                <c:pt idx="1">
                  <c:v>858.89832999999999</c:v>
                </c:pt>
                <c:pt idx="2">
                  <c:v>688.557997</c:v>
                </c:pt>
                <c:pt idx="3">
                  <c:v>465.63698499999998</c:v>
                </c:pt>
                <c:pt idx="4">
                  <c:v>292.49343099999999</c:v>
                </c:pt>
                <c:pt idx="5">
                  <c:v>78.576116999999996</c:v>
                </c:pt>
                <c:pt idx="6">
                  <c:v>109.57487399999999</c:v>
                </c:pt>
                <c:pt idx="7">
                  <c:v>166.15012899999999</c:v>
                </c:pt>
                <c:pt idx="8">
                  <c:v>261.97860300000002</c:v>
                </c:pt>
                <c:pt idx="9">
                  <c:v>477.92322799999999</c:v>
                </c:pt>
                <c:pt idx="10">
                  <c:v>379.26881700000001</c:v>
                </c:pt>
                <c:pt idx="11">
                  <c:v>740.99772700000005</c:v>
                </c:pt>
                <c:pt idx="12">
                  <c:v>775.05758100000003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304.160034</c:v>
                </c:pt>
                <c:pt idx="1">
                  <c:v>323.41282999999999</c:v>
                </c:pt>
                <c:pt idx="2">
                  <c:v>316.53357699999998</c:v>
                </c:pt>
                <c:pt idx="3">
                  <c:v>319.41097300000001</c:v>
                </c:pt>
                <c:pt idx="4">
                  <c:v>296.78157199999998</c:v>
                </c:pt>
                <c:pt idx="5">
                  <c:v>292.56813</c:v>
                </c:pt>
                <c:pt idx="6">
                  <c:v>299.14763599999998</c:v>
                </c:pt>
                <c:pt idx="7">
                  <c:v>303.393978</c:v>
                </c:pt>
                <c:pt idx="8">
                  <c:v>284.70844699999998</c:v>
                </c:pt>
                <c:pt idx="9">
                  <c:v>309.30230799999998</c:v>
                </c:pt>
                <c:pt idx="10">
                  <c:v>273.97149899999999</c:v>
                </c:pt>
                <c:pt idx="11">
                  <c:v>282.06007699999998</c:v>
                </c:pt>
                <c:pt idx="12">
                  <c:v>285.58842199999998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50.806421</c:v>
                </c:pt>
                <c:pt idx="1">
                  <c:v>64.813796999999994</c:v>
                </c:pt>
                <c:pt idx="2">
                  <c:v>65.755174499999995</c:v>
                </c:pt>
                <c:pt idx="3">
                  <c:v>64.739834999999999</c:v>
                </c:pt>
                <c:pt idx="4">
                  <c:v>66.706254000000001</c:v>
                </c:pt>
                <c:pt idx="5">
                  <c:v>61.593868999999998</c:v>
                </c:pt>
                <c:pt idx="6">
                  <c:v>69.912847999999997</c:v>
                </c:pt>
                <c:pt idx="7">
                  <c:v>63.503646000000003</c:v>
                </c:pt>
                <c:pt idx="8">
                  <c:v>61.891773000000001</c:v>
                </c:pt>
                <c:pt idx="9">
                  <c:v>67.359962499999995</c:v>
                </c:pt>
                <c:pt idx="10">
                  <c:v>64.179035999999996</c:v>
                </c:pt>
                <c:pt idx="11">
                  <c:v>36.450611000000002</c:v>
                </c:pt>
                <c:pt idx="12">
                  <c:v>62.621202500000003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296128"/>
        <c:axId val="108296520"/>
      </c:barChart>
      <c:catAx>
        <c:axId val="108296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6520"/>
        <c:crosses val="autoZero"/>
        <c:auto val="1"/>
        <c:lblAlgn val="ctr"/>
        <c:lblOffset val="100"/>
        <c:noMultiLvlLbl val="1"/>
      </c:catAx>
      <c:valAx>
        <c:axId val="10829652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0829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0.54529</cdr:x>
      <cdr:y>0.08507</cdr:y>
    </cdr:from>
    <cdr:to>
      <cdr:x>0.54537</cdr:x>
      <cdr:y>0.74771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17527" y="260927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0.38775</cdr:x>
      <cdr:y>0.60858</cdr:y>
    </cdr:from>
    <cdr:to>
      <cdr:x>0.51837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4591" y="1866545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0.46667</cdr:x>
      <cdr:y>0.22175</cdr:y>
    </cdr:from>
    <cdr:to>
      <cdr:x>0.60526</cdr:x>
      <cdr:y>0.29531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7129" y="680126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8</xdr:row>
      <xdr:rowOff>123826</xdr:rowOff>
    </xdr:from>
    <xdr:to>
      <xdr:col>4</xdr:col>
      <xdr:colOff>495300</xdr:colOff>
      <xdr:row>10</xdr:row>
      <xdr:rowOff>27200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16455" y="1504951"/>
          <a:ext cx="236220" cy="2272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47625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90675"/>
          <a:ext cx="255270" cy="1502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9525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52575"/>
          <a:ext cx="261620" cy="1905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501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95500"/>
          <a:ext cx="252000" cy="2080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1.133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5.832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28574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62424"/>
          <a:ext cx="304800" cy="19336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9.328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38100</xdr:rowOff>
    </xdr:from>
    <xdr:to>
      <xdr:col>4</xdr:col>
      <xdr:colOff>3886201</xdr:colOff>
      <xdr:row>26</xdr:row>
      <xdr:rowOff>55058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71950"/>
          <a:ext cx="292100" cy="17888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9" sqref="E19"/>
    </sheetView>
  </sheetViews>
  <sheetFormatPr baseColWidth="10" defaultColWidth="11.42578125" defaultRowHeight="12.75"/>
  <cols>
    <col min="1" max="1" width="0.140625" style="137" customWidth="1"/>
    <col min="2" max="2" width="2.7109375" style="137" customWidth="1"/>
    <col min="3" max="3" width="16.42578125" style="137" customWidth="1"/>
    <col min="4" max="4" width="4.7109375" style="137" customWidth="1"/>
    <col min="5" max="5" width="95.7109375" style="137" customWidth="1"/>
    <col min="6" max="16384" width="11.42578125" style="137"/>
  </cols>
  <sheetData>
    <row r="1" spans="2:15" ht="0.75" customHeight="1"/>
    <row r="2" spans="2:15" ht="21" customHeight="1">
      <c r="B2" s="137" t="s">
        <v>66</v>
      </c>
      <c r="C2" s="138"/>
      <c r="D2" s="138"/>
      <c r="E2" s="103" t="s">
        <v>1</v>
      </c>
    </row>
    <row r="3" spans="2:15" ht="15" customHeight="1">
      <c r="C3" s="138"/>
      <c r="D3" s="138"/>
      <c r="E3" s="104" t="str">
        <f>Dat_01!A2</f>
        <v>Junio 2019</v>
      </c>
    </row>
    <row r="4" spans="2:15" s="140" customFormat="1" ht="20.25" customHeight="1">
      <c r="B4" s="139"/>
      <c r="C4" s="102" t="s">
        <v>69</v>
      </c>
    </row>
    <row r="5" spans="2:15" s="140" customFormat="1" ht="8.25" customHeight="1">
      <c r="B5" s="139"/>
      <c r="C5" s="141"/>
    </row>
    <row r="6" spans="2:15" s="140" customFormat="1" ht="3" customHeight="1">
      <c r="B6" s="139"/>
      <c r="C6" s="141"/>
    </row>
    <row r="7" spans="2:15" s="140" customFormat="1" ht="7.5" customHeight="1">
      <c r="B7" s="139"/>
      <c r="C7" s="142"/>
      <c r="D7" s="143"/>
      <c r="E7" s="143"/>
    </row>
    <row r="8" spans="2:15" ht="12.6" customHeight="1">
      <c r="D8" s="144" t="s">
        <v>67</v>
      </c>
      <c r="E8" s="145" t="s">
        <v>80</v>
      </c>
    </row>
    <row r="9" spans="2:15" s="140" customFormat="1" ht="12.6" customHeight="1">
      <c r="B9" s="139"/>
      <c r="C9" s="146"/>
      <c r="D9" s="144" t="s">
        <v>67</v>
      </c>
      <c r="E9" s="145" t="str">
        <f>'P2'!C7</f>
        <v>Estructura de potencia instalada peninsular</v>
      </c>
      <c r="F9" s="147"/>
      <c r="G9" s="147"/>
      <c r="H9" s="147"/>
      <c r="I9" s="147"/>
      <c r="J9" s="147"/>
      <c r="K9" s="147"/>
      <c r="L9" s="147"/>
      <c r="M9" s="147"/>
      <c r="N9" s="147"/>
      <c r="O9" s="147"/>
    </row>
    <row r="10" spans="2:15" s="140" customFormat="1" ht="12.6" customHeight="1">
      <c r="B10" s="139"/>
      <c r="C10" s="146"/>
      <c r="D10" s="144" t="s">
        <v>67</v>
      </c>
      <c r="E10" s="145" t="str">
        <f>'P2'!C23</f>
        <v>Estructura de generación mensual peninsular</v>
      </c>
      <c r="F10" s="13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2:15" ht="12.6" customHeight="1">
      <c r="D11" s="144" t="s">
        <v>67</v>
      </c>
      <c r="E11" s="145" t="str">
        <f>'P3'!C7</f>
        <v xml:space="preserve">Estructura de generación diaria del día de máxima generación de energía renovable peninsular
</v>
      </c>
      <c r="F11" s="147"/>
    </row>
    <row r="12" spans="2:15" ht="12.6" customHeight="1">
      <c r="D12" s="144" t="s">
        <v>67</v>
      </c>
      <c r="E12" s="145" t="str">
        <f>'P4'!C7</f>
        <v>Evolución del peso de la generación renovable y no renovable peninsular</v>
      </c>
    </row>
    <row r="13" spans="2:15" ht="12.6" customHeight="1">
      <c r="D13" s="144" t="s">
        <v>67</v>
      </c>
      <c r="E13" s="145" t="str">
        <f>'P5'!C7</f>
        <v>Evolución de la generación sin/con emisiones de CO2 peninsular</v>
      </c>
      <c r="F13" s="147"/>
    </row>
    <row r="14" spans="2:15" ht="12.6" customHeight="1">
      <c r="D14" s="144" t="s">
        <v>67</v>
      </c>
      <c r="E14" s="145" t="str">
        <f>'P6'!C7</f>
        <v xml:space="preserve">Evolución de la generación renovable peninsular </v>
      </c>
      <c r="F14" s="147"/>
    </row>
    <row r="15" spans="2:15" ht="12.6" customHeight="1">
      <c r="D15" s="144" t="s">
        <v>67</v>
      </c>
      <c r="E15" s="145" t="str">
        <f>'P7'!C7</f>
        <v xml:space="preserve">Evolución de la generación no renovable peninsular </v>
      </c>
      <c r="F15" s="147"/>
    </row>
    <row r="16" spans="2:15" ht="12.6" customHeight="1">
      <c r="D16" s="144" t="s">
        <v>67</v>
      </c>
      <c r="E16" s="145" t="str">
        <f>'P8'!C7</f>
        <v>Generación eólica diaria peninsular</v>
      </c>
      <c r="F16" s="147"/>
    </row>
    <row r="17" spans="2:6" ht="12.6" customHeight="1">
      <c r="D17" s="144" t="s">
        <v>67</v>
      </c>
      <c r="E17" s="145" t="str">
        <f>'P9'!C7</f>
        <v>Máximos de generación de energía eólica peninsular</v>
      </c>
      <c r="F17" s="147"/>
    </row>
    <row r="18" spans="2:6" ht="12.6" customHeight="1">
      <c r="D18" s="144" t="s">
        <v>67</v>
      </c>
      <c r="E18" s="145" t="str">
        <f>'P10'!C7</f>
        <v xml:space="preserve">Generación horaria el día de máxima generación de energía eólica peninsular
</v>
      </c>
      <c r="F18" s="147"/>
    </row>
    <row r="19" spans="2:6" ht="12.6" customHeight="1">
      <c r="D19" s="144" t="s">
        <v>67</v>
      </c>
      <c r="E19" s="145" t="str">
        <f>'P11'!B7</f>
        <v>Energía producible hidráulica diaria comparada con el producible medio histórico</v>
      </c>
      <c r="F19" s="147"/>
    </row>
    <row r="20" spans="2:6" ht="12.6" customHeight="1">
      <c r="D20" s="144" t="s">
        <v>67</v>
      </c>
      <c r="E20" s="145" t="str">
        <f>'P12'!B7</f>
        <v>Reservas hidroeléctricas</v>
      </c>
      <c r="F20" s="147"/>
    </row>
    <row r="21" spans="2:6" ht="12.6" customHeight="1">
      <c r="D21" s="144" t="s">
        <v>67</v>
      </c>
      <c r="E21" s="145" t="str">
        <f>'P13'!C7</f>
        <v>Reservas hidroeléctricas a finales de mes por cuencas hidrográficas</v>
      </c>
      <c r="F21" s="147"/>
    </row>
    <row r="22" spans="2:6" s="140" customFormat="1" ht="7.5" customHeight="1">
      <c r="B22" s="139"/>
      <c r="C22" s="142"/>
      <c r="D22" s="143"/>
      <c r="E22" s="143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C1:AA39"/>
  <sheetViews>
    <sheetView showGridLines="0" showRowColHeaders="0" topLeftCell="A2" zoomScaleNormal="100" workbookViewId="0">
      <selection activeCell="J21" sqref="J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Junio 2019</v>
      </c>
    </row>
    <row r="4" spans="3:27" ht="19.899999999999999" customHeight="1">
      <c r="C4" s="102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3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3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0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0"/>
  <dimension ref="C1:AF40"/>
  <sheetViews>
    <sheetView showGridLines="0" showRowColHeaders="0" topLeftCell="A2" zoomScaleNormal="100" workbookViewId="0">
      <selection activeCell="F9" sqref="F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Junio 2019</v>
      </c>
    </row>
    <row r="4" spans="3:32" ht="19.899999999999999" customHeight="1">
      <c r="C4" s="102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3" t="s">
        <v>25</v>
      </c>
      <c r="E7" s="114"/>
      <c r="F7" s="304" t="str">
        <f>Dat_01!A2</f>
        <v>Junio 2019</v>
      </c>
      <c r="G7" s="305"/>
      <c r="H7" s="306" t="s">
        <v>27</v>
      </c>
      <c r="I7" s="306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3"/>
      <c r="E8" s="115" t="s">
        <v>28</v>
      </c>
      <c r="F8" s="283">
        <v>14011</v>
      </c>
      <c r="G8" s="284" t="s">
        <v>618</v>
      </c>
      <c r="H8" s="116">
        <v>17553</v>
      </c>
      <c r="I8" s="117" t="s">
        <v>88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0"/>
      <c r="E9" s="118" t="s">
        <v>29</v>
      </c>
      <c r="F9" s="285">
        <v>49.65</v>
      </c>
      <c r="G9" s="286" t="s">
        <v>619</v>
      </c>
      <c r="H9" s="148">
        <v>70.400000000000006</v>
      </c>
      <c r="I9" s="119" t="s">
        <v>89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/>
  <dimension ref="C1:AH30"/>
  <sheetViews>
    <sheetView showGridLines="0" showRowColHeaders="0" topLeftCell="A2" zoomScaleNormal="100" workbookViewId="0">
      <selection activeCell="E38" sqref="E3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Junio 2019</v>
      </c>
    </row>
    <row r="4" spans="3:34" ht="19.899999999999999" customHeight="1">
      <c r="C4" s="102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3" t="s">
        <v>68</v>
      </c>
      <c r="E7" s="4"/>
    </row>
    <row r="8" spans="3:34">
      <c r="C8" s="303"/>
      <c r="E8" s="4"/>
    </row>
    <row r="9" spans="3:34">
      <c r="C9" s="303"/>
      <c r="E9" s="4"/>
    </row>
    <row r="10" spans="3:34">
      <c r="C10" s="214">
        <f>DATE(MID(Dat_01!B215,7,4),MID(Dat_01!B215,4,2),MID(Dat_01!B215,1,2))</f>
        <v>43621</v>
      </c>
      <c r="E10" s="4"/>
    </row>
    <row r="11" spans="3:34">
      <c r="E11" s="4"/>
    </row>
    <row r="12" spans="3:34">
      <c r="C12" s="120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0"/>
    </row>
    <row r="25" spans="3:32">
      <c r="C25" s="120"/>
      <c r="E25" s="113"/>
    </row>
    <row r="26" spans="3:32">
      <c r="C26" s="1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0"/>
    </row>
    <row r="29" spans="3:32">
      <c r="C29" s="120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663EC-F09E-4FCC-B946-EF1692647B44}">
  <dimension ref="A1:AA427"/>
  <sheetViews>
    <sheetView showGridLines="0" showRowColHeaders="0" topLeftCell="A2" zoomScaleNormal="100" workbookViewId="0">
      <selection activeCell="B7" sqref="B7:B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Junio 2019</v>
      </c>
    </row>
    <row r="4" spans="2:22" ht="20.100000000000001" customHeight="1">
      <c r="B4" s="102" t="s">
        <v>591</v>
      </c>
      <c r="V4" s="54"/>
    </row>
    <row r="5" spans="2:22">
      <c r="V5" s="54"/>
    </row>
    <row r="6" spans="2:22">
      <c r="V6" s="54"/>
    </row>
    <row r="7" spans="2:22">
      <c r="B7" s="303" t="s">
        <v>26</v>
      </c>
      <c r="V7" s="54"/>
    </row>
    <row r="8" spans="2:22">
      <c r="B8" s="303"/>
      <c r="V8" s="54"/>
    </row>
    <row r="9" spans="2:22">
      <c r="B9" s="303"/>
      <c r="V9" s="54"/>
    </row>
    <row r="10" spans="2:22">
      <c r="B10" s="29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/>
  <dimension ref="A1:AG405"/>
  <sheetViews>
    <sheetView showGridLines="0" showRowColHeaders="0" zoomScaleNormal="100" workbookViewId="0">
      <selection activeCell="H19" sqref="H1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Junio 2019</v>
      </c>
    </row>
    <row r="4" spans="1:33" s="50" customFormat="1" ht="20.100000000000001" customHeight="1">
      <c r="A4"/>
      <c r="B4" s="102" t="s">
        <v>69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20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6"/>
      <c r="P8" s="63"/>
      <c r="Q8" s="149"/>
      <c r="R8" s="150"/>
      <c r="S8" s="150"/>
      <c r="T8" s="150"/>
      <c r="U8" s="150"/>
      <c r="X8" s="150"/>
      <c r="Y8" s="150"/>
      <c r="Z8" s="150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51"/>
      <c r="R9" s="151"/>
      <c r="S9" s="151"/>
      <c r="T9" s="151"/>
      <c r="U9" s="151"/>
      <c r="V9" s="152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51"/>
      <c r="R10" s="151"/>
      <c r="S10" s="151"/>
      <c r="T10" s="151"/>
      <c r="U10" s="151"/>
      <c r="V10" s="152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51"/>
      <c r="R11" s="151"/>
      <c r="S11" s="151"/>
      <c r="T11" s="151"/>
      <c r="U11" s="151"/>
      <c r="V11" s="152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51"/>
      <c r="R12" s="151"/>
      <c r="S12" s="151"/>
      <c r="T12" s="151"/>
      <c r="U12" s="151"/>
      <c r="V12" s="152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51"/>
      <c r="R13" s="151"/>
      <c r="S13" s="151"/>
      <c r="T13" s="151"/>
      <c r="U13" s="151"/>
      <c r="V13" s="152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51"/>
      <c r="R14" s="151"/>
      <c r="S14" s="151"/>
      <c r="T14" s="151"/>
      <c r="U14" s="151"/>
      <c r="V14" s="152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51"/>
      <c r="R15" s="151"/>
      <c r="S15" s="151"/>
      <c r="T15" s="151"/>
      <c r="U15" s="151"/>
      <c r="V15" s="152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51"/>
      <c r="R16" s="151"/>
      <c r="S16" s="151"/>
      <c r="T16" s="151"/>
      <c r="U16" s="151"/>
      <c r="V16" s="152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51"/>
      <c r="R17" s="151"/>
      <c r="S17" s="151"/>
      <c r="T17" s="151"/>
      <c r="U17" s="151"/>
      <c r="V17" s="152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51"/>
      <c r="R18" s="151"/>
      <c r="S18" s="151"/>
      <c r="T18" s="151"/>
      <c r="U18" s="151"/>
      <c r="V18" s="152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51"/>
      <c r="R19" s="151"/>
      <c r="S19" s="151"/>
      <c r="T19" s="151"/>
      <c r="U19" s="151"/>
      <c r="V19" s="152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51"/>
      <c r="R20" s="151"/>
      <c r="S20" s="151"/>
      <c r="T20" s="151"/>
      <c r="U20" s="151"/>
      <c r="V20" s="152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51"/>
      <c r="R21" s="151"/>
      <c r="S21" s="151"/>
      <c r="T21" s="151"/>
      <c r="U21" s="151"/>
      <c r="V21" s="152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51"/>
      <c r="R22" s="151"/>
      <c r="S22" s="151"/>
      <c r="T22" s="151"/>
      <c r="U22" s="151"/>
      <c r="V22" s="152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51"/>
      <c r="R23" s="151"/>
      <c r="S23" s="151"/>
      <c r="T23" s="151"/>
      <c r="U23" s="151"/>
      <c r="V23" s="152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51"/>
      <c r="R24" s="151"/>
      <c r="S24" s="151"/>
      <c r="T24" s="151"/>
      <c r="U24" s="151"/>
      <c r="V24" s="152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51"/>
      <c r="R25" s="151"/>
      <c r="S25" s="151"/>
      <c r="T25" s="151"/>
      <c r="U25" s="151"/>
      <c r="V25" s="152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51"/>
      <c r="R26" s="151"/>
      <c r="S26" s="151"/>
      <c r="T26" s="151"/>
      <c r="U26" s="151"/>
      <c r="V26" s="152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51"/>
      <c r="R27" s="151"/>
      <c r="S27" s="151"/>
      <c r="T27" s="151"/>
      <c r="U27" s="151"/>
      <c r="V27" s="152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51"/>
      <c r="R28" s="151"/>
      <c r="S28" s="151"/>
      <c r="T28" s="151"/>
      <c r="U28" s="151"/>
      <c r="V28" s="152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51"/>
      <c r="R29" s="151"/>
      <c r="S29" s="151"/>
      <c r="T29" s="151"/>
      <c r="U29" s="151"/>
      <c r="V29" s="152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51"/>
      <c r="R30" s="151"/>
      <c r="S30" s="151"/>
      <c r="T30" s="151"/>
      <c r="U30" s="151"/>
      <c r="V30" s="152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51"/>
      <c r="R31" s="151"/>
      <c r="S31" s="151"/>
      <c r="T31" s="151"/>
      <c r="U31" s="151"/>
      <c r="V31" s="152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51"/>
      <c r="R32" s="151"/>
      <c r="S32" s="151"/>
      <c r="T32" s="151"/>
      <c r="U32" s="151"/>
      <c r="V32" s="152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51"/>
      <c r="R33" s="151"/>
      <c r="S33" s="151"/>
      <c r="T33" s="151"/>
      <c r="U33" s="151"/>
      <c r="V33" s="152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51"/>
      <c r="R34" s="151"/>
      <c r="S34" s="151"/>
      <c r="T34" s="151"/>
      <c r="U34" s="151"/>
      <c r="V34" s="152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51"/>
      <c r="R35" s="151"/>
      <c r="S35" s="151"/>
      <c r="T35" s="151"/>
      <c r="U35" s="151"/>
      <c r="V35" s="152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51"/>
      <c r="R36" s="151"/>
      <c r="S36" s="151"/>
      <c r="T36" s="151"/>
      <c r="U36" s="151"/>
      <c r="V36" s="152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51"/>
      <c r="R37" s="151"/>
      <c r="S37" s="151"/>
      <c r="T37" s="151"/>
      <c r="U37" s="151"/>
      <c r="V37" s="152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51"/>
      <c r="R38" s="151"/>
      <c r="S38" s="151"/>
      <c r="T38" s="151"/>
      <c r="U38" s="151"/>
      <c r="V38" s="152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51"/>
      <c r="R39" s="151"/>
      <c r="S39" s="151"/>
      <c r="T39" s="151"/>
      <c r="U39" s="151"/>
      <c r="V39" s="152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51"/>
      <c r="R40" s="151"/>
      <c r="S40" s="151"/>
      <c r="T40" s="151"/>
      <c r="U40" s="151"/>
      <c r="V40" s="152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51"/>
      <c r="R41" s="151"/>
      <c r="S41" s="151"/>
      <c r="T41" s="151"/>
      <c r="U41" s="151"/>
      <c r="V41" s="152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51"/>
      <c r="R42" s="151"/>
      <c r="S42" s="151"/>
      <c r="T42" s="151"/>
      <c r="U42" s="151"/>
      <c r="V42" s="152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51"/>
      <c r="R43" s="151"/>
      <c r="S43" s="151"/>
      <c r="T43" s="151"/>
      <c r="U43" s="151"/>
      <c r="V43" s="152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51"/>
      <c r="R44" s="151"/>
      <c r="S44" s="151"/>
      <c r="T44" s="151"/>
      <c r="U44" s="151"/>
      <c r="V44" s="152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51"/>
      <c r="R45" s="151"/>
      <c r="S45" s="151"/>
      <c r="T45" s="151"/>
      <c r="U45" s="151"/>
      <c r="V45" s="152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51"/>
      <c r="R46" s="151"/>
      <c r="S46" s="151"/>
      <c r="T46" s="151"/>
      <c r="U46" s="151"/>
      <c r="V46" s="152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51"/>
      <c r="R47" s="151"/>
      <c r="S47" s="151"/>
      <c r="T47" s="151"/>
      <c r="U47" s="151"/>
      <c r="V47" s="152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51"/>
      <c r="R48" s="151"/>
      <c r="S48" s="151"/>
      <c r="T48" s="151"/>
      <c r="U48" s="151"/>
      <c r="V48" s="152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51"/>
      <c r="R49" s="151"/>
      <c r="S49" s="151"/>
      <c r="T49" s="151"/>
      <c r="U49" s="151"/>
      <c r="V49" s="152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51"/>
      <c r="R50" s="151"/>
      <c r="S50" s="151"/>
      <c r="T50" s="151"/>
      <c r="U50" s="151"/>
      <c r="V50" s="152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51"/>
      <c r="R51" s="151"/>
      <c r="S51" s="151"/>
      <c r="T51" s="151"/>
      <c r="U51" s="151"/>
      <c r="V51" s="152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51"/>
      <c r="R52" s="151"/>
      <c r="S52" s="151"/>
      <c r="T52" s="151"/>
      <c r="U52" s="151"/>
      <c r="V52" s="152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51"/>
      <c r="R53" s="151"/>
      <c r="S53" s="151"/>
      <c r="T53" s="151"/>
      <c r="U53" s="151"/>
      <c r="V53" s="152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51"/>
      <c r="R54" s="151"/>
      <c r="S54" s="151"/>
      <c r="T54" s="151"/>
      <c r="U54" s="151"/>
      <c r="V54" s="152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51"/>
      <c r="R55" s="151"/>
      <c r="S55" s="151"/>
      <c r="T55" s="151"/>
      <c r="U55" s="151"/>
      <c r="V55" s="152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51"/>
      <c r="R56" s="151"/>
      <c r="S56" s="151"/>
      <c r="T56" s="151"/>
      <c r="U56" s="151"/>
      <c r="V56" s="152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51"/>
      <c r="R57" s="151"/>
      <c r="S57" s="151"/>
      <c r="T57" s="151"/>
      <c r="U57" s="151"/>
      <c r="V57" s="152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51"/>
      <c r="R58" s="151"/>
      <c r="S58" s="151"/>
      <c r="T58" s="151"/>
      <c r="U58" s="151"/>
      <c r="V58" s="152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51"/>
      <c r="R59" s="151"/>
      <c r="S59" s="151"/>
      <c r="T59" s="151"/>
      <c r="U59" s="151"/>
      <c r="V59" s="152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51"/>
      <c r="R60" s="151"/>
      <c r="S60" s="151"/>
      <c r="T60" s="151"/>
      <c r="U60" s="151"/>
      <c r="V60" s="152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51"/>
      <c r="R61" s="151"/>
      <c r="S61" s="151"/>
      <c r="T61" s="151"/>
      <c r="U61" s="151"/>
      <c r="V61" s="152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51"/>
      <c r="R62" s="151"/>
      <c r="S62" s="151"/>
      <c r="T62" s="151"/>
      <c r="U62" s="151"/>
      <c r="V62" s="152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51"/>
      <c r="R63" s="151"/>
      <c r="S63" s="151"/>
      <c r="T63" s="151"/>
      <c r="U63" s="151"/>
      <c r="V63" s="152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-43.538300722274641</v>
      </c>
      <c r="P64" s="64"/>
      <c r="Q64" s="151"/>
      <c r="R64" s="151"/>
      <c r="S64" s="151"/>
      <c r="T64" s="151"/>
      <c r="U64" s="151"/>
      <c r="V64" s="152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51"/>
      <c r="R65" s="151"/>
      <c r="S65" s="151"/>
      <c r="T65" s="151"/>
      <c r="U65" s="151"/>
      <c r="V65" s="152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51"/>
      <c r="R66" s="151"/>
      <c r="S66" s="151"/>
      <c r="T66" s="151"/>
      <c r="U66" s="151"/>
      <c r="V66" s="152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51"/>
      <c r="R67" s="151"/>
      <c r="S67" s="151"/>
      <c r="T67" s="151"/>
      <c r="U67" s="151"/>
      <c r="V67" s="152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51"/>
      <c r="R68" s="151"/>
      <c r="S68" s="151"/>
      <c r="T68" s="151"/>
      <c r="U68" s="151"/>
      <c r="V68" s="152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51"/>
      <c r="R69" s="151"/>
      <c r="S69" s="151"/>
      <c r="T69" s="151"/>
      <c r="U69" s="151"/>
      <c r="V69" s="152"/>
      <c r="X69" s="65"/>
      <c r="Y69" s="65"/>
      <c r="Z69" s="65"/>
    </row>
    <row r="70" spans="5:26">
      <c r="O70" s="60"/>
      <c r="P70" s="64"/>
      <c r="Q70" s="151"/>
      <c r="R70" s="151"/>
      <c r="S70" s="151"/>
      <c r="T70" s="151"/>
      <c r="U70" s="151"/>
      <c r="V70" s="152"/>
      <c r="X70" s="65"/>
      <c r="Y70" s="65"/>
      <c r="Z70" s="65"/>
    </row>
    <row r="71" spans="5:26">
      <c r="O71" s="60"/>
      <c r="P71" s="64"/>
      <c r="Q71" s="151"/>
      <c r="R71" s="151"/>
      <c r="S71" s="151"/>
      <c r="T71" s="151"/>
      <c r="U71" s="151"/>
      <c r="V71" s="152"/>
      <c r="X71" s="65"/>
      <c r="Y71" s="65"/>
      <c r="Z71" s="65"/>
    </row>
    <row r="72" spans="5:26">
      <c r="O72" s="60"/>
      <c r="P72" s="64"/>
      <c r="Q72" s="151"/>
      <c r="R72" s="151"/>
      <c r="S72" s="151"/>
      <c r="T72" s="151"/>
      <c r="U72" s="151"/>
      <c r="V72" s="152"/>
      <c r="X72" s="65"/>
      <c r="Y72" s="65"/>
      <c r="Z72" s="65"/>
    </row>
    <row r="73" spans="5:26">
      <c r="O73" s="60"/>
      <c r="P73" s="64"/>
      <c r="Q73" s="151"/>
      <c r="R73" s="151"/>
      <c r="S73" s="151"/>
      <c r="T73" s="151"/>
      <c r="U73" s="151"/>
      <c r="V73" s="152"/>
      <c r="X73" s="65"/>
      <c r="Y73" s="65"/>
      <c r="Z73" s="65"/>
    </row>
    <row r="74" spans="5:26">
      <c r="O74" s="60"/>
      <c r="P74" s="64"/>
      <c r="Q74" s="151"/>
      <c r="R74" s="151"/>
      <c r="S74" s="151"/>
      <c r="T74" s="151"/>
      <c r="U74" s="151"/>
      <c r="V74" s="152"/>
      <c r="X74" s="65"/>
      <c r="Y74" s="65"/>
      <c r="Z74" s="65"/>
    </row>
    <row r="75" spans="5:26">
      <c r="O75" s="60"/>
      <c r="P75" s="64"/>
      <c r="Q75" s="151"/>
      <c r="R75" s="151"/>
      <c r="S75" s="151"/>
      <c r="T75" s="151"/>
      <c r="U75" s="151"/>
      <c r="V75" s="152"/>
      <c r="X75" s="65"/>
      <c r="Y75" s="65"/>
      <c r="Z75" s="65"/>
    </row>
    <row r="76" spans="5:26">
      <c r="O76" s="60"/>
      <c r="P76" s="64"/>
      <c r="Q76" s="151"/>
      <c r="R76" s="151"/>
      <c r="S76" s="151"/>
      <c r="T76" s="151"/>
      <c r="U76" s="151"/>
      <c r="V76" s="152"/>
      <c r="X76" s="65"/>
      <c r="Y76" s="65"/>
      <c r="Z76" s="65"/>
    </row>
    <row r="77" spans="5:26">
      <c r="O77" s="60"/>
      <c r="P77" s="64"/>
      <c r="Q77" s="151"/>
      <c r="R77" s="151"/>
      <c r="S77" s="151"/>
      <c r="T77" s="151"/>
      <c r="U77" s="151"/>
      <c r="V77" s="152"/>
      <c r="X77" s="65"/>
      <c r="Y77" s="65"/>
      <c r="Z77" s="65"/>
    </row>
    <row r="78" spans="5:26">
      <c r="O78" s="60"/>
      <c r="P78" s="64"/>
      <c r="Q78" s="151"/>
      <c r="R78" s="151"/>
      <c r="S78" s="151"/>
      <c r="T78" s="151"/>
      <c r="U78" s="151"/>
      <c r="V78" s="152"/>
      <c r="X78" s="65"/>
      <c r="Y78" s="65"/>
      <c r="Z78" s="65"/>
    </row>
    <row r="79" spans="5:26">
      <c r="O79" s="60"/>
      <c r="P79" s="64"/>
      <c r="Q79" s="151"/>
      <c r="R79" s="151"/>
      <c r="S79" s="151"/>
      <c r="T79" s="151"/>
      <c r="U79" s="151"/>
      <c r="V79" s="152"/>
      <c r="X79" s="65"/>
      <c r="Y79" s="65"/>
      <c r="Z79" s="65"/>
    </row>
    <row r="80" spans="5:26">
      <c r="O80" s="60"/>
      <c r="P80" s="64"/>
      <c r="Q80" s="151"/>
      <c r="R80" s="151"/>
      <c r="S80" s="151"/>
      <c r="T80" s="151"/>
      <c r="U80" s="151"/>
      <c r="V80" s="152"/>
      <c r="X80" s="65"/>
      <c r="Y80" s="65"/>
      <c r="Z80" s="65"/>
    </row>
    <row r="81" spans="15:26">
      <c r="O81" s="60"/>
      <c r="P81" s="64"/>
      <c r="Q81" s="151"/>
      <c r="R81" s="151"/>
      <c r="S81" s="151"/>
      <c r="T81" s="151"/>
      <c r="U81" s="151"/>
      <c r="V81" s="152"/>
      <c r="X81" s="65"/>
      <c r="Y81" s="65"/>
      <c r="Z81" s="65"/>
    </row>
    <row r="82" spans="15:26">
      <c r="O82" s="60"/>
      <c r="P82" s="64"/>
      <c r="Q82" s="151"/>
      <c r="R82" s="151"/>
      <c r="S82" s="151"/>
      <c r="T82" s="151"/>
      <c r="U82" s="151"/>
      <c r="V82" s="152"/>
      <c r="X82" s="65"/>
      <c r="Y82" s="65"/>
      <c r="Z82" s="65"/>
    </row>
    <row r="83" spans="15:26">
      <c r="O83" s="60"/>
      <c r="P83" s="64"/>
      <c r="Q83" s="151"/>
      <c r="R83" s="151"/>
      <c r="S83" s="151"/>
      <c r="T83" s="151"/>
      <c r="U83" s="151"/>
      <c r="V83" s="152"/>
      <c r="X83" s="65"/>
      <c r="Y83" s="65"/>
      <c r="Z83" s="65"/>
    </row>
    <row r="84" spans="15:26">
      <c r="O84" s="61"/>
      <c r="P84" s="64"/>
      <c r="Q84" s="151"/>
      <c r="R84" s="151"/>
      <c r="S84" s="151"/>
      <c r="T84" s="151"/>
      <c r="U84" s="151"/>
      <c r="V84" s="152"/>
      <c r="X84" s="65"/>
      <c r="Y84" s="65"/>
      <c r="Z84" s="65"/>
    </row>
    <row r="85" spans="15:26">
      <c r="O85" s="61">
        <v>42248</v>
      </c>
      <c r="P85" s="64"/>
      <c r="Q85" s="151"/>
      <c r="R85" s="151"/>
      <c r="S85" s="151"/>
      <c r="T85" s="151"/>
      <c r="U85" s="151"/>
      <c r="V85" s="152"/>
      <c r="X85" s="65"/>
      <c r="Y85" s="65"/>
      <c r="Z85" s="65"/>
    </row>
    <row r="86" spans="15:26">
      <c r="O86" s="60"/>
      <c r="P86" s="64"/>
      <c r="Q86" s="151"/>
      <c r="R86" s="151"/>
      <c r="S86" s="151"/>
      <c r="T86" s="151"/>
      <c r="U86" s="151"/>
      <c r="V86" s="152"/>
      <c r="X86" s="65"/>
      <c r="Y86" s="65"/>
      <c r="Z86" s="65"/>
    </row>
    <row r="87" spans="15:26">
      <c r="O87" s="60"/>
      <c r="P87" s="64"/>
      <c r="Q87" s="151"/>
      <c r="R87" s="151"/>
      <c r="S87" s="151"/>
      <c r="T87" s="151"/>
      <c r="U87" s="151"/>
      <c r="V87" s="152"/>
      <c r="X87" s="65"/>
      <c r="Y87" s="65"/>
      <c r="Z87" s="65"/>
    </row>
    <row r="88" spans="15:26">
      <c r="O88" s="60"/>
      <c r="P88" s="64"/>
      <c r="Q88" s="151"/>
      <c r="R88" s="151"/>
      <c r="S88" s="151"/>
      <c r="T88" s="151"/>
      <c r="U88" s="151"/>
      <c r="V88" s="152"/>
      <c r="X88" s="65"/>
      <c r="Y88" s="65"/>
      <c r="Z88" s="65"/>
    </row>
    <row r="89" spans="15:26">
      <c r="O89" s="60"/>
      <c r="P89" s="64"/>
      <c r="Q89" s="151"/>
      <c r="R89" s="151"/>
      <c r="S89" s="151"/>
      <c r="T89" s="151"/>
      <c r="U89" s="151"/>
      <c r="V89" s="152"/>
      <c r="X89" s="65"/>
      <c r="Y89" s="65"/>
      <c r="Z89" s="65"/>
    </row>
    <row r="90" spans="15:26">
      <c r="O90" s="60"/>
      <c r="P90" s="64"/>
      <c r="Q90" s="151"/>
      <c r="R90" s="151"/>
      <c r="S90" s="151"/>
      <c r="T90" s="151"/>
      <c r="U90" s="151"/>
      <c r="V90" s="152"/>
      <c r="X90" s="65"/>
      <c r="Y90" s="65"/>
      <c r="Z90" s="65"/>
    </row>
    <row r="91" spans="15:26">
      <c r="O91" s="60"/>
      <c r="P91" s="64"/>
      <c r="Q91" s="151"/>
      <c r="R91" s="151"/>
      <c r="S91" s="151"/>
      <c r="T91" s="151"/>
      <c r="U91" s="151"/>
      <c r="V91" s="152"/>
      <c r="X91" s="65"/>
      <c r="Y91" s="65"/>
      <c r="Z91" s="65"/>
    </row>
    <row r="92" spans="15:26">
      <c r="O92" s="60"/>
      <c r="P92" s="64"/>
      <c r="Q92" s="151"/>
      <c r="R92" s="151"/>
      <c r="S92" s="151"/>
      <c r="T92" s="151"/>
      <c r="U92" s="151"/>
      <c r="V92" s="152"/>
      <c r="X92" s="65"/>
      <c r="Y92" s="65"/>
      <c r="Z92" s="65"/>
    </row>
    <row r="93" spans="15:26">
      <c r="O93" s="60"/>
      <c r="P93" s="64"/>
      <c r="Q93" s="151"/>
      <c r="R93" s="151"/>
      <c r="S93" s="151"/>
      <c r="T93" s="151"/>
      <c r="U93" s="151"/>
      <c r="V93" s="152"/>
      <c r="X93" s="65"/>
      <c r="Y93" s="65"/>
      <c r="Z93" s="65"/>
    </row>
    <row r="94" spans="15:26">
      <c r="O94" s="60"/>
      <c r="P94" s="64"/>
      <c r="Q94" s="151"/>
      <c r="R94" s="151"/>
      <c r="S94" s="151"/>
      <c r="T94" s="151"/>
      <c r="U94" s="151"/>
      <c r="V94" s="152"/>
      <c r="X94" s="65"/>
      <c r="Y94" s="65"/>
      <c r="Z94" s="65"/>
    </row>
    <row r="95" spans="15:26">
      <c r="O95" s="60"/>
      <c r="P95" s="64"/>
      <c r="Q95" s="151"/>
      <c r="R95" s="151"/>
      <c r="S95" s="151"/>
      <c r="T95" s="151"/>
      <c r="U95" s="151"/>
      <c r="V95" s="152"/>
      <c r="X95" s="65"/>
      <c r="Y95" s="65"/>
      <c r="Z95" s="65"/>
    </row>
    <row r="96" spans="15:26">
      <c r="O96" s="60"/>
      <c r="P96" s="64"/>
      <c r="Q96" s="151"/>
      <c r="R96" s="151"/>
      <c r="S96" s="151"/>
      <c r="T96" s="151"/>
      <c r="U96" s="151"/>
      <c r="V96" s="152"/>
      <c r="X96" s="65"/>
      <c r="Y96" s="65"/>
      <c r="Z96" s="65"/>
    </row>
    <row r="97" spans="15:26">
      <c r="O97" s="60"/>
      <c r="P97" s="64"/>
      <c r="Q97" s="151"/>
      <c r="R97" s="151"/>
      <c r="S97" s="151"/>
      <c r="T97" s="151"/>
      <c r="U97" s="151"/>
      <c r="V97" s="152"/>
      <c r="X97" s="65"/>
      <c r="Y97" s="65"/>
      <c r="Z97" s="65"/>
    </row>
    <row r="98" spans="15:26">
      <c r="O98" s="60"/>
      <c r="P98" s="64"/>
      <c r="Q98" s="151"/>
      <c r="R98" s="151"/>
      <c r="S98" s="151"/>
      <c r="T98" s="151"/>
      <c r="U98" s="151"/>
      <c r="V98" s="152"/>
      <c r="X98" s="65"/>
      <c r="Y98" s="65"/>
      <c r="Z98" s="65"/>
    </row>
    <row r="99" spans="15:26">
      <c r="O99" s="60"/>
      <c r="P99" s="64"/>
      <c r="Q99" s="151"/>
      <c r="R99" s="151"/>
      <c r="S99" s="151"/>
      <c r="T99" s="151"/>
      <c r="U99" s="151"/>
      <c r="V99" s="152"/>
      <c r="X99" s="65"/>
      <c r="Y99" s="65"/>
      <c r="Z99" s="65"/>
    </row>
    <row r="100" spans="15:26">
      <c r="O100" s="60"/>
      <c r="P100" s="64"/>
      <c r="Q100" s="151"/>
      <c r="R100" s="151"/>
      <c r="S100" s="151"/>
      <c r="T100" s="151"/>
      <c r="U100" s="151"/>
      <c r="V100" s="152"/>
      <c r="X100" s="65"/>
      <c r="Y100" s="65"/>
      <c r="Z100" s="65"/>
    </row>
    <row r="101" spans="15:26">
      <c r="O101" s="60"/>
      <c r="P101" s="64"/>
      <c r="Q101" s="151"/>
      <c r="R101" s="151"/>
      <c r="S101" s="151"/>
      <c r="T101" s="151"/>
      <c r="U101" s="151"/>
      <c r="V101" s="152"/>
      <c r="X101" s="65"/>
      <c r="Y101" s="65"/>
      <c r="Z101" s="65"/>
    </row>
    <row r="102" spans="15:26">
      <c r="O102" s="60"/>
      <c r="P102" s="64"/>
      <c r="Q102" s="151"/>
      <c r="R102" s="151"/>
      <c r="S102" s="151"/>
      <c r="T102" s="151"/>
      <c r="U102" s="151"/>
      <c r="V102" s="152"/>
      <c r="X102" s="65"/>
      <c r="Y102" s="65"/>
      <c r="Z102" s="65"/>
    </row>
    <row r="103" spans="15:26">
      <c r="O103" s="60"/>
      <c r="P103" s="64"/>
      <c r="Q103" s="151"/>
      <c r="R103" s="151"/>
      <c r="S103" s="151"/>
      <c r="T103" s="151"/>
      <c r="U103" s="151"/>
      <c r="V103" s="152"/>
      <c r="X103" s="65"/>
      <c r="Y103" s="65"/>
      <c r="Z103" s="65"/>
    </row>
    <row r="104" spans="15:26">
      <c r="O104" s="60"/>
      <c r="P104" s="64"/>
      <c r="Q104" s="151"/>
      <c r="R104" s="151"/>
      <c r="S104" s="151"/>
      <c r="T104" s="151"/>
      <c r="U104" s="151"/>
      <c r="V104" s="152"/>
      <c r="X104" s="65"/>
      <c r="Y104" s="65"/>
      <c r="Z104" s="65"/>
    </row>
    <row r="105" spans="15:26">
      <c r="O105" s="60"/>
      <c r="P105" s="64"/>
      <c r="Q105" s="151"/>
      <c r="R105" s="151"/>
      <c r="S105" s="151"/>
      <c r="T105" s="151"/>
      <c r="U105" s="151"/>
      <c r="V105" s="152"/>
      <c r="X105" s="65"/>
      <c r="Y105" s="65"/>
      <c r="Z105" s="65"/>
    </row>
    <row r="106" spans="15:26">
      <c r="O106" s="60"/>
      <c r="P106" s="64"/>
      <c r="Q106" s="151"/>
      <c r="R106" s="151"/>
      <c r="S106" s="151"/>
      <c r="T106" s="151"/>
      <c r="U106" s="151"/>
      <c r="V106" s="152"/>
      <c r="X106" s="65"/>
      <c r="Y106" s="65"/>
      <c r="Z106" s="65"/>
    </row>
    <row r="107" spans="15:26">
      <c r="O107" s="60"/>
      <c r="P107" s="64"/>
      <c r="Q107" s="151"/>
      <c r="R107" s="151"/>
      <c r="S107" s="151"/>
      <c r="T107" s="151"/>
      <c r="U107" s="151"/>
      <c r="V107" s="152"/>
      <c r="X107" s="65"/>
      <c r="Y107" s="65"/>
      <c r="Z107" s="65"/>
    </row>
    <row r="108" spans="15:26">
      <c r="O108" s="60"/>
      <c r="P108" s="64"/>
      <c r="Q108" s="151"/>
      <c r="R108" s="151"/>
      <c r="S108" s="151"/>
      <c r="T108" s="151"/>
      <c r="U108" s="151"/>
      <c r="V108" s="152"/>
      <c r="X108" s="65"/>
      <c r="Y108" s="65"/>
      <c r="Z108" s="65"/>
    </row>
    <row r="109" spans="15:26">
      <c r="O109" s="60"/>
      <c r="P109" s="64"/>
      <c r="Q109" s="151"/>
      <c r="R109" s="151"/>
      <c r="S109" s="151"/>
      <c r="T109" s="151"/>
      <c r="U109" s="151"/>
      <c r="V109" s="152"/>
      <c r="X109" s="65"/>
      <c r="Y109" s="65"/>
      <c r="Z109" s="65"/>
    </row>
    <row r="110" spans="15:26">
      <c r="O110" s="60"/>
      <c r="P110" s="64"/>
      <c r="Q110" s="151"/>
      <c r="R110" s="151"/>
      <c r="S110" s="151"/>
      <c r="T110" s="151"/>
      <c r="U110" s="151"/>
      <c r="V110" s="152"/>
      <c r="X110" s="65"/>
      <c r="Y110" s="65"/>
      <c r="Z110" s="65"/>
    </row>
    <row r="111" spans="15:26">
      <c r="O111" s="60"/>
      <c r="P111" s="64"/>
      <c r="Q111" s="151"/>
      <c r="R111" s="151"/>
      <c r="S111" s="151"/>
      <c r="T111" s="151"/>
      <c r="U111" s="151"/>
      <c r="V111" s="152"/>
      <c r="X111" s="65"/>
      <c r="Y111" s="65"/>
      <c r="Z111" s="65"/>
    </row>
    <row r="112" spans="15:26">
      <c r="O112" s="60"/>
      <c r="P112" s="64"/>
      <c r="Q112" s="151"/>
      <c r="R112" s="151"/>
      <c r="S112" s="151"/>
      <c r="T112" s="151"/>
      <c r="U112" s="151"/>
      <c r="V112" s="152"/>
      <c r="X112" s="65"/>
      <c r="Y112" s="65"/>
      <c r="Z112" s="65"/>
    </row>
    <row r="113" spans="15:26">
      <c r="O113" s="60"/>
      <c r="P113" s="64"/>
      <c r="Q113" s="151"/>
      <c r="R113" s="151"/>
      <c r="S113" s="151"/>
      <c r="T113" s="151"/>
      <c r="U113" s="151"/>
      <c r="V113" s="152"/>
      <c r="X113" s="65"/>
      <c r="Y113" s="65"/>
      <c r="Z113" s="65"/>
    </row>
    <row r="114" spans="15:26">
      <c r="O114" s="60"/>
      <c r="P114" s="64"/>
      <c r="Q114" s="151"/>
      <c r="R114" s="151"/>
      <c r="S114" s="151"/>
      <c r="T114" s="151"/>
      <c r="U114" s="151"/>
      <c r="V114" s="152"/>
      <c r="X114" s="65"/>
      <c r="Y114" s="65"/>
      <c r="Z114" s="65"/>
    </row>
    <row r="115" spans="15:26">
      <c r="O115" s="61">
        <v>42278</v>
      </c>
      <c r="P115" s="64"/>
      <c r="Q115" s="151"/>
      <c r="R115" s="151"/>
      <c r="S115" s="151"/>
      <c r="T115" s="151"/>
      <c r="U115" s="151"/>
      <c r="V115" s="152"/>
      <c r="X115" s="65"/>
      <c r="Y115" s="65"/>
      <c r="Z115" s="65"/>
    </row>
    <row r="116" spans="15:26">
      <c r="O116" s="61"/>
      <c r="P116" s="64"/>
      <c r="Q116" s="151"/>
      <c r="R116" s="151"/>
      <c r="S116" s="151"/>
      <c r="T116" s="151"/>
      <c r="U116" s="151"/>
      <c r="V116" s="152"/>
      <c r="X116" s="65"/>
      <c r="Y116" s="65"/>
      <c r="Z116" s="65"/>
    </row>
    <row r="117" spans="15:26">
      <c r="O117" s="60"/>
      <c r="P117" s="64"/>
      <c r="Q117" s="151"/>
      <c r="R117" s="151"/>
      <c r="S117" s="151"/>
      <c r="T117" s="151"/>
      <c r="U117" s="151"/>
      <c r="V117" s="152"/>
      <c r="X117" s="65"/>
      <c r="Y117" s="65"/>
      <c r="Z117" s="65"/>
    </row>
    <row r="118" spans="15:26">
      <c r="O118" s="60"/>
      <c r="P118" s="64"/>
      <c r="Q118" s="151"/>
      <c r="R118" s="151"/>
      <c r="S118" s="151"/>
      <c r="T118" s="151"/>
      <c r="U118" s="151"/>
      <c r="V118" s="152"/>
      <c r="X118" s="65"/>
      <c r="Y118" s="65"/>
      <c r="Z118" s="65"/>
    </row>
    <row r="119" spans="15:26">
      <c r="O119" s="60"/>
      <c r="P119" s="64"/>
      <c r="Q119" s="151"/>
      <c r="R119" s="151"/>
      <c r="S119" s="151"/>
      <c r="T119" s="151"/>
      <c r="U119" s="151"/>
      <c r="V119" s="152"/>
      <c r="X119" s="65"/>
      <c r="Y119" s="65"/>
      <c r="Z119" s="65"/>
    </row>
    <row r="120" spans="15:26">
      <c r="O120" s="60"/>
      <c r="P120" s="64"/>
      <c r="Q120" s="151"/>
      <c r="R120" s="151"/>
      <c r="S120" s="151"/>
      <c r="T120" s="151"/>
      <c r="U120" s="151"/>
      <c r="V120" s="152"/>
      <c r="X120" s="65"/>
      <c r="Y120" s="65"/>
      <c r="Z120" s="65"/>
    </row>
    <row r="121" spans="15:26">
      <c r="O121" s="60"/>
      <c r="P121" s="64"/>
      <c r="Q121" s="151"/>
      <c r="R121" s="151"/>
      <c r="S121" s="151"/>
      <c r="T121" s="151"/>
      <c r="U121" s="151"/>
      <c r="V121" s="152"/>
      <c r="X121" s="65"/>
      <c r="Y121" s="65"/>
      <c r="Z121" s="65"/>
    </row>
    <row r="122" spans="15:26">
      <c r="O122" s="60"/>
      <c r="P122" s="64"/>
      <c r="Q122" s="151"/>
      <c r="R122" s="151"/>
      <c r="S122" s="151"/>
      <c r="T122" s="151"/>
      <c r="U122" s="151"/>
      <c r="V122" s="152"/>
      <c r="X122" s="65"/>
      <c r="Y122" s="65"/>
      <c r="Z122" s="65"/>
    </row>
    <row r="123" spans="15:26">
      <c r="O123" s="60"/>
      <c r="P123" s="64"/>
      <c r="Q123" s="151"/>
      <c r="R123" s="151"/>
      <c r="S123" s="151"/>
      <c r="T123" s="151"/>
      <c r="U123" s="151"/>
      <c r="V123" s="152"/>
      <c r="X123" s="65"/>
      <c r="Y123" s="65"/>
      <c r="Z123" s="65"/>
    </row>
    <row r="124" spans="15:26">
      <c r="O124" s="60"/>
      <c r="P124" s="64"/>
      <c r="Q124" s="151"/>
      <c r="R124" s="151"/>
      <c r="S124" s="151"/>
      <c r="T124" s="151"/>
      <c r="U124" s="151"/>
      <c r="V124" s="152"/>
      <c r="X124" s="65"/>
      <c r="Y124" s="65"/>
      <c r="Z124" s="65"/>
    </row>
    <row r="125" spans="15:26">
      <c r="O125" s="60"/>
      <c r="P125" s="64"/>
      <c r="Q125" s="151"/>
      <c r="R125" s="151"/>
      <c r="S125" s="151"/>
      <c r="T125" s="151"/>
      <c r="U125" s="151"/>
      <c r="V125" s="152"/>
      <c r="X125" s="65"/>
      <c r="Y125" s="65"/>
      <c r="Z125" s="65"/>
    </row>
    <row r="126" spans="15:26">
      <c r="O126" s="60"/>
      <c r="P126" s="64"/>
      <c r="Q126" s="151"/>
      <c r="R126" s="151"/>
      <c r="S126" s="151"/>
      <c r="T126" s="151"/>
      <c r="U126" s="151"/>
      <c r="V126" s="152"/>
      <c r="X126" s="65"/>
      <c r="Y126" s="65"/>
      <c r="Z126" s="65"/>
    </row>
    <row r="127" spans="15:26">
      <c r="O127" s="60"/>
      <c r="P127" s="64"/>
      <c r="Q127" s="151"/>
      <c r="R127" s="151"/>
      <c r="S127" s="151"/>
      <c r="T127" s="151"/>
      <c r="U127" s="151"/>
      <c r="V127" s="152"/>
      <c r="X127" s="65"/>
      <c r="Y127" s="65"/>
      <c r="Z127" s="65"/>
    </row>
    <row r="128" spans="15:26">
      <c r="O128" s="60"/>
      <c r="P128" s="64"/>
      <c r="Q128" s="151"/>
      <c r="R128" s="151"/>
      <c r="S128" s="151"/>
      <c r="T128" s="151"/>
      <c r="U128" s="151"/>
      <c r="V128" s="152"/>
      <c r="X128" s="65"/>
      <c r="Y128" s="65"/>
      <c r="Z128" s="65"/>
    </row>
    <row r="129" spans="15:26">
      <c r="O129" s="60"/>
      <c r="P129" s="64"/>
      <c r="Q129" s="151"/>
      <c r="R129" s="151"/>
      <c r="S129" s="151"/>
      <c r="T129" s="151"/>
      <c r="U129" s="151"/>
      <c r="V129" s="152"/>
      <c r="X129" s="65"/>
      <c r="Y129" s="65"/>
      <c r="Z129" s="65"/>
    </row>
    <row r="130" spans="15:26">
      <c r="O130" s="60"/>
      <c r="P130" s="64"/>
      <c r="Q130" s="151"/>
      <c r="R130" s="151"/>
      <c r="S130" s="151"/>
      <c r="T130" s="151"/>
      <c r="U130" s="151"/>
      <c r="V130" s="152"/>
      <c r="X130" s="65"/>
      <c r="Y130" s="65"/>
      <c r="Z130" s="65"/>
    </row>
    <row r="131" spans="15:26">
      <c r="O131" s="60"/>
      <c r="P131" s="64"/>
      <c r="Q131" s="151"/>
      <c r="R131" s="151"/>
      <c r="S131" s="151"/>
      <c r="T131" s="151"/>
      <c r="U131" s="151"/>
      <c r="V131" s="152"/>
      <c r="X131" s="65"/>
      <c r="Y131" s="65"/>
      <c r="Z131" s="65"/>
    </row>
    <row r="132" spans="15:26">
      <c r="O132" s="60"/>
      <c r="P132" s="64"/>
      <c r="Q132" s="151"/>
      <c r="R132" s="151"/>
      <c r="S132" s="151"/>
      <c r="T132" s="151"/>
      <c r="U132" s="151"/>
      <c r="V132" s="152"/>
      <c r="X132" s="65"/>
      <c r="Y132" s="65"/>
      <c r="Z132" s="65"/>
    </row>
    <row r="133" spans="15:26">
      <c r="O133" s="60"/>
      <c r="P133" s="64"/>
      <c r="Q133" s="151"/>
      <c r="R133" s="151"/>
      <c r="S133" s="151"/>
      <c r="T133" s="151"/>
      <c r="U133" s="151"/>
      <c r="V133" s="152"/>
      <c r="X133" s="65"/>
      <c r="Y133" s="65"/>
      <c r="Z133" s="65"/>
    </row>
    <row r="134" spans="15:26">
      <c r="O134" s="60"/>
      <c r="P134" s="64"/>
      <c r="Q134" s="151"/>
      <c r="R134" s="151"/>
      <c r="S134" s="151"/>
      <c r="T134" s="151"/>
      <c r="U134" s="151"/>
      <c r="V134" s="152"/>
      <c r="X134" s="65"/>
      <c r="Y134" s="65"/>
      <c r="Z134" s="65"/>
    </row>
    <row r="135" spans="15:26">
      <c r="O135" s="60"/>
      <c r="P135" s="64"/>
      <c r="Q135" s="151"/>
      <c r="R135" s="151"/>
      <c r="S135" s="151"/>
      <c r="T135" s="151"/>
      <c r="U135" s="151"/>
      <c r="V135" s="152"/>
      <c r="X135" s="65"/>
      <c r="Y135" s="65"/>
      <c r="Z135" s="65"/>
    </row>
    <row r="136" spans="15:26">
      <c r="O136" s="60"/>
      <c r="P136" s="64"/>
      <c r="Q136" s="151"/>
      <c r="R136" s="151"/>
      <c r="S136" s="151"/>
      <c r="T136" s="151"/>
      <c r="U136" s="151"/>
      <c r="V136" s="152"/>
      <c r="X136" s="65"/>
      <c r="Y136" s="65"/>
      <c r="Z136" s="65"/>
    </row>
    <row r="137" spans="15:26">
      <c r="O137" s="60"/>
      <c r="P137" s="64"/>
      <c r="Q137" s="151"/>
      <c r="R137" s="151"/>
      <c r="S137" s="151"/>
      <c r="T137" s="151"/>
      <c r="U137" s="151"/>
      <c r="V137" s="152"/>
      <c r="X137" s="65"/>
      <c r="Y137" s="65"/>
      <c r="Z137" s="65"/>
    </row>
    <row r="138" spans="15:26">
      <c r="O138" s="60"/>
      <c r="P138" s="64"/>
      <c r="Q138" s="151"/>
      <c r="R138" s="151"/>
      <c r="S138" s="151"/>
      <c r="T138" s="151"/>
      <c r="U138" s="151"/>
      <c r="V138" s="152"/>
      <c r="X138" s="65"/>
      <c r="Y138" s="65"/>
      <c r="Z138" s="65"/>
    </row>
    <row r="139" spans="15:26">
      <c r="O139" s="60"/>
      <c r="P139" s="64"/>
      <c r="Q139" s="151"/>
      <c r="R139" s="151"/>
      <c r="S139" s="151"/>
      <c r="T139" s="151"/>
      <c r="U139" s="151"/>
      <c r="V139" s="152"/>
      <c r="X139" s="65"/>
      <c r="Y139" s="65"/>
      <c r="Z139" s="65"/>
    </row>
    <row r="140" spans="15:26">
      <c r="O140" s="60"/>
      <c r="P140" s="64"/>
      <c r="Q140" s="151"/>
      <c r="R140" s="151"/>
      <c r="S140" s="151"/>
      <c r="T140" s="151"/>
      <c r="U140" s="151"/>
      <c r="V140" s="152"/>
      <c r="X140" s="65"/>
      <c r="Y140" s="65"/>
      <c r="Z140" s="65"/>
    </row>
    <row r="141" spans="15:26">
      <c r="O141" s="60"/>
      <c r="P141" s="64"/>
      <c r="Q141" s="151"/>
      <c r="R141" s="151"/>
      <c r="S141" s="151"/>
      <c r="T141" s="151"/>
      <c r="U141" s="151"/>
      <c r="V141" s="152"/>
      <c r="X141" s="65"/>
      <c r="Y141" s="65"/>
      <c r="Z141" s="65"/>
    </row>
    <row r="142" spans="15:26">
      <c r="O142" s="60"/>
      <c r="P142" s="64"/>
      <c r="Q142" s="151"/>
      <c r="R142" s="151"/>
      <c r="S142" s="151"/>
      <c r="T142" s="151"/>
      <c r="U142" s="151"/>
      <c r="V142" s="152"/>
      <c r="X142" s="65"/>
      <c r="Y142" s="65"/>
      <c r="Z142" s="65"/>
    </row>
    <row r="143" spans="15:26">
      <c r="O143" s="60"/>
      <c r="P143" s="64"/>
      <c r="Q143" s="151"/>
      <c r="R143" s="151"/>
      <c r="S143" s="151"/>
      <c r="T143" s="151"/>
      <c r="U143" s="151"/>
      <c r="V143" s="152"/>
      <c r="X143" s="65"/>
      <c r="Y143" s="65"/>
      <c r="Z143" s="65"/>
    </row>
    <row r="144" spans="15:26">
      <c r="O144" s="60"/>
      <c r="P144" s="64"/>
      <c r="Q144" s="151"/>
      <c r="R144" s="151"/>
      <c r="S144" s="151"/>
      <c r="T144" s="151"/>
      <c r="U144" s="151"/>
      <c r="V144" s="152"/>
      <c r="X144" s="65"/>
      <c r="Y144" s="65"/>
      <c r="Z144" s="65"/>
    </row>
    <row r="145" spans="15:26">
      <c r="O145" s="60"/>
      <c r="P145" s="64"/>
      <c r="Q145" s="151"/>
      <c r="R145" s="151"/>
      <c r="S145" s="151"/>
      <c r="T145" s="151"/>
      <c r="U145" s="151"/>
      <c r="V145" s="152"/>
      <c r="X145" s="65"/>
      <c r="Y145" s="65"/>
      <c r="Z145" s="65"/>
    </row>
    <row r="146" spans="15:26">
      <c r="O146" s="61">
        <v>42309</v>
      </c>
      <c r="P146" s="64"/>
      <c r="Q146" s="151"/>
      <c r="R146" s="151"/>
      <c r="S146" s="151"/>
      <c r="T146" s="151"/>
      <c r="U146" s="151"/>
      <c r="V146" s="152"/>
      <c r="X146" s="65"/>
      <c r="Y146" s="65"/>
      <c r="Z146" s="65"/>
    </row>
    <row r="147" spans="15:26">
      <c r="O147" s="61"/>
      <c r="P147" s="64"/>
      <c r="Q147" s="151"/>
      <c r="R147" s="151"/>
      <c r="S147" s="151"/>
      <c r="T147" s="151"/>
      <c r="U147" s="151"/>
      <c r="V147" s="152"/>
      <c r="X147" s="65"/>
      <c r="Y147" s="65"/>
      <c r="Z147" s="65"/>
    </row>
    <row r="148" spans="15:26">
      <c r="O148" s="60"/>
      <c r="P148" s="64"/>
      <c r="Q148" s="151"/>
      <c r="R148" s="151"/>
      <c r="S148" s="151"/>
      <c r="T148" s="151"/>
      <c r="U148" s="151"/>
      <c r="V148" s="152"/>
      <c r="X148" s="65"/>
      <c r="Y148" s="65"/>
      <c r="Z148" s="65"/>
    </row>
    <row r="149" spans="15:26">
      <c r="O149" s="60"/>
      <c r="P149" s="64"/>
      <c r="Q149" s="151"/>
      <c r="R149" s="151"/>
      <c r="S149" s="151"/>
      <c r="T149" s="151"/>
      <c r="U149" s="151"/>
      <c r="V149" s="152"/>
      <c r="X149" s="65"/>
      <c r="Y149" s="65"/>
      <c r="Z149" s="65"/>
    </row>
    <row r="150" spans="15:26">
      <c r="O150" s="60"/>
      <c r="P150" s="64"/>
      <c r="Q150" s="151"/>
      <c r="R150" s="151"/>
      <c r="S150" s="151"/>
      <c r="T150" s="151"/>
      <c r="U150" s="151"/>
      <c r="V150" s="152"/>
      <c r="X150" s="65"/>
      <c r="Y150" s="65"/>
      <c r="Z150" s="65"/>
    </row>
    <row r="151" spans="15:26">
      <c r="O151" s="60"/>
      <c r="P151" s="64"/>
      <c r="Q151" s="151"/>
      <c r="R151" s="151"/>
      <c r="S151" s="151"/>
      <c r="T151" s="151"/>
      <c r="U151" s="151"/>
      <c r="V151" s="152"/>
      <c r="X151" s="65"/>
      <c r="Y151" s="65"/>
      <c r="Z151" s="65"/>
    </row>
    <row r="152" spans="15:26">
      <c r="O152" s="60"/>
      <c r="P152" s="64"/>
      <c r="Q152" s="151"/>
      <c r="R152" s="151"/>
      <c r="S152" s="151"/>
      <c r="T152" s="151"/>
      <c r="U152" s="151"/>
      <c r="V152" s="152"/>
      <c r="X152" s="65"/>
      <c r="Y152" s="65"/>
      <c r="Z152" s="65"/>
    </row>
    <row r="153" spans="15:26">
      <c r="O153" s="60"/>
      <c r="P153" s="64"/>
      <c r="Q153" s="151"/>
      <c r="R153" s="151"/>
      <c r="S153" s="151"/>
      <c r="T153" s="151"/>
      <c r="U153" s="151"/>
      <c r="V153" s="152"/>
      <c r="X153" s="65"/>
      <c r="Y153" s="65"/>
      <c r="Z153" s="65"/>
    </row>
    <row r="154" spans="15:26">
      <c r="O154" s="60"/>
      <c r="P154" s="64"/>
      <c r="Q154" s="151"/>
      <c r="R154" s="151"/>
      <c r="S154" s="151"/>
      <c r="T154" s="151"/>
      <c r="U154" s="151"/>
      <c r="V154" s="152"/>
      <c r="X154" s="65"/>
      <c r="Y154" s="65"/>
      <c r="Z154" s="65"/>
    </row>
    <row r="155" spans="15:26">
      <c r="O155" s="60"/>
      <c r="P155" s="64"/>
      <c r="Q155" s="151"/>
      <c r="R155" s="151"/>
      <c r="S155" s="151"/>
      <c r="T155" s="151"/>
      <c r="U155" s="151"/>
      <c r="V155" s="152"/>
      <c r="X155" s="65"/>
      <c r="Y155" s="65"/>
      <c r="Z155" s="65"/>
    </row>
    <row r="156" spans="15:26">
      <c r="O156" s="60"/>
      <c r="P156" s="64"/>
      <c r="Q156" s="151"/>
      <c r="R156" s="151"/>
      <c r="S156" s="151"/>
      <c r="T156" s="151"/>
      <c r="U156" s="151"/>
      <c r="V156" s="152"/>
      <c r="X156" s="65"/>
      <c r="Y156" s="65"/>
      <c r="Z156" s="65"/>
    </row>
    <row r="157" spans="15:26">
      <c r="O157" s="60"/>
      <c r="P157" s="64"/>
      <c r="Q157" s="151"/>
      <c r="R157" s="151"/>
      <c r="S157" s="151"/>
      <c r="T157" s="151"/>
      <c r="U157" s="151"/>
      <c r="V157" s="152"/>
      <c r="X157" s="65"/>
      <c r="Y157" s="65"/>
      <c r="Z157" s="65"/>
    </row>
    <row r="158" spans="15:26">
      <c r="O158" s="60"/>
      <c r="P158" s="64"/>
      <c r="Q158" s="151"/>
      <c r="R158" s="151"/>
      <c r="S158" s="151"/>
      <c r="T158" s="151"/>
      <c r="U158" s="151"/>
      <c r="V158" s="152"/>
      <c r="X158" s="65"/>
      <c r="Y158" s="65"/>
      <c r="Z158" s="65"/>
    </row>
    <row r="159" spans="15:26">
      <c r="O159" s="60"/>
      <c r="P159" s="64"/>
      <c r="Q159" s="151"/>
      <c r="R159" s="151"/>
      <c r="S159" s="151"/>
      <c r="T159" s="151"/>
      <c r="U159" s="151"/>
      <c r="V159" s="152"/>
      <c r="X159" s="65"/>
      <c r="Y159" s="65"/>
      <c r="Z159" s="65"/>
    </row>
    <row r="160" spans="15:26">
      <c r="O160" s="60"/>
      <c r="P160" s="64"/>
      <c r="Q160" s="151"/>
      <c r="R160" s="151"/>
      <c r="S160" s="151"/>
      <c r="T160" s="151"/>
      <c r="U160" s="151"/>
      <c r="V160" s="152"/>
      <c r="X160" s="65"/>
      <c r="Y160" s="65"/>
      <c r="Z160" s="65"/>
    </row>
    <row r="161" spans="15:26">
      <c r="O161" s="60"/>
      <c r="P161" s="64"/>
      <c r="Q161" s="151"/>
      <c r="R161" s="151"/>
      <c r="S161" s="151"/>
      <c r="T161" s="151"/>
      <c r="U161" s="151"/>
      <c r="V161" s="152"/>
      <c r="X161" s="65"/>
      <c r="Y161" s="65"/>
      <c r="Z161" s="65"/>
    </row>
    <row r="162" spans="15:26">
      <c r="O162" s="60"/>
      <c r="P162" s="64"/>
      <c r="Q162" s="151"/>
      <c r="R162" s="151"/>
      <c r="S162" s="151"/>
      <c r="T162" s="151"/>
      <c r="U162" s="151"/>
      <c r="V162" s="152"/>
      <c r="X162" s="65"/>
      <c r="Y162" s="65"/>
      <c r="Z162" s="65"/>
    </row>
    <row r="163" spans="15:26">
      <c r="O163" s="60"/>
      <c r="P163" s="64"/>
      <c r="Q163" s="151"/>
      <c r="R163" s="151"/>
      <c r="S163" s="151"/>
      <c r="T163" s="151"/>
      <c r="U163" s="151"/>
      <c r="V163" s="152"/>
      <c r="X163" s="65"/>
      <c r="Y163" s="65"/>
      <c r="Z163" s="65"/>
    </row>
    <row r="164" spans="15:26">
      <c r="O164" s="60"/>
      <c r="P164" s="64"/>
      <c r="Q164" s="151"/>
      <c r="R164" s="151"/>
      <c r="S164" s="151"/>
      <c r="T164" s="151"/>
      <c r="U164" s="151"/>
      <c r="V164" s="152"/>
      <c r="X164" s="65"/>
      <c r="Y164" s="65"/>
      <c r="Z164" s="65"/>
    </row>
    <row r="165" spans="15:26">
      <c r="O165" s="60"/>
      <c r="P165" s="64"/>
      <c r="Q165" s="151"/>
      <c r="R165" s="151"/>
      <c r="S165" s="151"/>
      <c r="T165" s="151"/>
      <c r="U165" s="151"/>
      <c r="V165" s="152"/>
      <c r="X165" s="65"/>
      <c r="Y165" s="65"/>
      <c r="Z165" s="65"/>
    </row>
    <row r="166" spans="15:26">
      <c r="O166" s="60"/>
      <c r="P166" s="64"/>
      <c r="Q166" s="151"/>
      <c r="R166" s="151"/>
      <c r="S166" s="151"/>
      <c r="T166" s="151"/>
      <c r="U166" s="151"/>
      <c r="V166" s="152"/>
      <c r="X166" s="65"/>
      <c r="Y166" s="65"/>
      <c r="Z166" s="65"/>
    </row>
    <row r="167" spans="15:26">
      <c r="O167" s="60"/>
      <c r="P167" s="64"/>
      <c r="Q167" s="151"/>
      <c r="R167" s="151"/>
      <c r="S167" s="151"/>
      <c r="T167" s="151"/>
      <c r="U167" s="151"/>
      <c r="V167" s="152"/>
      <c r="X167" s="65"/>
      <c r="Y167" s="65"/>
      <c r="Z167" s="65"/>
    </row>
    <row r="168" spans="15:26">
      <c r="O168" s="60"/>
      <c r="P168" s="64"/>
      <c r="Q168" s="151"/>
      <c r="R168" s="151"/>
      <c r="S168" s="151"/>
      <c r="T168" s="151"/>
      <c r="U168" s="151"/>
      <c r="V168" s="152"/>
      <c r="X168" s="65"/>
      <c r="Y168" s="65"/>
      <c r="Z168" s="65"/>
    </row>
    <row r="169" spans="15:26">
      <c r="O169" s="60"/>
      <c r="P169" s="64"/>
      <c r="Q169" s="151"/>
      <c r="R169" s="151"/>
      <c r="S169" s="151"/>
      <c r="T169" s="151"/>
      <c r="U169" s="151"/>
      <c r="V169" s="152"/>
      <c r="X169" s="65"/>
      <c r="Y169" s="65"/>
      <c r="Z169" s="65"/>
    </row>
    <row r="170" spans="15:26">
      <c r="O170" s="60"/>
      <c r="P170" s="64"/>
      <c r="Q170" s="151"/>
      <c r="R170" s="151"/>
      <c r="S170" s="151"/>
      <c r="T170" s="151"/>
      <c r="U170" s="151"/>
      <c r="V170" s="152"/>
      <c r="X170" s="65"/>
      <c r="Y170" s="65"/>
      <c r="Z170" s="65"/>
    </row>
    <row r="171" spans="15:26">
      <c r="O171" s="60"/>
      <c r="P171" s="64"/>
      <c r="Q171" s="151"/>
      <c r="R171" s="151"/>
      <c r="S171" s="151"/>
      <c r="T171" s="151"/>
      <c r="U171" s="151"/>
      <c r="V171" s="152"/>
      <c r="X171" s="65"/>
      <c r="Y171" s="65"/>
      <c r="Z171" s="65"/>
    </row>
    <row r="172" spans="15:26">
      <c r="O172" s="60"/>
      <c r="P172" s="64"/>
      <c r="Q172" s="151"/>
      <c r="R172" s="151"/>
      <c r="S172" s="151"/>
      <c r="T172" s="151"/>
      <c r="U172" s="151"/>
      <c r="V172" s="152"/>
      <c r="X172" s="65"/>
      <c r="Y172" s="65"/>
      <c r="Z172" s="65"/>
    </row>
    <row r="173" spans="15:26">
      <c r="O173" s="60"/>
      <c r="P173" s="64"/>
      <c r="Q173" s="151"/>
      <c r="R173" s="151"/>
      <c r="S173" s="151"/>
      <c r="T173" s="151"/>
      <c r="U173" s="151"/>
      <c r="V173" s="152"/>
      <c r="X173" s="65"/>
      <c r="Y173" s="65"/>
      <c r="Z173" s="65"/>
    </row>
    <row r="174" spans="15:26">
      <c r="O174" s="60"/>
      <c r="P174" s="64"/>
      <c r="Q174" s="151"/>
      <c r="R174" s="151"/>
      <c r="S174" s="151"/>
      <c r="T174" s="151"/>
      <c r="U174" s="151"/>
      <c r="V174" s="152"/>
      <c r="X174" s="65"/>
      <c r="Y174" s="65"/>
      <c r="Z174" s="65"/>
    </row>
    <row r="175" spans="15:26">
      <c r="O175" s="60"/>
      <c r="P175" s="64"/>
      <c r="Q175" s="151"/>
      <c r="R175" s="151"/>
      <c r="S175" s="151"/>
      <c r="T175" s="151"/>
      <c r="U175" s="151"/>
      <c r="V175" s="152"/>
      <c r="X175" s="65"/>
      <c r="Y175" s="65"/>
      <c r="Z175" s="65"/>
    </row>
    <row r="176" spans="15:26">
      <c r="O176" s="61">
        <v>42339</v>
      </c>
      <c r="P176" s="64"/>
      <c r="Q176" s="151"/>
      <c r="R176" s="151"/>
      <c r="S176" s="151"/>
      <c r="T176" s="151"/>
      <c r="U176" s="151"/>
      <c r="V176" s="152"/>
      <c r="X176" s="65"/>
      <c r="Y176" s="65"/>
      <c r="Z176" s="65"/>
    </row>
    <row r="177" spans="15:26">
      <c r="O177" s="61"/>
      <c r="P177" s="64"/>
      <c r="Q177" s="151"/>
      <c r="R177" s="151"/>
      <c r="S177" s="151"/>
      <c r="T177" s="151"/>
      <c r="U177" s="151"/>
      <c r="V177" s="152"/>
      <c r="X177" s="65"/>
      <c r="Y177" s="65"/>
      <c r="Z177" s="65"/>
    </row>
    <row r="178" spans="15:26">
      <c r="O178" s="60"/>
      <c r="P178" s="64"/>
      <c r="Q178" s="151"/>
      <c r="R178" s="151"/>
      <c r="S178" s="151"/>
      <c r="T178" s="151"/>
      <c r="U178" s="151"/>
      <c r="V178" s="152"/>
      <c r="X178" s="65"/>
      <c r="Y178" s="65"/>
      <c r="Z178" s="65"/>
    </row>
    <row r="179" spans="15:26">
      <c r="O179" s="60"/>
      <c r="P179" s="64"/>
      <c r="Q179" s="151"/>
      <c r="R179" s="151"/>
      <c r="S179" s="151"/>
      <c r="T179" s="151"/>
      <c r="U179" s="151"/>
      <c r="V179" s="152"/>
      <c r="X179" s="65"/>
      <c r="Y179" s="65"/>
      <c r="Z179" s="65"/>
    </row>
    <row r="180" spans="15:26">
      <c r="O180" s="60"/>
      <c r="P180" s="64"/>
      <c r="Q180" s="151"/>
      <c r="R180" s="151"/>
      <c r="S180" s="151"/>
      <c r="T180" s="151"/>
      <c r="U180" s="151"/>
      <c r="V180" s="152"/>
      <c r="X180" s="65"/>
      <c r="Y180" s="65"/>
      <c r="Z180" s="65"/>
    </row>
    <row r="181" spans="15:26">
      <c r="O181" s="60"/>
      <c r="P181" s="64"/>
      <c r="Q181" s="151"/>
      <c r="R181" s="151"/>
      <c r="S181" s="151"/>
      <c r="T181" s="151"/>
      <c r="U181" s="151"/>
      <c r="V181" s="152"/>
      <c r="X181" s="65"/>
      <c r="Y181" s="65"/>
      <c r="Z181" s="65"/>
    </row>
    <row r="182" spans="15:26">
      <c r="O182" s="60"/>
      <c r="P182" s="64"/>
      <c r="Q182" s="151"/>
      <c r="R182" s="151"/>
      <c r="S182" s="151"/>
      <c r="T182" s="151"/>
      <c r="U182" s="151"/>
      <c r="V182" s="152"/>
      <c r="X182" s="65"/>
      <c r="Y182" s="65"/>
      <c r="Z182" s="65"/>
    </row>
    <row r="183" spans="15:26">
      <c r="O183" s="60"/>
      <c r="P183" s="64"/>
      <c r="Q183" s="151"/>
      <c r="R183" s="151"/>
      <c r="S183" s="151"/>
      <c r="T183" s="151"/>
      <c r="U183" s="151"/>
      <c r="V183" s="152"/>
      <c r="X183" s="65"/>
      <c r="Y183" s="65"/>
      <c r="Z183" s="65"/>
    </row>
    <row r="184" spans="15:26">
      <c r="O184" s="60"/>
      <c r="P184" s="64"/>
      <c r="Q184" s="151"/>
      <c r="R184" s="151"/>
      <c r="S184" s="151"/>
      <c r="T184" s="151"/>
      <c r="U184" s="151"/>
      <c r="V184" s="152"/>
      <c r="X184" s="65"/>
      <c r="Y184" s="65"/>
      <c r="Z184" s="65"/>
    </row>
    <row r="185" spans="15:26">
      <c r="O185" s="60"/>
      <c r="P185" s="64"/>
      <c r="Q185" s="151"/>
      <c r="R185" s="151"/>
      <c r="S185" s="151"/>
      <c r="T185" s="151"/>
      <c r="U185" s="151"/>
      <c r="V185" s="152"/>
      <c r="X185" s="65"/>
      <c r="Y185" s="65"/>
      <c r="Z185" s="65"/>
    </row>
    <row r="186" spans="15:26">
      <c r="O186" s="60"/>
      <c r="P186" s="64"/>
      <c r="Q186" s="151"/>
      <c r="R186" s="151"/>
      <c r="S186" s="151"/>
      <c r="T186" s="151"/>
      <c r="U186" s="151"/>
      <c r="V186" s="152"/>
      <c r="X186" s="65"/>
      <c r="Y186" s="65"/>
      <c r="Z186" s="65"/>
    </row>
    <row r="187" spans="15:26">
      <c r="O187" s="60"/>
      <c r="P187" s="64"/>
      <c r="Q187" s="151"/>
      <c r="R187" s="151"/>
      <c r="S187" s="151"/>
      <c r="T187" s="151"/>
      <c r="U187" s="151"/>
      <c r="V187" s="152"/>
      <c r="X187" s="65"/>
      <c r="Y187" s="65"/>
      <c r="Z187" s="65"/>
    </row>
    <row r="188" spans="15:26">
      <c r="O188" s="60"/>
      <c r="P188" s="64"/>
      <c r="Q188" s="151"/>
      <c r="R188" s="151"/>
      <c r="S188" s="151"/>
      <c r="T188" s="151"/>
      <c r="U188" s="151"/>
      <c r="V188" s="152"/>
      <c r="X188" s="65"/>
      <c r="Y188" s="65"/>
      <c r="Z188" s="65"/>
    </row>
    <row r="189" spans="15:26">
      <c r="O189" s="60"/>
      <c r="P189" s="64"/>
      <c r="Q189" s="151"/>
      <c r="R189" s="151"/>
      <c r="S189" s="151"/>
      <c r="T189" s="151"/>
      <c r="U189" s="151"/>
      <c r="V189" s="152"/>
      <c r="X189" s="65"/>
      <c r="Y189" s="65"/>
      <c r="Z189" s="65"/>
    </row>
    <row r="190" spans="15:26">
      <c r="O190" s="60"/>
      <c r="P190" s="64"/>
      <c r="Q190" s="151"/>
      <c r="R190" s="151"/>
      <c r="S190" s="151"/>
      <c r="T190" s="151"/>
      <c r="U190" s="151"/>
      <c r="V190" s="152"/>
      <c r="X190" s="65"/>
      <c r="Y190" s="65"/>
      <c r="Z190" s="65"/>
    </row>
    <row r="191" spans="15:26">
      <c r="O191" s="60"/>
      <c r="P191" s="64"/>
      <c r="Q191" s="151"/>
      <c r="R191" s="151"/>
      <c r="S191" s="151"/>
      <c r="T191" s="151"/>
      <c r="U191" s="151"/>
      <c r="V191" s="152"/>
      <c r="X191" s="65"/>
      <c r="Y191" s="65"/>
      <c r="Z191" s="65"/>
    </row>
    <row r="192" spans="15:26">
      <c r="O192" s="60"/>
      <c r="P192" s="64"/>
      <c r="Q192" s="151"/>
      <c r="R192" s="151"/>
      <c r="S192" s="151"/>
      <c r="T192" s="151"/>
      <c r="U192" s="151"/>
      <c r="V192" s="152"/>
      <c r="X192" s="65"/>
      <c r="Y192" s="65"/>
      <c r="Z192" s="65"/>
    </row>
    <row r="193" spans="15:26">
      <c r="O193" s="60"/>
      <c r="P193" s="64"/>
      <c r="Q193" s="151"/>
      <c r="R193" s="151"/>
      <c r="S193" s="151"/>
      <c r="T193" s="151"/>
      <c r="U193" s="151"/>
      <c r="V193" s="152"/>
      <c r="X193" s="65"/>
      <c r="Y193" s="65"/>
      <c r="Z193" s="65"/>
    </row>
    <row r="194" spans="15:26">
      <c r="O194" s="60"/>
      <c r="P194" s="64"/>
      <c r="Q194" s="151"/>
      <c r="R194" s="151"/>
      <c r="S194" s="151"/>
      <c r="T194" s="151"/>
      <c r="U194" s="151"/>
      <c r="V194" s="152"/>
      <c r="X194" s="65"/>
      <c r="Y194" s="65"/>
      <c r="Z194" s="65"/>
    </row>
    <row r="195" spans="15:26">
      <c r="O195" s="60"/>
      <c r="P195" s="64"/>
      <c r="Q195" s="151"/>
      <c r="R195" s="151"/>
      <c r="S195" s="151"/>
      <c r="T195" s="151"/>
      <c r="U195" s="151"/>
      <c r="V195" s="152"/>
      <c r="X195" s="65"/>
      <c r="Y195" s="65"/>
      <c r="Z195" s="65"/>
    </row>
    <row r="196" spans="15:26">
      <c r="O196" s="60"/>
      <c r="P196" s="64"/>
      <c r="Q196" s="151"/>
      <c r="R196" s="151"/>
      <c r="S196" s="151"/>
      <c r="T196" s="151"/>
      <c r="U196" s="151"/>
      <c r="V196" s="152"/>
      <c r="X196" s="65"/>
      <c r="Y196" s="65"/>
      <c r="Z196" s="65"/>
    </row>
    <row r="197" spans="15:26">
      <c r="O197" s="60"/>
      <c r="P197" s="64"/>
      <c r="Q197" s="151"/>
      <c r="R197" s="151"/>
      <c r="S197" s="151"/>
      <c r="T197" s="151"/>
      <c r="U197" s="151"/>
      <c r="V197" s="152"/>
      <c r="X197" s="65"/>
      <c r="Y197" s="65"/>
      <c r="Z197" s="65"/>
    </row>
    <row r="198" spans="15:26">
      <c r="O198" s="60"/>
      <c r="P198" s="64"/>
      <c r="Q198" s="151"/>
      <c r="R198" s="151"/>
      <c r="S198" s="151"/>
      <c r="T198" s="151"/>
      <c r="U198" s="151"/>
      <c r="V198" s="152"/>
      <c r="X198" s="65"/>
      <c r="Y198" s="65"/>
      <c r="Z198" s="65"/>
    </row>
    <row r="199" spans="15:26">
      <c r="O199" s="60"/>
      <c r="P199" s="64"/>
      <c r="Q199" s="151"/>
      <c r="R199" s="151"/>
      <c r="S199" s="151"/>
      <c r="T199" s="151"/>
      <c r="U199" s="151"/>
      <c r="V199" s="152"/>
      <c r="X199" s="65"/>
      <c r="Y199" s="65"/>
      <c r="Z199" s="65"/>
    </row>
    <row r="200" spans="15:26">
      <c r="O200" s="60"/>
      <c r="P200" s="64"/>
      <c r="Q200" s="151"/>
      <c r="R200" s="151"/>
      <c r="S200" s="151"/>
      <c r="T200" s="151"/>
      <c r="U200" s="151"/>
      <c r="V200" s="152"/>
      <c r="X200" s="65"/>
      <c r="Y200" s="65"/>
      <c r="Z200" s="65"/>
    </row>
    <row r="201" spans="15:26">
      <c r="O201" s="60"/>
      <c r="P201" s="64"/>
      <c r="Q201" s="151"/>
      <c r="R201" s="151"/>
      <c r="S201" s="151"/>
      <c r="T201" s="151"/>
      <c r="U201" s="151"/>
      <c r="V201" s="152"/>
      <c r="X201" s="65"/>
      <c r="Y201" s="65"/>
      <c r="Z201" s="65"/>
    </row>
    <row r="202" spans="15:26">
      <c r="O202" s="60"/>
      <c r="P202" s="64"/>
      <c r="Q202" s="151"/>
      <c r="R202" s="151"/>
      <c r="S202" s="151"/>
      <c r="T202" s="151"/>
      <c r="U202" s="151"/>
      <c r="V202" s="152"/>
      <c r="X202" s="65"/>
      <c r="Y202" s="65"/>
      <c r="Z202" s="65"/>
    </row>
    <row r="203" spans="15:26">
      <c r="O203" s="60"/>
      <c r="P203" s="64"/>
      <c r="Q203" s="151"/>
      <c r="R203" s="151"/>
      <c r="S203" s="151"/>
      <c r="T203" s="151"/>
      <c r="U203" s="151"/>
      <c r="V203" s="152"/>
      <c r="X203" s="65"/>
      <c r="Y203" s="65"/>
      <c r="Z203" s="65"/>
    </row>
    <row r="204" spans="15:26">
      <c r="O204" s="60"/>
      <c r="P204" s="64"/>
      <c r="Q204" s="151"/>
      <c r="R204" s="151"/>
      <c r="S204" s="151"/>
      <c r="T204" s="151"/>
      <c r="U204" s="151"/>
      <c r="V204" s="152"/>
      <c r="X204" s="65"/>
      <c r="Y204" s="65"/>
      <c r="Z204" s="65"/>
    </row>
    <row r="205" spans="15:26">
      <c r="O205" s="60"/>
      <c r="P205" s="64"/>
      <c r="Q205" s="151"/>
      <c r="R205" s="151"/>
      <c r="S205" s="151"/>
      <c r="T205" s="151"/>
      <c r="U205" s="151"/>
      <c r="V205" s="152"/>
      <c r="X205" s="65"/>
      <c r="Y205" s="65"/>
      <c r="Z205" s="65"/>
    </row>
    <row r="206" spans="15:26">
      <c r="O206" s="60"/>
      <c r="P206" s="64"/>
      <c r="Q206" s="151"/>
      <c r="R206" s="151"/>
      <c r="S206" s="151"/>
      <c r="T206" s="151"/>
      <c r="U206" s="151"/>
      <c r="V206" s="152"/>
      <c r="X206" s="65"/>
      <c r="Y206" s="65"/>
      <c r="Z206" s="65"/>
    </row>
    <row r="207" spans="15:26">
      <c r="O207" s="61">
        <v>42370</v>
      </c>
      <c r="P207" s="64"/>
      <c r="Q207" s="151"/>
      <c r="R207" s="151"/>
      <c r="S207" s="151"/>
      <c r="T207" s="151"/>
      <c r="U207" s="151"/>
      <c r="V207" s="152"/>
      <c r="X207" s="65"/>
      <c r="Y207" s="65"/>
      <c r="Z207" s="65"/>
    </row>
    <row r="208" spans="15:26">
      <c r="O208" s="61"/>
      <c r="P208" s="64"/>
      <c r="Q208" s="151"/>
      <c r="R208" s="151"/>
      <c r="S208" s="151"/>
      <c r="T208" s="151"/>
      <c r="U208" s="151"/>
      <c r="V208" s="152"/>
      <c r="X208" s="65"/>
      <c r="Y208" s="65"/>
      <c r="Z208" s="65"/>
    </row>
    <row r="209" spans="15:26">
      <c r="O209" s="60"/>
      <c r="P209" s="64"/>
      <c r="Q209" s="151"/>
      <c r="R209" s="151"/>
      <c r="S209" s="151"/>
      <c r="T209" s="151"/>
      <c r="U209" s="151"/>
      <c r="V209" s="152"/>
      <c r="X209" s="65"/>
      <c r="Y209" s="65"/>
      <c r="Z209" s="65"/>
    </row>
    <row r="210" spans="15:26">
      <c r="O210" s="60"/>
      <c r="P210" s="64"/>
      <c r="Q210" s="151"/>
      <c r="R210" s="151"/>
      <c r="S210" s="151"/>
      <c r="T210" s="151"/>
      <c r="U210" s="151"/>
      <c r="V210" s="152"/>
      <c r="X210" s="65"/>
      <c r="Y210" s="65"/>
      <c r="Z210" s="65"/>
    </row>
    <row r="211" spans="15:26">
      <c r="O211" s="60"/>
      <c r="P211" s="64"/>
      <c r="Q211" s="151"/>
      <c r="R211" s="151"/>
      <c r="S211" s="151"/>
      <c r="T211" s="151"/>
      <c r="U211" s="151"/>
      <c r="V211" s="152"/>
      <c r="X211" s="65"/>
      <c r="Y211" s="65"/>
      <c r="Z211" s="65"/>
    </row>
    <row r="212" spans="15:26">
      <c r="O212" s="60"/>
      <c r="P212" s="64"/>
      <c r="Q212" s="151"/>
      <c r="R212" s="151"/>
      <c r="S212" s="151"/>
      <c r="T212" s="151"/>
      <c r="U212" s="151"/>
      <c r="V212" s="152"/>
      <c r="X212" s="65"/>
      <c r="Y212" s="65"/>
      <c r="Z212" s="65"/>
    </row>
    <row r="213" spans="15:26">
      <c r="O213" s="60"/>
      <c r="P213" s="64"/>
      <c r="Q213" s="151"/>
      <c r="R213" s="151"/>
      <c r="S213" s="151"/>
      <c r="T213" s="151"/>
      <c r="U213" s="151"/>
      <c r="V213" s="152"/>
      <c r="X213" s="65"/>
      <c r="Y213" s="65"/>
      <c r="Z213" s="65"/>
    </row>
    <row r="214" spans="15:26">
      <c r="O214" s="60"/>
      <c r="P214" s="64"/>
      <c r="Q214" s="151"/>
      <c r="R214" s="151"/>
      <c r="S214" s="151"/>
      <c r="T214" s="151"/>
      <c r="U214" s="151"/>
      <c r="V214" s="152"/>
      <c r="X214" s="65"/>
      <c r="Y214" s="65"/>
      <c r="Z214" s="65"/>
    </row>
    <row r="215" spans="15:26">
      <c r="O215" s="60"/>
      <c r="P215" s="64"/>
      <c r="Q215" s="151"/>
      <c r="R215" s="151"/>
      <c r="S215" s="151"/>
      <c r="T215" s="151"/>
      <c r="U215" s="151"/>
      <c r="V215" s="152"/>
      <c r="X215" s="65"/>
      <c r="Y215" s="65"/>
      <c r="Z215" s="65"/>
    </row>
    <row r="216" spans="15:26">
      <c r="O216" s="60"/>
      <c r="P216" s="64"/>
      <c r="Q216" s="151"/>
      <c r="R216" s="151"/>
      <c r="S216" s="151"/>
      <c r="T216" s="151"/>
      <c r="U216" s="151"/>
      <c r="V216" s="152"/>
      <c r="X216" s="65"/>
      <c r="Y216" s="65"/>
      <c r="Z216" s="65"/>
    </row>
    <row r="217" spans="15:26">
      <c r="O217" s="60"/>
      <c r="P217" s="64"/>
      <c r="Q217" s="151"/>
      <c r="R217" s="151"/>
      <c r="S217" s="151"/>
      <c r="T217" s="151"/>
      <c r="U217" s="151"/>
      <c r="V217" s="152"/>
      <c r="X217" s="65"/>
      <c r="Y217" s="65"/>
      <c r="Z217" s="65"/>
    </row>
    <row r="218" spans="15:26">
      <c r="O218" s="60"/>
      <c r="P218" s="64"/>
      <c r="Q218" s="151"/>
      <c r="R218" s="151"/>
      <c r="S218" s="151"/>
      <c r="T218" s="151"/>
      <c r="U218" s="151"/>
      <c r="V218" s="152"/>
      <c r="X218" s="65"/>
      <c r="Y218" s="65"/>
      <c r="Z218" s="65"/>
    </row>
    <row r="219" spans="15:26">
      <c r="O219" s="60"/>
      <c r="P219" s="64"/>
      <c r="Q219" s="151"/>
      <c r="R219" s="151"/>
      <c r="S219" s="151"/>
      <c r="T219" s="151"/>
      <c r="U219" s="151"/>
      <c r="V219" s="152"/>
      <c r="X219" s="65"/>
      <c r="Y219" s="65"/>
      <c r="Z219" s="65"/>
    </row>
    <row r="220" spans="15:26">
      <c r="O220" s="60"/>
      <c r="P220" s="64"/>
      <c r="Q220" s="151"/>
      <c r="R220" s="151"/>
      <c r="S220" s="151"/>
      <c r="T220" s="151"/>
      <c r="U220" s="151"/>
      <c r="V220" s="152"/>
      <c r="X220" s="65"/>
      <c r="Y220" s="65"/>
      <c r="Z220" s="65"/>
    </row>
    <row r="221" spans="15:26">
      <c r="O221" s="60"/>
      <c r="P221" s="64"/>
      <c r="Q221" s="151"/>
      <c r="R221" s="151"/>
      <c r="S221" s="151"/>
      <c r="T221" s="151"/>
      <c r="U221" s="151"/>
      <c r="V221" s="152"/>
      <c r="X221" s="65"/>
      <c r="Y221" s="65"/>
      <c r="Z221" s="65"/>
    </row>
    <row r="222" spans="15:26">
      <c r="O222" s="60"/>
      <c r="P222" s="64"/>
      <c r="Q222" s="151"/>
      <c r="R222" s="151"/>
      <c r="S222" s="151"/>
      <c r="T222" s="151"/>
      <c r="U222" s="151"/>
      <c r="V222" s="152"/>
      <c r="X222" s="65"/>
      <c r="Y222" s="65"/>
      <c r="Z222" s="65"/>
    </row>
    <row r="223" spans="15:26">
      <c r="O223" s="60"/>
      <c r="P223" s="64"/>
      <c r="Q223" s="151"/>
      <c r="R223" s="151"/>
      <c r="S223" s="151"/>
      <c r="T223" s="151"/>
      <c r="U223" s="151"/>
      <c r="V223" s="152"/>
      <c r="X223" s="65"/>
      <c r="Y223" s="65"/>
      <c r="Z223" s="65"/>
    </row>
    <row r="224" spans="15:26">
      <c r="O224" s="60"/>
      <c r="P224" s="64"/>
      <c r="Q224" s="151"/>
      <c r="R224" s="151"/>
      <c r="S224" s="151"/>
      <c r="T224" s="151"/>
      <c r="U224" s="151"/>
      <c r="V224" s="152"/>
      <c r="X224" s="65"/>
      <c r="Y224" s="65"/>
      <c r="Z224" s="65"/>
    </row>
    <row r="225" spans="15:26">
      <c r="O225" s="60"/>
      <c r="P225" s="64"/>
      <c r="Q225" s="151"/>
      <c r="R225" s="151"/>
      <c r="S225" s="151"/>
      <c r="T225" s="151"/>
      <c r="U225" s="151"/>
      <c r="V225" s="152"/>
      <c r="X225" s="65"/>
      <c r="Y225" s="65"/>
      <c r="Z225" s="65"/>
    </row>
    <row r="226" spans="15:26">
      <c r="O226" s="60"/>
      <c r="P226" s="64"/>
      <c r="Q226" s="151"/>
      <c r="R226" s="151"/>
      <c r="S226" s="151"/>
      <c r="T226" s="151"/>
      <c r="U226" s="151"/>
      <c r="V226" s="152"/>
      <c r="X226" s="65"/>
      <c r="Y226" s="65"/>
      <c r="Z226" s="65"/>
    </row>
    <row r="227" spans="15:26">
      <c r="O227" s="60"/>
      <c r="P227" s="64"/>
      <c r="Q227" s="151"/>
      <c r="R227" s="151"/>
      <c r="S227" s="151"/>
      <c r="T227" s="151"/>
      <c r="U227" s="151"/>
      <c r="V227" s="152"/>
      <c r="X227" s="65"/>
      <c r="Y227" s="65"/>
      <c r="Z227" s="65"/>
    </row>
    <row r="228" spans="15:26">
      <c r="O228" s="60"/>
      <c r="P228" s="64"/>
      <c r="Q228" s="151"/>
      <c r="R228" s="151"/>
      <c r="S228" s="151"/>
      <c r="T228" s="151"/>
      <c r="U228" s="151"/>
      <c r="V228" s="152"/>
      <c r="X228" s="65"/>
      <c r="Y228" s="65"/>
      <c r="Z228" s="65"/>
    </row>
    <row r="229" spans="15:26">
      <c r="O229" s="60"/>
      <c r="P229" s="64"/>
      <c r="Q229" s="151"/>
      <c r="R229" s="151"/>
      <c r="S229" s="151"/>
      <c r="T229" s="151"/>
      <c r="U229" s="151"/>
      <c r="V229" s="152"/>
      <c r="X229" s="65"/>
      <c r="Y229" s="65"/>
      <c r="Z229" s="65"/>
    </row>
    <row r="230" spans="15:26">
      <c r="O230" s="60"/>
      <c r="P230" s="64"/>
      <c r="Q230" s="151"/>
      <c r="R230" s="151"/>
      <c r="S230" s="151"/>
      <c r="T230" s="151"/>
      <c r="U230" s="151"/>
      <c r="V230" s="152"/>
      <c r="X230" s="65"/>
      <c r="Y230" s="65"/>
      <c r="Z230" s="65"/>
    </row>
    <row r="231" spans="15:26">
      <c r="O231" s="60"/>
      <c r="P231" s="64"/>
      <c r="Q231" s="151"/>
      <c r="R231" s="151"/>
      <c r="S231" s="151"/>
      <c r="T231" s="151"/>
      <c r="U231" s="151"/>
      <c r="V231" s="152"/>
      <c r="X231" s="65"/>
      <c r="Y231" s="65"/>
      <c r="Z231" s="65"/>
    </row>
    <row r="232" spans="15:26">
      <c r="O232" s="60"/>
      <c r="P232" s="64"/>
      <c r="Q232" s="151"/>
      <c r="R232" s="151"/>
      <c r="S232" s="151"/>
      <c r="T232" s="151"/>
      <c r="U232" s="151"/>
      <c r="V232" s="152"/>
      <c r="X232" s="65"/>
      <c r="Y232" s="65"/>
      <c r="Z232" s="65"/>
    </row>
    <row r="233" spans="15:26">
      <c r="O233" s="60"/>
      <c r="P233" s="64"/>
      <c r="Q233" s="151"/>
      <c r="R233" s="151"/>
      <c r="S233" s="151"/>
      <c r="T233" s="151"/>
      <c r="U233" s="151"/>
      <c r="V233" s="152"/>
      <c r="X233" s="65"/>
      <c r="Y233" s="65"/>
      <c r="Z233" s="65"/>
    </row>
    <row r="234" spans="15:26">
      <c r="O234" s="60"/>
      <c r="P234" s="64"/>
      <c r="Q234" s="151"/>
      <c r="R234" s="151"/>
      <c r="S234" s="151"/>
      <c r="T234" s="151"/>
      <c r="U234" s="151"/>
      <c r="V234" s="152"/>
      <c r="X234" s="65"/>
      <c r="Y234" s="65"/>
      <c r="Z234" s="65"/>
    </row>
    <row r="235" spans="15:26">
      <c r="O235" s="60"/>
      <c r="P235" s="64"/>
      <c r="Q235" s="151"/>
      <c r="R235" s="151"/>
      <c r="S235" s="151"/>
      <c r="T235" s="151"/>
      <c r="U235" s="151"/>
      <c r="V235" s="152"/>
      <c r="X235" s="65"/>
      <c r="Y235" s="65"/>
      <c r="Z235" s="65"/>
    </row>
    <row r="236" spans="15:26">
      <c r="O236" s="60"/>
      <c r="P236" s="64"/>
      <c r="Q236" s="151"/>
      <c r="R236" s="151"/>
      <c r="S236" s="151"/>
      <c r="T236" s="151"/>
      <c r="U236" s="151"/>
      <c r="V236" s="152"/>
      <c r="X236" s="65"/>
      <c r="Y236" s="65"/>
      <c r="Z236" s="65"/>
    </row>
    <row r="237" spans="15:26">
      <c r="O237" s="60"/>
      <c r="P237" s="64"/>
      <c r="Q237" s="151"/>
      <c r="R237" s="151"/>
      <c r="S237" s="151"/>
      <c r="T237" s="151"/>
      <c r="U237" s="151"/>
      <c r="V237" s="152"/>
      <c r="X237" s="65"/>
      <c r="Y237" s="65"/>
      <c r="Z237" s="65"/>
    </row>
    <row r="238" spans="15:26">
      <c r="O238" s="61">
        <v>42401</v>
      </c>
      <c r="P238" s="64"/>
      <c r="Q238" s="151"/>
      <c r="R238" s="151"/>
      <c r="S238" s="151"/>
      <c r="T238" s="151"/>
      <c r="U238" s="151"/>
      <c r="V238" s="152"/>
      <c r="X238" s="65"/>
      <c r="Y238" s="65"/>
      <c r="Z238" s="65"/>
    </row>
    <row r="239" spans="15:26">
      <c r="O239" s="61"/>
      <c r="P239" s="64"/>
      <c r="Q239" s="151"/>
      <c r="R239" s="151"/>
      <c r="S239" s="151"/>
      <c r="T239" s="151"/>
      <c r="U239" s="151"/>
      <c r="V239" s="152"/>
      <c r="X239" s="65"/>
      <c r="Y239" s="65"/>
      <c r="Z239" s="65"/>
    </row>
    <row r="240" spans="15:26">
      <c r="O240" s="60"/>
      <c r="P240" s="64"/>
      <c r="Q240" s="151"/>
      <c r="R240" s="151"/>
      <c r="S240" s="151"/>
      <c r="T240" s="151"/>
      <c r="U240" s="151"/>
      <c r="V240" s="152"/>
      <c r="X240" s="65"/>
      <c r="Y240" s="65"/>
      <c r="Z240" s="65"/>
    </row>
    <row r="241" spans="15:26">
      <c r="O241" s="60"/>
      <c r="P241" s="64"/>
      <c r="Q241" s="151"/>
      <c r="R241" s="151"/>
      <c r="S241" s="151"/>
      <c r="T241" s="151"/>
      <c r="U241" s="151"/>
      <c r="V241" s="152"/>
      <c r="X241" s="65"/>
      <c r="Y241" s="65"/>
      <c r="Z241" s="65"/>
    </row>
    <row r="242" spans="15:26">
      <c r="O242" s="60"/>
      <c r="P242" s="64"/>
      <c r="Q242" s="151"/>
      <c r="R242" s="151"/>
      <c r="S242" s="151"/>
      <c r="T242" s="151"/>
      <c r="U242" s="151"/>
      <c r="V242" s="152"/>
      <c r="X242" s="65"/>
      <c r="Y242" s="65"/>
      <c r="Z242" s="65"/>
    </row>
    <row r="243" spans="15:26">
      <c r="O243" s="60"/>
      <c r="P243" s="64"/>
      <c r="Q243" s="151"/>
      <c r="R243" s="151"/>
      <c r="S243" s="151"/>
      <c r="T243" s="151"/>
      <c r="U243" s="151"/>
      <c r="V243" s="152"/>
      <c r="X243" s="65"/>
      <c r="Y243" s="65"/>
      <c r="Z243" s="65"/>
    </row>
    <row r="244" spans="15:26">
      <c r="O244" s="60"/>
      <c r="P244" s="64"/>
      <c r="Q244" s="151"/>
      <c r="R244" s="151"/>
      <c r="S244" s="151"/>
      <c r="T244" s="151"/>
      <c r="U244" s="151"/>
      <c r="V244" s="152"/>
      <c r="X244" s="65"/>
      <c r="Y244" s="65"/>
      <c r="Z244" s="65"/>
    </row>
    <row r="245" spans="15:26">
      <c r="O245" s="60"/>
      <c r="P245" s="64"/>
      <c r="Q245" s="151"/>
      <c r="R245" s="151"/>
      <c r="S245" s="151"/>
      <c r="T245" s="151"/>
      <c r="U245" s="151"/>
      <c r="V245" s="152"/>
      <c r="X245" s="65"/>
      <c r="Y245" s="65"/>
      <c r="Z245" s="65"/>
    </row>
    <row r="246" spans="15:26">
      <c r="O246" s="60"/>
      <c r="P246" s="64"/>
      <c r="Q246" s="151"/>
      <c r="R246" s="151"/>
      <c r="S246" s="151"/>
      <c r="T246" s="151"/>
      <c r="U246" s="151"/>
      <c r="V246" s="152"/>
      <c r="X246" s="65"/>
      <c r="Y246" s="65"/>
      <c r="Z246" s="65"/>
    </row>
    <row r="247" spans="15:26">
      <c r="O247" s="60"/>
      <c r="P247" s="64"/>
      <c r="Q247" s="151"/>
      <c r="R247" s="151"/>
      <c r="S247" s="151"/>
      <c r="T247" s="151"/>
      <c r="U247" s="151"/>
      <c r="V247" s="152"/>
      <c r="X247" s="65"/>
      <c r="Y247" s="65"/>
      <c r="Z247" s="65"/>
    </row>
    <row r="248" spans="15:26">
      <c r="O248" s="60"/>
      <c r="P248" s="64"/>
      <c r="Q248" s="151"/>
      <c r="R248" s="151"/>
      <c r="S248" s="151"/>
      <c r="T248" s="151"/>
      <c r="U248" s="151"/>
      <c r="V248" s="152"/>
      <c r="X248" s="65"/>
      <c r="Y248" s="65"/>
      <c r="Z248" s="65"/>
    </row>
    <row r="249" spans="15:26">
      <c r="O249" s="60"/>
      <c r="P249" s="64"/>
      <c r="Q249" s="151"/>
      <c r="R249" s="151"/>
      <c r="S249" s="151"/>
      <c r="T249" s="151"/>
      <c r="U249" s="151"/>
      <c r="V249" s="152"/>
      <c r="X249" s="65"/>
      <c r="Y249" s="65"/>
      <c r="Z249" s="65"/>
    </row>
    <row r="250" spans="15:26">
      <c r="O250" s="60"/>
      <c r="P250" s="64"/>
      <c r="Q250" s="151"/>
      <c r="R250" s="151"/>
      <c r="S250" s="151"/>
      <c r="T250" s="151"/>
      <c r="U250" s="151"/>
      <c r="V250" s="152"/>
      <c r="X250" s="65"/>
      <c r="Y250" s="65"/>
      <c r="Z250" s="65"/>
    </row>
    <row r="251" spans="15:26">
      <c r="O251" s="60"/>
      <c r="P251" s="64"/>
      <c r="Q251" s="151"/>
      <c r="R251" s="151"/>
      <c r="S251" s="151"/>
      <c r="T251" s="151"/>
      <c r="U251" s="151"/>
      <c r="V251" s="152"/>
      <c r="X251" s="65"/>
      <c r="Y251" s="65"/>
      <c r="Z251" s="65"/>
    </row>
    <row r="252" spans="15:26">
      <c r="O252" s="60"/>
      <c r="P252" s="64"/>
      <c r="Q252" s="151"/>
      <c r="R252" s="151"/>
      <c r="S252" s="151"/>
      <c r="T252" s="151"/>
      <c r="U252" s="151"/>
      <c r="V252" s="152"/>
      <c r="X252" s="65"/>
      <c r="Y252" s="65"/>
      <c r="Z252" s="65"/>
    </row>
    <row r="253" spans="15:26">
      <c r="O253" s="60"/>
      <c r="P253" s="64"/>
      <c r="Q253" s="151"/>
      <c r="R253" s="151"/>
      <c r="S253" s="151"/>
      <c r="T253" s="151"/>
      <c r="U253" s="151"/>
      <c r="V253" s="152"/>
      <c r="X253" s="65"/>
      <c r="Y253" s="65"/>
      <c r="Z253" s="65"/>
    </row>
    <row r="254" spans="15:26">
      <c r="O254" s="60"/>
      <c r="P254" s="64"/>
      <c r="Q254" s="151"/>
      <c r="R254" s="151"/>
      <c r="S254" s="151"/>
      <c r="T254" s="151"/>
      <c r="U254" s="151"/>
      <c r="V254" s="152"/>
      <c r="X254" s="65"/>
      <c r="Y254" s="65"/>
      <c r="Z254" s="65"/>
    </row>
    <row r="255" spans="15:26">
      <c r="O255" s="60"/>
      <c r="P255" s="64"/>
      <c r="Q255" s="151"/>
      <c r="R255" s="151"/>
      <c r="S255" s="151"/>
      <c r="T255" s="151"/>
      <c r="U255" s="151"/>
      <c r="V255" s="152"/>
      <c r="X255" s="65"/>
      <c r="Y255" s="65"/>
      <c r="Z255" s="65"/>
    </row>
    <row r="256" spans="15:26">
      <c r="O256" s="60"/>
      <c r="P256" s="64"/>
      <c r="Q256" s="151"/>
      <c r="R256" s="151"/>
      <c r="S256" s="151"/>
      <c r="T256" s="151"/>
      <c r="U256" s="151"/>
      <c r="V256" s="152"/>
      <c r="X256" s="65"/>
      <c r="Y256" s="65"/>
      <c r="Z256" s="65"/>
    </row>
    <row r="257" spans="15:26">
      <c r="O257" s="60"/>
      <c r="P257" s="64"/>
      <c r="Q257" s="151"/>
      <c r="R257" s="151"/>
      <c r="S257" s="151"/>
      <c r="T257" s="151"/>
      <c r="U257" s="151"/>
      <c r="V257" s="152"/>
      <c r="X257" s="65"/>
      <c r="Y257" s="65"/>
      <c r="Z257" s="65"/>
    </row>
    <row r="258" spans="15:26">
      <c r="O258" s="60"/>
      <c r="P258" s="64"/>
      <c r="Q258" s="151"/>
      <c r="R258" s="151"/>
      <c r="S258" s="151"/>
      <c r="T258" s="151"/>
      <c r="U258" s="151"/>
      <c r="V258" s="152"/>
      <c r="X258" s="65"/>
      <c r="Y258" s="65"/>
      <c r="Z258" s="65"/>
    </row>
    <row r="259" spans="15:26">
      <c r="O259" s="60"/>
      <c r="P259" s="64"/>
      <c r="Q259" s="151"/>
      <c r="R259" s="151"/>
      <c r="S259" s="151"/>
      <c r="T259" s="151"/>
      <c r="U259" s="151"/>
      <c r="V259" s="152"/>
      <c r="X259" s="65"/>
      <c r="Y259" s="65"/>
      <c r="Z259" s="65"/>
    </row>
    <row r="260" spans="15:26">
      <c r="O260" s="60"/>
      <c r="P260" s="64"/>
      <c r="Q260" s="151"/>
      <c r="R260" s="151"/>
      <c r="S260" s="151"/>
      <c r="T260" s="151"/>
      <c r="U260" s="151"/>
      <c r="V260" s="152"/>
      <c r="X260" s="65"/>
      <c r="Y260" s="65"/>
      <c r="Z260" s="65"/>
    </row>
    <row r="261" spans="15:26">
      <c r="O261" s="60"/>
      <c r="P261" s="64"/>
      <c r="Q261" s="151"/>
      <c r="R261" s="151"/>
      <c r="S261" s="151"/>
      <c r="T261" s="151"/>
      <c r="U261" s="151"/>
      <c r="V261" s="152"/>
      <c r="X261" s="65"/>
      <c r="Y261" s="65"/>
      <c r="Z261" s="65"/>
    </row>
    <row r="262" spans="15:26">
      <c r="O262" s="60"/>
      <c r="P262" s="64"/>
      <c r="Q262" s="151"/>
      <c r="R262" s="151"/>
      <c r="S262" s="151"/>
      <c r="T262" s="151"/>
      <c r="U262" s="151"/>
      <c r="V262" s="152"/>
      <c r="X262" s="65"/>
      <c r="Y262" s="65"/>
      <c r="Z262" s="65"/>
    </row>
    <row r="263" spans="15:26">
      <c r="O263" s="60"/>
      <c r="P263" s="64"/>
      <c r="Q263" s="151"/>
      <c r="R263" s="151"/>
      <c r="S263" s="151"/>
      <c r="T263" s="151"/>
      <c r="U263" s="151"/>
      <c r="V263" s="152"/>
      <c r="X263" s="65"/>
      <c r="Y263" s="65"/>
      <c r="Z263" s="65"/>
    </row>
    <row r="264" spans="15:26">
      <c r="O264" s="60"/>
      <c r="P264" s="64"/>
      <c r="Q264" s="151"/>
      <c r="R264" s="151"/>
      <c r="S264" s="151"/>
      <c r="T264" s="151"/>
      <c r="U264" s="151"/>
      <c r="V264" s="152"/>
      <c r="X264" s="65"/>
      <c r="Y264" s="65"/>
      <c r="Z264" s="65"/>
    </row>
    <row r="265" spans="15:26">
      <c r="O265" s="60"/>
      <c r="P265" s="64"/>
      <c r="Q265" s="151"/>
      <c r="R265" s="151"/>
      <c r="S265" s="151"/>
      <c r="T265" s="151"/>
      <c r="U265" s="151"/>
      <c r="V265" s="152"/>
      <c r="X265" s="65"/>
      <c r="Y265" s="65"/>
      <c r="Z265" s="65"/>
    </row>
    <row r="266" spans="15:26">
      <c r="O266" s="60"/>
      <c r="P266" s="64"/>
      <c r="Q266" s="151"/>
      <c r="R266" s="151"/>
      <c r="S266" s="151"/>
      <c r="T266" s="151"/>
      <c r="U266" s="151"/>
      <c r="V266" s="152"/>
      <c r="X266" s="65"/>
      <c r="Y266" s="65"/>
      <c r="Z266" s="65"/>
    </row>
    <row r="267" spans="15:26">
      <c r="O267" s="61">
        <v>42430</v>
      </c>
      <c r="P267" s="64"/>
      <c r="Q267" s="151"/>
      <c r="R267" s="151"/>
      <c r="S267" s="151"/>
      <c r="T267" s="151"/>
      <c r="U267" s="151"/>
      <c r="V267" s="152"/>
      <c r="X267" s="65"/>
      <c r="Y267" s="65"/>
      <c r="Z267" s="65"/>
    </row>
    <row r="268" spans="15:26">
      <c r="O268" s="60"/>
      <c r="P268" s="64"/>
      <c r="Q268" s="151"/>
      <c r="R268" s="151"/>
      <c r="S268" s="151"/>
      <c r="T268" s="151"/>
      <c r="U268" s="151"/>
      <c r="V268" s="152"/>
      <c r="X268" s="65"/>
      <c r="Y268" s="65"/>
      <c r="Z268" s="65"/>
    </row>
    <row r="269" spans="15:26">
      <c r="O269" s="61"/>
      <c r="P269" s="64"/>
      <c r="Q269" s="151"/>
      <c r="R269" s="151"/>
      <c r="S269" s="151"/>
      <c r="T269" s="151"/>
      <c r="U269" s="151"/>
      <c r="V269" s="152"/>
      <c r="X269" s="65"/>
      <c r="Y269" s="65"/>
      <c r="Z269" s="65"/>
    </row>
    <row r="270" spans="15:26">
      <c r="O270" s="61"/>
      <c r="P270" s="64"/>
      <c r="Q270" s="151"/>
      <c r="R270" s="151"/>
      <c r="S270" s="151"/>
      <c r="T270" s="151"/>
      <c r="U270" s="151"/>
      <c r="V270" s="152"/>
      <c r="X270" s="65"/>
      <c r="Y270" s="65"/>
      <c r="Z270" s="65"/>
    </row>
    <row r="271" spans="15:26">
      <c r="O271" s="60"/>
      <c r="P271" s="64"/>
      <c r="Q271" s="151"/>
      <c r="R271" s="151"/>
      <c r="S271" s="151"/>
      <c r="T271" s="151"/>
      <c r="U271" s="151"/>
      <c r="V271" s="152"/>
      <c r="X271" s="65"/>
      <c r="Y271" s="65"/>
      <c r="Z271" s="65"/>
    </row>
    <row r="272" spans="15:26">
      <c r="O272" s="60"/>
      <c r="P272" s="64"/>
      <c r="Q272" s="151"/>
      <c r="R272" s="151"/>
      <c r="S272" s="151"/>
      <c r="T272" s="151"/>
      <c r="U272" s="151"/>
      <c r="V272" s="152"/>
      <c r="X272" s="65"/>
      <c r="Y272" s="65"/>
      <c r="Z272" s="65"/>
    </row>
    <row r="273" spans="15:26">
      <c r="O273" s="60"/>
      <c r="P273" s="64"/>
      <c r="Q273" s="151"/>
      <c r="R273" s="151"/>
      <c r="S273" s="151"/>
      <c r="T273" s="151"/>
      <c r="U273" s="151"/>
      <c r="V273" s="152"/>
      <c r="X273" s="65"/>
      <c r="Y273" s="65"/>
      <c r="Z273" s="65"/>
    </row>
    <row r="274" spans="15:26">
      <c r="O274" s="60"/>
      <c r="P274" s="64"/>
      <c r="Q274" s="151"/>
      <c r="R274" s="151"/>
      <c r="S274" s="151"/>
      <c r="T274" s="151"/>
      <c r="U274" s="151"/>
      <c r="V274" s="152"/>
      <c r="X274" s="65"/>
      <c r="Y274" s="65"/>
      <c r="Z274" s="65"/>
    </row>
    <row r="275" spans="15:26">
      <c r="O275" s="60"/>
      <c r="P275" s="64"/>
      <c r="Q275" s="151"/>
      <c r="R275" s="151"/>
      <c r="S275" s="151"/>
      <c r="T275" s="151"/>
      <c r="U275" s="151"/>
      <c r="V275" s="152"/>
      <c r="X275" s="65"/>
      <c r="Y275" s="65"/>
      <c r="Z275" s="65"/>
    </row>
    <row r="276" spans="15:26">
      <c r="O276" s="60"/>
      <c r="P276" s="64"/>
      <c r="Q276" s="151"/>
      <c r="R276" s="151"/>
      <c r="S276" s="151"/>
      <c r="T276" s="151"/>
      <c r="U276" s="151"/>
      <c r="V276" s="152"/>
      <c r="X276" s="65"/>
      <c r="Y276" s="65"/>
      <c r="Z276" s="65"/>
    </row>
    <row r="277" spans="15:26">
      <c r="O277" s="60"/>
      <c r="P277" s="64"/>
      <c r="Q277" s="151"/>
      <c r="R277" s="151"/>
      <c r="S277" s="151"/>
      <c r="T277" s="151"/>
      <c r="U277" s="151"/>
      <c r="V277" s="152"/>
      <c r="X277" s="65"/>
      <c r="Y277" s="65"/>
      <c r="Z277" s="65"/>
    </row>
    <row r="278" spans="15:26">
      <c r="O278" s="60"/>
      <c r="P278" s="64"/>
      <c r="Q278" s="151"/>
      <c r="R278" s="151"/>
      <c r="S278" s="151"/>
      <c r="T278" s="151"/>
      <c r="U278" s="151"/>
      <c r="V278" s="152"/>
      <c r="X278" s="65"/>
      <c r="Y278" s="65"/>
      <c r="Z278" s="65"/>
    </row>
    <row r="279" spans="15:26">
      <c r="O279" s="60"/>
      <c r="P279" s="64"/>
      <c r="Q279" s="151"/>
      <c r="R279" s="151"/>
      <c r="S279" s="151"/>
      <c r="T279" s="151"/>
      <c r="U279" s="151"/>
      <c r="V279" s="152"/>
      <c r="X279" s="65"/>
      <c r="Y279" s="65"/>
      <c r="Z279" s="65"/>
    </row>
    <row r="280" spans="15:26">
      <c r="O280" s="60"/>
      <c r="P280" s="64"/>
      <c r="Q280" s="151"/>
      <c r="R280" s="151"/>
      <c r="S280" s="151"/>
      <c r="T280" s="151"/>
      <c r="U280" s="151"/>
      <c r="V280" s="152"/>
      <c r="X280" s="65"/>
      <c r="Y280" s="65"/>
      <c r="Z280" s="65"/>
    </row>
    <row r="281" spans="15:26">
      <c r="O281" s="60"/>
      <c r="P281" s="64"/>
      <c r="Q281" s="151"/>
      <c r="R281" s="151"/>
      <c r="S281" s="151"/>
      <c r="T281" s="151"/>
      <c r="U281" s="151"/>
      <c r="V281" s="152"/>
      <c r="X281" s="65"/>
      <c r="Y281" s="65"/>
      <c r="Z281" s="65"/>
    </row>
    <row r="282" spans="15:26">
      <c r="O282" s="60"/>
      <c r="P282" s="64"/>
      <c r="Q282" s="151"/>
      <c r="R282" s="151"/>
      <c r="S282" s="151"/>
      <c r="T282" s="151"/>
      <c r="U282" s="151"/>
      <c r="V282" s="152"/>
      <c r="X282" s="65"/>
      <c r="Y282" s="65"/>
      <c r="Z282" s="65"/>
    </row>
    <row r="283" spans="15:26">
      <c r="O283" s="60"/>
      <c r="P283" s="64"/>
      <c r="Q283" s="151"/>
      <c r="R283" s="151"/>
      <c r="S283" s="151"/>
      <c r="T283" s="151"/>
      <c r="U283" s="151"/>
      <c r="V283" s="152"/>
      <c r="X283" s="65"/>
      <c r="Y283" s="65"/>
      <c r="Z283" s="65"/>
    </row>
    <row r="284" spans="15:26">
      <c r="O284" s="60"/>
      <c r="P284" s="64"/>
      <c r="Q284" s="151"/>
      <c r="R284" s="151"/>
      <c r="S284" s="151"/>
      <c r="T284" s="151"/>
      <c r="U284" s="151"/>
      <c r="V284" s="152"/>
      <c r="X284" s="65"/>
      <c r="Y284" s="65"/>
      <c r="Z284" s="65"/>
    </row>
    <row r="285" spans="15:26">
      <c r="O285" s="60"/>
      <c r="P285" s="64"/>
      <c r="Q285" s="151"/>
      <c r="R285" s="151"/>
      <c r="S285" s="151"/>
      <c r="T285" s="151"/>
      <c r="U285" s="151"/>
      <c r="V285" s="152"/>
      <c r="X285" s="65"/>
      <c r="Y285" s="65"/>
      <c r="Z285" s="65"/>
    </row>
    <row r="286" spans="15:26">
      <c r="O286" s="60"/>
      <c r="P286" s="64"/>
      <c r="Q286" s="151"/>
      <c r="R286" s="151"/>
      <c r="S286" s="151"/>
      <c r="T286" s="151"/>
      <c r="U286" s="151"/>
      <c r="V286" s="152"/>
      <c r="X286" s="65"/>
      <c r="Y286" s="65"/>
      <c r="Z286" s="65"/>
    </row>
    <row r="287" spans="15:26">
      <c r="O287" s="60"/>
      <c r="P287" s="64"/>
      <c r="Q287" s="151"/>
      <c r="R287" s="151"/>
      <c r="S287" s="151"/>
      <c r="T287" s="151"/>
      <c r="U287" s="151"/>
      <c r="V287" s="152"/>
      <c r="X287" s="65"/>
      <c r="Y287" s="65"/>
      <c r="Z287" s="65"/>
    </row>
    <row r="288" spans="15:26">
      <c r="O288" s="60"/>
      <c r="P288" s="64"/>
      <c r="Q288" s="151"/>
      <c r="R288" s="151"/>
      <c r="S288" s="151"/>
      <c r="T288" s="151"/>
      <c r="U288" s="151"/>
      <c r="V288" s="152"/>
      <c r="X288" s="65"/>
      <c r="Y288" s="65"/>
      <c r="Z288" s="65"/>
    </row>
    <row r="289" spans="15:26">
      <c r="O289" s="60"/>
      <c r="P289" s="64"/>
      <c r="Q289" s="151"/>
      <c r="R289" s="151"/>
      <c r="S289" s="151"/>
      <c r="T289" s="151"/>
      <c r="U289" s="151"/>
      <c r="V289" s="152"/>
      <c r="X289" s="65"/>
      <c r="Y289" s="65"/>
      <c r="Z289" s="65"/>
    </row>
    <row r="290" spans="15:26">
      <c r="O290" s="60"/>
      <c r="P290" s="64"/>
      <c r="Q290" s="151"/>
      <c r="R290" s="151"/>
      <c r="S290" s="151"/>
      <c r="T290" s="151"/>
      <c r="U290" s="151"/>
      <c r="V290" s="152"/>
      <c r="X290" s="65"/>
      <c r="Y290" s="65"/>
      <c r="Z290" s="65"/>
    </row>
    <row r="291" spans="15:26">
      <c r="O291" s="60"/>
      <c r="P291" s="64"/>
      <c r="Q291" s="151"/>
      <c r="R291" s="151"/>
      <c r="S291" s="151"/>
      <c r="T291" s="151"/>
      <c r="U291" s="151"/>
      <c r="V291" s="152"/>
      <c r="X291" s="65"/>
      <c r="Y291" s="65"/>
      <c r="Z291" s="65"/>
    </row>
    <row r="292" spans="15:26">
      <c r="O292" s="60"/>
      <c r="P292" s="64"/>
      <c r="Q292" s="151"/>
      <c r="R292" s="151"/>
      <c r="S292" s="151"/>
      <c r="T292" s="151"/>
      <c r="U292" s="151"/>
      <c r="V292" s="152"/>
      <c r="X292" s="65"/>
      <c r="Y292" s="65"/>
      <c r="Z292" s="65"/>
    </row>
    <row r="293" spans="15:26">
      <c r="O293" s="60"/>
      <c r="P293" s="64"/>
      <c r="Q293" s="151"/>
      <c r="R293" s="151"/>
      <c r="S293" s="151"/>
      <c r="T293" s="151"/>
      <c r="U293" s="151"/>
      <c r="V293" s="152"/>
      <c r="X293" s="65"/>
      <c r="Y293" s="65"/>
      <c r="Z293" s="65"/>
    </row>
    <row r="294" spans="15:26">
      <c r="O294" s="60"/>
      <c r="P294" s="64"/>
      <c r="Q294" s="151"/>
      <c r="R294" s="151"/>
      <c r="S294" s="151"/>
      <c r="T294" s="151"/>
      <c r="U294" s="151"/>
      <c r="V294" s="152"/>
      <c r="X294" s="65"/>
      <c r="Y294" s="65"/>
      <c r="Z294" s="65"/>
    </row>
    <row r="295" spans="15:26">
      <c r="O295" s="60"/>
      <c r="P295" s="64"/>
      <c r="Q295" s="151"/>
      <c r="R295" s="151"/>
      <c r="S295" s="151"/>
      <c r="T295" s="151"/>
      <c r="U295" s="151"/>
      <c r="V295" s="152"/>
      <c r="X295" s="65"/>
      <c r="Y295" s="65"/>
      <c r="Z295" s="65"/>
    </row>
    <row r="296" spans="15:26">
      <c r="O296" s="60"/>
      <c r="P296" s="64"/>
      <c r="Q296" s="151"/>
      <c r="R296" s="151"/>
      <c r="S296" s="151"/>
      <c r="T296" s="151"/>
      <c r="U296" s="151"/>
      <c r="V296" s="152"/>
      <c r="X296" s="65"/>
      <c r="Y296" s="65"/>
      <c r="Z296" s="65"/>
    </row>
    <row r="297" spans="15:26">
      <c r="O297" s="61"/>
      <c r="P297" s="64"/>
      <c r="Q297" s="151"/>
      <c r="R297" s="151"/>
      <c r="S297" s="151"/>
      <c r="T297" s="151"/>
      <c r="U297" s="151"/>
      <c r="V297" s="152"/>
      <c r="X297" s="65"/>
      <c r="Y297" s="65"/>
      <c r="Z297" s="65"/>
    </row>
    <row r="298" spans="15:26">
      <c r="O298" s="61">
        <v>42461</v>
      </c>
      <c r="P298" s="64"/>
      <c r="Q298" s="151"/>
      <c r="R298" s="151"/>
      <c r="S298" s="151"/>
      <c r="T298" s="151"/>
      <c r="U298" s="151"/>
      <c r="V298" s="152"/>
      <c r="X298" s="65"/>
      <c r="Y298" s="65"/>
      <c r="Z298" s="65"/>
    </row>
    <row r="299" spans="15:26">
      <c r="O299" s="60"/>
      <c r="P299" s="64"/>
      <c r="Q299" s="151"/>
      <c r="R299" s="151"/>
      <c r="S299" s="151"/>
      <c r="T299" s="151"/>
      <c r="U299" s="151"/>
      <c r="V299" s="152"/>
      <c r="X299" s="65"/>
      <c r="Y299" s="65"/>
      <c r="Z299" s="65"/>
    </row>
    <row r="300" spans="15:26">
      <c r="O300" s="60"/>
      <c r="P300" s="64"/>
      <c r="Q300" s="151"/>
      <c r="R300" s="151"/>
      <c r="S300" s="151"/>
      <c r="T300" s="151"/>
      <c r="U300" s="151"/>
      <c r="V300" s="152"/>
      <c r="X300" s="65"/>
      <c r="Y300" s="65"/>
      <c r="Z300" s="65"/>
    </row>
    <row r="301" spans="15:26">
      <c r="O301" s="60"/>
      <c r="P301" s="64"/>
      <c r="Q301" s="151"/>
      <c r="R301" s="151"/>
      <c r="S301" s="151"/>
      <c r="T301" s="151"/>
      <c r="U301" s="151"/>
      <c r="V301" s="152"/>
      <c r="X301" s="65"/>
      <c r="Y301" s="65"/>
      <c r="Z301" s="65"/>
    </row>
    <row r="302" spans="15:26">
      <c r="O302" s="60"/>
      <c r="P302" s="64"/>
      <c r="Q302" s="151"/>
      <c r="R302" s="151"/>
      <c r="S302" s="151"/>
      <c r="T302" s="151"/>
      <c r="U302" s="151"/>
      <c r="V302" s="152"/>
      <c r="X302" s="65"/>
      <c r="Y302" s="65"/>
      <c r="Z302" s="65"/>
    </row>
    <row r="303" spans="15:26">
      <c r="O303" s="60"/>
      <c r="P303" s="64"/>
      <c r="Q303" s="151"/>
      <c r="R303" s="151"/>
      <c r="S303" s="151"/>
      <c r="T303" s="151"/>
      <c r="U303" s="151"/>
      <c r="V303" s="152"/>
      <c r="X303" s="65"/>
      <c r="Y303" s="65"/>
      <c r="Z303" s="65"/>
    </row>
    <row r="304" spans="15:26">
      <c r="O304" s="60"/>
      <c r="P304" s="64"/>
      <c r="Q304" s="151"/>
      <c r="R304" s="151"/>
      <c r="S304" s="151"/>
      <c r="T304" s="151"/>
      <c r="U304" s="151"/>
      <c r="V304" s="152"/>
      <c r="X304" s="65"/>
      <c r="Y304" s="65"/>
      <c r="Z304" s="65"/>
    </row>
    <row r="305" spans="15:26">
      <c r="O305" s="60"/>
      <c r="P305" s="64"/>
      <c r="Q305" s="151"/>
      <c r="R305" s="151"/>
      <c r="S305" s="151"/>
      <c r="T305" s="151"/>
      <c r="U305" s="151"/>
      <c r="V305" s="152"/>
      <c r="X305" s="65"/>
      <c r="Y305" s="65"/>
      <c r="Z305" s="65"/>
    </row>
    <row r="306" spans="15:26">
      <c r="O306" s="60"/>
      <c r="P306" s="64"/>
      <c r="Q306" s="151"/>
      <c r="R306" s="151"/>
      <c r="S306" s="151"/>
      <c r="T306" s="151"/>
      <c r="U306" s="151"/>
      <c r="V306" s="152"/>
      <c r="X306" s="65"/>
      <c r="Y306" s="65"/>
      <c r="Z306" s="65"/>
    </row>
    <row r="307" spans="15:26">
      <c r="O307" s="60"/>
      <c r="P307" s="64"/>
      <c r="Q307" s="151"/>
      <c r="R307" s="151"/>
      <c r="S307" s="151"/>
      <c r="T307" s="151"/>
      <c r="U307" s="151"/>
      <c r="V307" s="152"/>
      <c r="X307" s="65"/>
      <c r="Y307" s="65"/>
      <c r="Z307" s="65"/>
    </row>
    <row r="308" spans="15:26">
      <c r="O308" s="60"/>
      <c r="P308" s="64"/>
      <c r="Q308" s="151"/>
      <c r="R308" s="151"/>
      <c r="S308" s="151"/>
      <c r="T308" s="151"/>
      <c r="U308" s="151"/>
      <c r="V308" s="152"/>
      <c r="X308" s="65"/>
      <c r="Y308" s="65"/>
      <c r="Z308" s="65"/>
    </row>
    <row r="309" spans="15:26">
      <c r="O309" s="60"/>
      <c r="P309" s="64"/>
      <c r="Q309" s="151"/>
      <c r="R309" s="151"/>
      <c r="S309" s="151"/>
      <c r="T309" s="151"/>
      <c r="U309" s="151"/>
      <c r="V309" s="152"/>
      <c r="X309" s="65"/>
      <c r="Y309" s="65"/>
      <c r="Z309" s="65"/>
    </row>
    <row r="310" spans="15:26">
      <c r="O310" s="60"/>
      <c r="P310" s="64"/>
      <c r="Q310" s="151"/>
      <c r="R310" s="151"/>
      <c r="S310" s="151"/>
      <c r="T310" s="151"/>
      <c r="U310" s="151"/>
      <c r="V310" s="152"/>
      <c r="X310" s="65"/>
      <c r="Y310" s="65"/>
      <c r="Z310" s="65"/>
    </row>
    <row r="311" spans="15:26">
      <c r="O311" s="60"/>
      <c r="P311" s="64"/>
      <c r="Q311" s="151"/>
      <c r="R311" s="151"/>
      <c r="S311" s="151"/>
      <c r="T311" s="151"/>
      <c r="U311" s="151"/>
      <c r="V311" s="152"/>
      <c r="X311" s="65"/>
      <c r="Y311" s="65"/>
      <c r="Z311" s="65"/>
    </row>
    <row r="312" spans="15:26">
      <c r="O312" s="60"/>
      <c r="P312" s="64"/>
      <c r="Q312" s="151"/>
      <c r="R312" s="151"/>
      <c r="S312" s="151"/>
      <c r="T312" s="151"/>
      <c r="U312" s="151"/>
      <c r="V312" s="152"/>
      <c r="X312" s="65"/>
      <c r="Y312" s="65"/>
      <c r="Z312" s="65"/>
    </row>
    <row r="313" spans="15:26">
      <c r="O313" s="60"/>
      <c r="P313" s="64"/>
      <c r="Q313" s="151"/>
      <c r="R313" s="151"/>
      <c r="S313" s="151"/>
      <c r="T313" s="151"/>
      <c r="U313" s="151"/>
      <c r="V313" s="152"/>
      <c r="X313" s="65"/>
      <c r="Y313" s="65"/>
      <c r="Z313" s="65"/>
    </row>
    <row r="314" spans="15:26">
      <c r="O314" s="60"/>
      <c r="P314" s="64"/>
      <c r="Q314" s="151"/>
      <c r="R314" s="151"/>
      <c r="S314" s="151"/>
      <c r="T314" s="151"/>
      <c r="U314" s="151"/>
      <c r="V314" s="152"/>
      <c r="X314" s="65"/>
      <c r="Y314" s="65"/>
      <c r="Z314" s="65"/>
    </row>
    <row r="315" spans="15:26">
      <c r="O315" s="60"/>
      <c r="P315" s="64"/>
      <c r="Q315" s="151"/>
      <c r="R315" s="151"/>
      <c r="S315" s="151"/>
      <c r="T315" s="151"/>
      <c r="U315" s="151"/>
      <c r="V315" s="152"/>
      <c r="X315" s="65"/>
      <c r="Y315" s="65"/>
      <c r="Z315" s="65"/>
    </row>
    <row r="316" spans="15:26">
      <c r="O316" s="60"/>
      <c r="P316" s="64"/>
      <c r="Q316" s="151"/>
      <c r="R316" s="151"/>
      <c r="S316" s="151"/>
      <c r="T316" s="151"/>
      <c r="U316" s="151"/>
      <c r="V316" s="152"/>
      <c r="X316" s="65"/>
      <c r="Y316" s="65"/>
      <c r="Z316" s="65"/>
    </row>
    <row r="317" spans="15:26">
      <c r="O317" s="60"/>
      <c r="P317" s="64"/>
      <c r="Q317" s="151"/>
      <c r="R317" s="151"/>
      <c r="S317" s="151"/>
      <c r="T317" s="151"/>
      <c r="U317" s="151"/>
      <c r="V317" s="152"/>
      <c r="X317" s="65"/>
      <c r="Y317" s="65"/>
      <c r="Z317" s="65"/>
    </row>
    <row r="318" spans="15:26">
      <c r="O318" s="60"/>
      <c r="P318" s="64"/>
      <c r="Q318" s="151"/>
      <c r="R318" s="151"/>
      <c r="S318" s="151"/>
      <c r="T318" s="151"/>
      <c r="U318" s="151"/>
      <c r="V318" s="152"/>
      <c r="X318" s="65"/>
      <c r="Y318" s="65"/>
      <c r="Z318" s="65"/>
    </row>
    <row r="319" spans="15:26">
      <c r="O319" s="60"/>
      <c r="P319" s="64"/>
      <c r="Q319" s="151"/>
      <c r="R319" s="151"/>
      <c r="S319" s="151"/>
      <c r="T319" s="151"/>
      <c r="U319" s="151"/>
      <c r="V319" s="152"/>
      <c r="X319" s="65"/>
      <c r="Y319" s="65"/>
      <c r="Z319" s="65"/>
    </row>
    <row r="320" spans="15:26">
      <c r="O320" s="60"/>
      <c r="P320" s="64"/>
      <c r="Q320" s="151"/>
      <c r="R320" s="151"/>
      <c r="S320" s="151"/>
      <c r="T320" s="151"/>
      <c r="U320" s="151"/>
      <c r="V320" s="152"/>
      <c r="X320" s="65"/>
      <c r="Y320" s="65"/>
      <c r="Z320" s="65"/>
    </row>
    <row r="321" spans="15:26">
      <c r="O321" s="60"/>
      <c r="P321" s="64"/>
      <c r="Q321" s="151"/>
      <c r="R321" s="151"/>
      <c r="S321" s="151"/>
      <c r="T321" s="151"/>
      <c r="U321" s="151"/>
      <c r="V321" s="152"/>
      <c r="X321" s="65"/>
      <c r="Y321" s="65"/>
      <c r="Z321" s="65"/>
    </row>
    <row r="322" spans="15:26">
      <c r="O322" s="60"/>
      <c r="P322" s="64"/>
      <c r="Q322" s="151"/>
      <c r="R322" s="151"/>
      <c r="S322" s="151"/>
      <c r="T322" s="151"/>
      <c r="U322" s="151"/>
      <c r="V322" s="152"/>
      <c r="X322" s="65"/>
      <c r="Y322" s="65"/>
      <c r="Z322" s="65"/>
    </row>
    <row r="323" spans="15:26">
      <c r="O323" s="60"/>
      <c r="P323" s="64"/>
      <c r="Q323" s="151"/>
      <c r="R323" s="151"/>
      <c r="S323" s="151"/>
      <c r="T323" s="151"/>
      <c r="U323" s="151"/>
      <c r="V323" s="152"/>
      <c r="X323" s="65"/>
      <c r="Y323" s="65"/>
      <c r="Z323" s="65"/>
    </row>
    <row r="324" spans="15:26">
      <c r="O324" s="60"/>
      <c r="P324" s="64"/>
      <c r="Q324" s="151"/>
      <c r="R324" s="151"/>
      <c r="S324" s="151"/>
      <c r="T324" s="151"/>
      <c r="U324" s="151"/>
      <c r="V324" s="152"/>
      <c r="X324" s="65"/>
      <c r="Y324" s="65"/>
      <c r="Z324" s="65"/>
    </row>
    <row r="325" spans="15:26">
      <c r="O325" s="60"/>
      <c r="P325" s="64"/>
      <c r="Q325" s="151"/>
      <c r="R325" s="151"/>
      <c r="S325" s="151"/>
      <c r="T325" s="151"/>
      <c r="U325" s="151"/>
      <c r="V325" s="152"/>
      <c r="X325" s="65"/>
      <c r="Y325" s="65"/>
      <c r="Z325" s="65"/>
    </row>
    <row r="326" spans="15:26">
      <c r="O326" s="60"/>
      <c r="P326" s="64"/>
      <c r="Q326" s="151"/>
      <c r="R326" s="151"/>
      <c r="S326" s="151"/>
      <c r="T326" s="151"/>
      <c r="U326" s="151"/>
      <c r="V326" s="152"/>
      <c r="X326" s="65"/>
      <c r="Y326" s="65"/>
      <c r="Z326" s="65"/>
    </row>
    <row r="327" spans="15:26">
      <c r="O327" s="60"/>
      <c r="P327" s="64"/>
      <c r="Q327" s="151"/>
      <c r="R327" s="151"/>
      <c r="S327" s="151"/>
      <c r="T327" s="151"/>
      <c r="U327" s="151"/>
      <c r="V327" s="152"/>
      <c r="X327" s="65"/>
      <c r="Y327" s="65"/>
      <c r="Z327" s="65"/>
    </row>
    <row r="328" spans="15:26">
      <c r="O328" s="61">
        <v>42491</v>
      </c>
      <c r="P328" s="64"/>
      <c r="Q328" s="151"/>
      <c r="R328" s="151"/>
      <c r="S328" s="151"/>
      <c r="T328" s="151"/>
      <c r="U328" s="151"/>
      <c r="V328" s="152"/>
      <c r="X328" s="65"/>
      <c r="Y328" s="65"/>
      <c r="Z328" s="65"/>
    </row>
    <row r="329" spans="15:26">
      <c r="O329" s="61"/>
      <c r="P329" s="64"/>
      <c r="Q329" s="151"/>
      <c r="R329" s="151"/>
      <c r="S329" s="151"/>
      <c r="T329" s="151"/>
      <c r="U329" s="151"/>
      <c r="V329" s="152"/>
      <c r="X329" s="65"/>
      <c r="Y329" s="65"/>
      <c r="Z329" s="65"/>
    </row>
    <row r="330" spans="15:26">
      <c r="O330" s="60"/>
      <c r="P330" s="64"/>
      <c r="Q330" s="151"/>
      <c r="R330" s="151"/>
      <c r="S330" s="151"/>
      <c r="T330" s="151"/>
      <c r="U330" s="151"/>
      <c r="V330" s="152"/>
      <c r="X330" s="65"/>
      <c r="Y330" s="65"/>
      <c r="Z330" s="65"/>
    </row>
    <row r="331" spans="15:26">
      <c r="O331" s="60"/>
      <c r="P331" s="64"/>
      <c r="Q331" s="151"/>
      <c r="R331" s="151"/>
      <c r="S331" s="151"/>
      <c r="T331" s="151"/>
      <c r="U331" s="151"/>
      <c r="V331" s="152"/>
      <c r="X331" s="65"/>
      <c r="Y331" s="65"/>
      <c r="Z331" s="65"/>
    </row>
    <row r="332" spans="15:26">
      <c r="O332" s="60"/>
      <c r="P332" s="64"/>
      <c r="Q332" s="151"/>
      <c r="R332" s="151"/>
      <c r="S332" s="151"/>
      <c r="T332" s="151"/>
      <c r="U332" s="151"/>
      <c r="V332" s="152"/>
      <c r="X332" s="65"/>
      <c r="Y332" s="65"/>
      <c r="Z332" s="65"/>
    </row>
    <row r="333" spans="15:26">
      <c r="O333" s="60"/>
      <c r="P333" s="64"/>
      <c r="Q333" s="151"/>
      <c r="R333" s="151"/>
      <c r="S333" s="151"/>
      <c r="T333" s="151"/>
      <c r="U333" s="151"/>
      <c r="V333" s="152"/>
      <c r="X333" s="65"/>
      <c r="Y333" s="65"/>
      <c r="Z333" s="65"/>
    </row>
    <row r="334" spans="15:26">
      <c r="O334" s="60"/>
      <c r="P334" s="64"/>
      <c r="Q334" s="151"/>
      <c r="R334" s="151"/>
      <c r="S334" s="151"/>
      <c r="T334" s="151"/>
      <c r="U334" s="151"/>
      <c r="V334" s="152"/>
      <c r="X334" s="65"/>
      <c r="Y334" s="65"/>
      <c r="Z334" s="65"/>
    </row>
    <row r="335" spans="15:26">
      <c r="O335" s="60"/>
      <c r="P335" s="64"/>
      <c r="Q335" s="151"/>
      <c r="R335" s="151"/>
      <c r="S335" s="151"/>
      <c r="T335" s="151"/>
      <c r="U335" s="151"/>
      <c r="V335" s="152"/>
      <c r="X335" s="65"/>
      <c r="Y335" s="65"/>
      <c r="Z335" s="65"/>
    </row>
    <row r="336" spans="15:26">
      <c r="O336" s="60"/>
      <c r="P336" s="64"/>
      <c r="Q336" s="151"/>
      <c r="R336" s="151"/>
      <c r="S336" s="151"/>
      <c r="T336" s="151"/>
      <c r="U336" s="151"/>
      <c r="V336" s="152"/>
      <c r="X336" s="65"/>
      <c r="Y336" s="65"/>
      <c r="Z336" s="65"/>
    </row>
    <row r="337" spans="15:26">
      <c r="O337" s="60"/>
      <c r="P337" s="64"/>
      <c r="Q337" s="151"/>
      <c r="R337" s="151"/>
      <c r="S337" s="151"/>
      <c r="T337" s="151"/>
      <c r="U337" s="151"/>
      <c r="V337" s="152"/>
      <c r="X337" s="65"/>
      <c r="Y337" s="65"/>
      <c r="Z337" s="65"/>
    </row>
    <row r="338" spans="15:26">
      <c r="O338" s="60"/>
      <c r="P338" s="64"/>
      <c r="Q338" s="151"/>
      <c r="R338" s="151"/>
      <c r="S338" s="151"/>
      <c r="T338" s="151"/>
      <c r="U338" s="151"/>
      <c r="V338" s="152"/>
      <c r="X338" s="65"/>
      <c r="Y338" s="65"/>
      <c r="Z338" s="65"/>
    </row>
    <row r="339" spans="15:26">
      <c r="O339" s="60"/>
      <c r="P339" s="64"/>
      <c r="Q339" s="151"/>
      <c r="R339" s="151"/>
      <c r="S339" s="151"/>
      <c r="T339" s="151"/>
      <c r="U339" s="151"/>
      <c r="V339" s="152"/>
      <c r="X339" s="65"/>
      <c r="Y339" s="65"/>
      <c r="Z339" s="65"/>
    </row>
    <row r="340" spans="15:26">
      <c r="O340" s="60"/>
      <c r="P340" s="64"/>
      <c r="Q340" s="151"/>
      <c r="R340" s="151"/>
      <c r="S340" s="151"/>
      <c r="T340" s="151"/>
      <c r="U340" s="151"/>
      <c r="V340" s="152"/>
      <c r="X340" s="65"/>
      <c r="Y340" s="65"/>
      <c r="Z340" s="65"/>
    </row>
    <row r="341" spans="15:26">
      <c r="O341" s="60"/>
      <c r="P341" s="64"/>
      <c r="Q341" s="151"/>
      <c r="R341" s="151"/>
      <c r="S341" s="151"/>
      <c r="T341" s="151"/>
      <c r="U341" s="151"/>
      <c r="V341" s="152"/>
      <c r="X341" s="65"/>
      <c r="Y341" s="65"/>
      <c r="Z341" s="65"/>
    </row>
    <row r="342" spans="15:26">
      <c r="O342" s="60"/>
      <c r="P342" s="64"/>
      <c r="Q342" s="151"/>
      <c r="R342" s="151"/>
      <c r="S342" s="151"/>
      <c r="T342" s="151"/>
      <c r="U342" s="151"/>
      <c r="V342" s="152"/>
      <c r="X342" s="65"/>
      <c r="Y342" s="65"/>
      <c r="Z342" s="65"/>
    </row>
    <row r="343" spans="15:26">
      <c r="O343" s="60"/>
      <c r="P343" s="64"/>
      <c r="Q343" s="151"/>
      <c r="R343" s="151"/>
      <c r="S343" s="151"/>
      <c r="T343" s="151"/>
      <c r="U343" s="151"/>
      <c r="V343" s="152"/>
      <c r="X343" s="65"/>
      <c r="Y343" s="65"/>
      <c r="Z343" s="65"/>
    </row>
    <row r="344" spans="15:26">
      <c r="O344" s="60"/>
      <c r="P344" s="64"/>
      <c r="Q344" s="151"/>
      <c r="R344" s="151"/>
      <c r="S344" s="151"/>
      <c r="T344" s="151"/>
      <c r="U344" s="151"/>
      <c r="V344" s="152"/>
      <c r="X344" s="65"/>
      <c r="Y344" s="65"/>
      <c r="Z344" s="65"/>
    </row>
    <row r="345" spans="15:26">
      <c r="O345" s="60"/>
      <c r="P345" s="64"/>
      <c r="Q345" s="151"/>
      <c r="R345" s="151"/>
      <c r="S345" s="151"/>
      <c r="T345" s="151"/>
      <c r="U345" s="151"/>
      <c r="V345" s="152"/>
      <c r="X345" s="65"/>
      <c r="Y345" s="65"/>
      <c r="Z345" s="65"/>
    </row>
    <row r="346" spans="15:26">
      <c r="O346" s="60"/>
      <c r="P346" s="64"/>
      <c r="Q346" s="151"/>
      <c r="R346" s="151"/>
      <c r="S346" s="151"/>
      <c r="T346" s="151"/>
      <c r="U346" s="151"/>
      <c r="V346" s="152"/>
      <c r="X346" s="65"/>
      <c r="Y346" s="65"/>
      <c r="Z346" s="65"/>
    </row>
    <row r="347" spans="15:26">
      <c r="O347" s="60"/>
      <c r="P347" s="64"/>
      <c r="Q347" s="151"/>
      <c r="R347" s="151"/>
      <c r="S347" s="151"/>
      <c r="T347" s="151"/>
      <c r="U347" s="151"/>
      <c r="V347" s="152"/>
      <c r="X347" s="65"/>
      <c r="Y347" s="65"/>
      <c r="Z347" s="65"/>
    </row>
    <row r="348" spans="15:26">
      <c r="O348" s="60"/>
      <c r="P348" s="64"/>
      <c r="Q348" s="151"/>
      <c r="R348" s="151"/>
      <c r="S348" s="151"/>
      <c r="T348" s="151"/>
      <c r="U348" s="151"/>
      <c r="V348" s="152"/>
      <c r="X348" s="65"/>
      <c r="Y348" s="65"/>
      <c r="Z348" s="65"/>
    </row>
    <row r="349" spans="15:26">
      <c r="O349" s="60"/>
      <c r="P349" s="64"/>
      <c r="Q349" s="151"/>
      <c r="R349" s="151"/>
      <c r="S349" s="151"/>
      <c r="T349" s="151"/>
      <c r="U349" s="151"/>
      <c r="V349" s="152"/>
      <c r="X349" s="65"/>
      <c r="Y349" s="65"/>
      <c r="Z349" s="65"/>
    </row>
    <row r="350" spans="15:26">
      <c r="O350" s="60"/>
      <c r="P350" s="64"/>
      <c r="Q350" s="151"/>
      <c r="R350" s="151"/>
      <c r="S350" s="151"/>
      <c r="T350" s="151"/>
      <c r="U350" s="151"/>
      <c r="V350" s="152"/>
      <c r="X350" s="65"/>
      <c r="Y350" s="65"/>
      <c r="Z350" s="65"/>
    </row>
    <row r="351" spans="15:26">
      <c r="O351" s="60"/>
      <c r="P351" s="64"/>
      <c r="Q351" s="151"/>
      <c r="R351" s="151"/>
      <c r="S351" s="151"/>
      <c r="T351" s="151"/>
      <c r="U351" s="151"/>
      <c r="V351" s="152"/>
      <c r="X351" s="65"/>
      <c r="Y351" s="65"/>
      <c r="Z351" s="65"/>
    </row>
    <row r="352" spans="15:26">
      <c r="O352" s="60"/>
      <c r="P352" s="64"/>
      <c r="Q352" s="151"/>
      <c r="R352" s="151"/>
      <c r="S352" s="151"/>
      <c r="T352" s="151"/>
      <c r="U352" s="151"/>
      <c r="V352" s="152"/>
      <c r="X352" s="65"/>
      <c r="Y352" s="65"/>
      <c r="Z352" s="65"/>
    </row>
    <row r="353" spans="15:26">
      <c r="O353" s="60"/>
      <c r="P353" s="64"/>
      <c r="Q353" s="151"/>
      <c r="R353" s="151"/>
      <c r="S353" s="151"/>
      <c r="T353" s="151"/>
      <c r="U353" s="151"/>
      <c r="V353" s="152"/>
      <c r="X353" s="65"/>
      <c r="Y353" s="65"/>
      <c r="Z353" s="65"/>
    </row>
    <row r="354" spans="15:26">
      <c r="O354" s="60"/>
      <c r="P354" s="64"/>
      <c r="Q354" s="151"/>
      <c r="R354" s="151"/>
      <c r="S354" s="151"/>
      <c r="T354" s="151"/>
      <c r="U354" s="151"/>
      <c r="V354" s="152"/>
      <c r="X354" s="65"/>
      <c r="Y354" s="65"/>
      <c r="Z354" s="65"/>
    </row>
    <row r="355" spans="15:26">
      <c r="O355" s="60"/>
      <c r="P355" s="64"/>
      <c r="Q355" s="151"/>
      <c r="R355" s="151"/>
      <c r="S355" s="151"/>
      <c r="T355" s="151"/>
      <c r="U355" s="151"/>
      <c r="V355" s="152"/>
      <c r="X355" s="65"/>
      <c r="Y355" s="65"/>
      <c r="Z355" s="65"/>
    </row>
    <row r="356" spans="15:26">
      <c r="O356" s="60"/>
      <c r="P356" s="64"/>
      <c r="Q356" s="151"/>
      <c r="R356" s="151"/>
      <c r="S356" s="151"/>
      <c r="T356" s="151"/>
      <c r="U356" s="151"/>
      <c r="V356" s="152"/>
      <c r="X356" s="65"/>
      <c r="Y356" s="65"/>
      <c r="Z356" s="65"/>
    </row>
    <row r="357" spans="15:26">
      <c r="O357" s="60"/>
      <c r="P357" s="64"/>
      <c r="Q357" s="151"/>
      <c r="R357" s="151"/>
      <c r="S357" s="151"/>
      <c r="T357" s="151"/>
      <c r="U357" s="151"/>
      <c r="V357" s="152"/>
      <c r="X357" s="65"/>
      <c r="Y357" s="65"/>
      <c r="Z357" s="65"/>
    </row>
    <row r="358" spans="15:26">
      <c r="O358" s="61"/>
      <c r="P358" s="64"/>
      <c r="Q358" s="151"/>
      <c r="R358" s="151"/>
      <c r="S358" s="151"/>
      <c r="T358" s="151"/>
      <c r="U358" s="151"/>
      <c r="V358" s="152"/>
      <c r="X358" s="65"/>
      <c r="Y358" s="65"/>
      <c r="Z358" s="65"/>
    </row>
    <row r="359" spans="15:26">
      <c r="O359" s="61">
        <v>42522</v>
      </c>
      <c r="P359" s="64"/>
      <c r="Q359" s="151"/>
      <c r="R359" s="151"/>
      <c r="S359" s="151"/>
      <c r="T359" s="151"/>
      <c r="U359" s="151"/>
      <c r="V359" s="152"/>
      <c r="X359" s="65"/>
      <c r="Y359" s="65"/>
      <c r="Z359" s="65"/>
    </row>
    <row r="360" spans="15:26">
      <c r="O360" s="60"/>
      <c r="P360" s="64"/>
      <c r="Q360" s="151"/>
      <c r="R360" s="151"/>
      <c r="S360" s="151"/>
      <c r="T360" s="151"/>
      <c r="U360" s="151"/>
      <c r="V360" s="152"/>
      <c r="X360" s="65"/>
      <c r="Y360" s="65"/>
      <c r="Z360" s="65"/>
    </row>
    <row r="361" spans="15:26">
      <c r="O361" s="60"/>
      <c r="P361" s="64"/>
      <c r="Q361" s="151"/>
      <c r="R361" s="151"/>
      <c r="S361" s="151"/>
      <c r="T361" s="151"/>
      <c r="U361" s="151"/>
      <c r="V361" s="152"/>
      <c r="X361" s="65"/>
      <c r="Y361" s="65"/>
      <c r="Z361" s="65"/>
    </row>
    <row r="362" spans="15:26">
      <c r="O362" s="60"/>
      <c r="P362" s="64"/>
      <c r="Q362" s="151"/>
      <c r="R362" s="151"/>
      <c r="S362" s="151"/>
      <c r="T362" s="151"/>
      <c r="U362" s="151"/>
      <c r="V362" s="152"/>
      <c r="X362" s="65"/>
      <c r="Y362" s="65"/>
      <c r="Z362" s="65"/>
    </row>
    <row r="363" spans="15:26">
      <c r="O363" s="60"/>
      <c r="P363" s="64"/>
      <c r="Q363" s="151"/>
      <c r="R363" s="151"/>
      <c r="S363" s="151"/>
      <c r="T363" s="151"/>
      <c r="U363" s="151"/>
      <c r="V363" s="152"/>
      <c r="X363" s="65"/>
      <c r="Y363" s="65"/>
      <c r="Z363" s="65"/>
    </row>
    <row r="364" spans="15:26">
      <c r="O364" s="60"/>
      <c r="P364" s="64"/>
      <c r="Q364" s="151"/>
      <c r="R364" s="151"/>
      <c r="S364" s="151"/>
      <c r="T364" s="151"/>
      <c r="U364" s="151"/>
      <c r="V364" s="152"/>
      <c r="X364" s="65"/>
      <c r="Y364" s="65"/>
      <c r="Z364" s="65"/>
    </row>
    <row r="365" spans="15:26">
      <c r="O365" s="60"/>
      <c r="P365" s="64"/>
      <c r="Q365" s="151"/>
      <c r="R365" s="151"/>
      <c r="S365" s="151"/>
      <c r="T365" s="151"/>
      <c r="U365" s="151"/>
      <c r="V365" s="152"/>
      <c r="X365" s="65"/>
      <c r="Y365" s="65"/>
      <c r="Z365" s="65"/>
    </row>
    <row r="366" spans="15:26">
      <c r="O366" s="60"/>
      <c r="P366" s="64"/>
      <c r="Q366" s="151"/>
      <c r="R366" s="151"/>
      <c r="S366" s="151"/>
      <c r="T366" s="151"/>
      <c r="U366" s="151"/>
      <c r="V366" s="152"/>
      <c r="X366" s="65"/>
      <c r="Y366" s="65"/>
      <c r="Z366" s="65"/>
    </row>
    <row r="367" spans="15:26">
      <c r="O367" s="60"/>
      <c r="P367" s="64"/>
      <c r="Q367" s="151"/>
      <c r="R367" s="151"/>
      <c r="S367" s="151"/>
      <c r="T367" s="151"/>
      <c r="U367" s="151"/>
      <c r="V367" s="152"/>
      <c r="X367" s="65"/>
      <c r="Y367" s="65"/>
      <c r="Z367" s="65"/>
    </row>
    <row r="368" spans="15:26">
      <c r="O368" s="60"/>
      <c r="P368" s="64"/>
      <c r="Q368" s="151"/>
      <c r="R368" s="151"/>
      <c r="S368" s="151"/>
      <c r="T368" s="151"/>
      <c r="U368" s="151"/>
      <c r="V368" s="152"/>
      <c r="X368" s="65"/>
      <c r="Y368" s="65"/>
      <c r="Z368" s="65"/>
    </row>
    <row r="369" spans="15:26">
      <c r="O369" s="60"/>
      <c r="P369" s="64"/>
      <c r="Q369" s="151"/>
      <c r="R369" s="151"/>
      <c r="S369" s="151"/>
      <c r="T369" s="151"/>
      <c r="U369" s="151"/>
      <c r="V369" s="152"/>
      <c r="X369" s="65"/>
      <c r="Y369" s="65"/>
      <c r="Z369" s="65"/>
    </row>
    <row r="370" spans="15:26">
      <c r="O370" s="60"/>
      <c r="P370" s="64"/>
      <c r="Q370" s="151"/>
      <c r="R370" s="151"/>
      <c r="S370" s="151"/>
      <c r="T370" s="151"/>
      <c r="U370" s="151"/>
      <c r="V370" s="152"/>
      <c r="X370" s="65"/>
      <c r="Y370" s="65"/>
      <c r="Z370" s="65"/>
    </row>
    <row r="371" spans="15:26">
      <c r="O371" s="60"/>
      <c r="P371" s="64"/>
      <c r="Q371" s="151"/>
      <c r="R371" s="151"/>
      <c r="S371" s="151"/>
      <c r="T371" s="151"/>
      <c r="U371" s="151"/>
      <c r="V371" s="152"/>
      <c r="X371" s="65"/>
      <c r="Y371" s="65"/>
      <c r="Z371" s="65"/>
    </row>
    <row r="372" spans="15:26">
      <c r="O372" s="60"/>
      <c r="P372" s="64"/>
      <c r="Q372" s="151"/>
      <c r="R372" s="151"/>
      <c r="S372" s="151"/>
      <c r="T372" s="151"/>
      <c r="U372" s="151"/>
      <c r="V372" s="152"/>
      <c r="X372" s="65"/>
      <c r="Y372" s="65"/>
      <c r="Z372" s="65"/>
    </row>
    <row r="373" spans="15:26">
      <c r="O373" s="60"/>
      <c r="P373" s="64"/>
      <c r="Q373" s="151"/>
      <c r="R373" s="151"/>
      <c r="S373" s="151"/>
      <c r="T373" s="151"/>
      <c r="U373" s="151"/>
      <c r="V373" s="152"/>
      <c r="X373" s="65"/>
      <c r="Y373" s="65"/>
      <c r="Z373" s="65"/>
    </row>
    <row r="374" spans="15:26">
      <c r="O374" s="60"/>
      <c r="P374" s="64"/>
      <c r="Q374" s="151"/>
      <c r="R374" s="151"/>
      <c r="S374" s="151"/>
      <c r="T374" s="151"/>
      <c r="U374" s="151"/>
      <c r="V374" s="152"/>
      <c r="X374" s="65"/>
      <c r="Y374" s="65"/>
      <c r="Z374" s="65"/>
    </row>
    <row r="375" spans="15:26">
      <c r="O375" s="60"/>
      <c r="P375" s="64"/>
      <c r="Q375" s="151"/>
      <c r="R375" s="151"/>
      <c r="S375" s="151"/>
      <c r="T375" s="151"/>
      <c r="U375" s="151"/>
      <c r="V375" s="152"/>
      <c r="X375" s="65"/>
      <c r="Y375" s="65"/>
      <c r="Z375" s="65"/>
    </row>
    <row r="376" spans="15:26">
      <c r="O376" s="60"/>
      <c r="P376" s="64"/>
      <c r="Q376" s="151"/>
      <c r="R376" s="151"/>
      <c r="S376" s="151"/>
      <c r="T376" s="151"/>
      <c r="U376" s="151"/>
      <c r="V376" s="152"/>
      <c r="X376" s="65"/>
      <c r="Y376" s="65"/>
      <c r="Z376" s="65"/>
    </row>
    <row r="377" spans="15:26">
      <c r="O377" s="60"/>
      <c r="P377" s="64"/>
      <c r="Q377" s="151"/>
      <c r="R377" s="151"/>
      <c r="S377" s="151"/>
      <c r="T377" s="151"/>
      <c r="U377" s="151"/>
      <c r="V377" s="152"/>
      <c r="X377" s="65"/>
      <c r="Y377" s="65"/>
      <c r="Z377" s="65"/>
    </row>
    <row r="378" spans="15:26">
      <c r="O378" s="60"/>
      <c r="P378" s="64"/>
      <c r="Q378" s="151"/>
      <c r="R378" s="151"/>
      <c r="S378" s="151"/>
      <c r="T378" s="151"/>
      <c r="U378" s="151"/>
      <c r="V378" s="152"/>
      <c r="X378" s="65"/>
      <c r="Y378" s="65"/>
      <c r="Z378" s="65"/>
    </row>
    <row r="379" spans="15:26">
      <c r="O379" s="60"/>
      <c r="P379" s="64"/>
      <c r="Q379" s="151"/>
      <c r="R379" s="151"/>
      <c r="S379" s="151"/>
      <c r="T379" s="151"/>
      <c r="U379" s="151"/>
      <c r="V379" s="152"/>
      <c r="X379" s="65"/>
      <c r="Y379" s="65"/>
      <c r="Z379" s="65"/>
    </row>
    <row r="380" spans="15:26">
      <c r="O380" s="60"/>
      <c r="P380" s="64"/>
      <c r="Q380" s="151"/>
      <c r="R380" s="151"/>
      <c r="S380" s="151"/>
      <c r="T380" s="151"/>
      <c r="U380" s="151"/>
      <c r="V380" s="152"/>
      <c r="X380" s="65"/>
      <c r="Y380" s="65"/>
      <c r="Z380" s="65"/>
    </row>
    <row r="381" spans="15:26">
      <c r="O381" s="60"/>
      <c r="P381" s="64"/>
      <c r="Q381" s="151"/>
      <c r="R381" s="151"/>
      <c r="S381" s="151"/>
      <c r="T381" s="151"/>
      <c r="U381" s="151"/>
      <c r="V381" s="152"/>
      <c r="X381" s="65"/>
      <c r="Y381" s="65"/>
      <c r="Z381" s="65"/>
    </row>
    <row r="382" spans="15:26">
      <c r="O382" s="60"/>
      <c r="P382" s="64"/>
      <c r="Q382" s="151"/>
      <c r="R382" s="151"/>
      <c r="S382" s="151"/>
      <c r="T382" s="151"/>
      <c r="U382" s="151"/>
      <c r="V382" s="152"/>
      <c r="X382" s="65"/>
      <c r="Y382" s="65"/>
      <c r="Z382" s="65"/>
    </row>
    <row r="383" spans="15:26">
      <c r="O383" s="60"/>
      <c r="P383" s="64"/>
      <c r="Q383" s="151"/>
      <c r="R383" s="151"/>
      <c r="S383" s="151"/>
      <c r="T383" s="151"/>
      <c r="U383" s="151"/>
      <c r="V383" s="152"/>
      <c r="X383" s="65"/>
      <c r="Y383" s="65"/>
      <c r="Z383" s="65"/>
    </row>
    <row r="384" spans="15:26">
      <c r="O384" s="60"/>
      <c r="P384" s="64"/>
      <c r="Q384" s="151"/>
      <c r="R384" s="151"/>
      <c r="S384" s="151"/>
      <c r="T384" s="151"/>
      <c r="U384" s="151"/>
      <c r="V384" s="152"/>
      <c r="X384" s="65"/>
      <c r="Y384" s="65"/>
      <c r="Z384" s="65"/>
    </row>
    <row r="385" spans="15:26">
      <c r="O385" s="60"/>
      <c r="P385" s="64"/>
      <c r="Q385" s="151"/>
      <c r="R385" s="151"/>
      <c r="S385" s="151"/>
      <c r="T385" s="151"/>
      <c r="U385" s="151"/>
      <c r="V385" s="152"/>
      <c r="X385" s="65"/>
      <c r="Y385" s="65"/>
      <c r="Z385" s="65"/>
    </row>
    <row r="386" spans="15:26">
      <c r="O386" s="60"/>
      <c r="P386" s="64"/>
      <c r="Q386" s="151"/>
      <c r="R386" s="151"/>
      <c r="S386" s="151"/>
      <c r="T386" s="151"/>
      <c r="U386" s="151"/>
      <c r="V386" s="152"/>
      <c r="X386" s="65"/>
      <c r="Y386" s="65"/>
      <c r="Z386" s="65"/>
    </row>
    <row r="387" spans="15:26">
      <c r="O387" s="60"/>
      <c r="P387" s="64"/>
      <c r="Q387" s="151"/>
      <c r="R387" s="151"/>
      <c r="S387" s="151"/>
      <c r="T387" s="151"/>
      <c r="U387" s="151"/>
      <c r="V387" s="152"/>
      <c r="X387" s="65"/>
      <c r="Y387" s="65"/>
      <c r="Z387" s="65"/>
    </row>
    <row r="388" spans="15:26">
      <c r="O388" s="61"/>
      <c r="P388" s="64"/>
      <c r="Q388" s="151"/>
      <c r="R388" s="151"/>
      <c r="S388" s="151"/>
      <c r="T388" s="151"/>
      <c r="U388" s="151"/>
      <c r="V388" s="152"/>
      <c r="X388" s="65"/>
      <c r="Y388" s="65"/>
      <c r="Z388" s="65"/>
    </row>
    <row r="389" spans="15:26">
      <c r="O389" s="61">
        <v>42552</v>
      </c>
      <c r="P389" s="64"/>
      <c r="Q389" s="151"/>
      <c r="R389" s="151"/>
      <c r="S389" s="151"/>
      <c r="T389" s="151"/>
      <c r="U389" s="151"/>
      <c r="V389" s="152"/>
      <c r="X389" s="65"/>
      <c r="Y389" s="65"/>
      <c r="Z389" s="65"/>
    </row>
    <row r="390" spans="15:26">
      <c r="O390" s="60"/>
      <c r="P390" s="64"/>
      <c r="Q390" s="151"/>
      <c r="R390" s="151"/>
      <c r="S390" s="151"/>
      <c r="T390" s="151"/>
      <c r="U390" s="151"/>
      <c r="V390" s="152"/>
      <c r="X390" s="65"/>
      <c r="Y390" s="65"/>
      <c r="Z390" s="65"/>
    </row>
    <row r="391" spans="15:26">
      <c r="O391" s="60"/>
      <c r="P391" s="64"/>
      <c r="Q391" s="151"/>
      <c r="R391" s="151"/>
      <c r="S391" s="151"/>
      <c r="T391" s="151"/>
      <c r="U391" s="151"/>
      <c r="V391" s="152"/>
      <c r="X391" s="65"/>
      <c r="Y391" s="65"/>
      <c r="Z391" s="65"/>
    </row>
    <row r="392" spans="15:26">
      <c r="O392" s="60"/>
      <c r="P392" s="64"/>
      <c r="Q392" s="151"/>
      <c r="R392" s="151"/>
      <c r="S392" s="151"/>
      <c r="T392" s="151"/>
      <c r="U392" s="151"/>
      <c r="V392" s="152"/>
      <c r="X392" s="65"/>
      <c r="Y392" s="65"/>
      <c r="Z392" s="65"/>
    </row>
    <row r="393" spans="15:26">
      <c r="O393" s="60"/>
      <c r="P393" s="64"/>
      <c r="Q393" s="151"/>
      <c r="R393" s="151"/>
      <c r="S393" s="151"/>
      <c r="T393" s="151"/>
      <c r="U393" s="151"/>
      <c r="V393" s="152"/>
      <c r="X393" s="65"/>
      <c r="Y393" s="65"/>
      <c r="Z393" s="65"/>
    </row>
    <row r="394" spans="15:26">
      <c r="O394" s="60"/>
      <c r="P394" s="64"/>
      <c r="Q394" s="151"/>
      <c r="R394" s="151"/>
      <c r="S394" s="151"/>
      <c r="T394" s="151"/>
      <c r="U394" s="151"/>
      <c r="V394" s="152"/>
      <c r="X394" s="65"/>
      <c r="Y394" s="65"/>
      <c r="Z394" s="65"/>
    </row>
    <row r="395" spans="15:26">
      <c r="O395" s="60"/>
      <c r="P395" s="64"/>
      <c r="Q395" s="151"/>
      <c r="R395" s="151"/>
      <c r="S395" s="151"/>
      <c r="T395" s="151"/>
      <c r="U395" s="151"/>
      <c r="V395" s="152"/>
      <c r="X395" s="65"/>
      <c r="Y395" s="65"/>
      <c r="Z395" s="65"/>
    </row>
    <row r="396" spans="15:26">
      <c r="O396" s="60"/>
      <c r="P396" s="64"/>
      <c r="Q396" s="151"/>
      <c r="R396" s="151"/>
      <c r="S396" s="151"/>
      <c r="T396" s="151"/>
      <c r="U396" s="151"/>
      <c r="V396" s="152"/>
      <c r="X396" s="65"/>
      <c r="Y396" s="65"/>
      <c r="Z396" s="65"/>
    </row>
    <row r="397" spans="15:26">
      <c r="O397" s="60"/>
      <c r="P397" s="64"/>
      <c r="Q397" s="151"/>
      <c r="R397" s="151"/>
      <c r="S397" s="151"/>
      <c r="T397" s="151"/>
      <c r="U397" s="151"/>
      <c r="V397" s="152"/>
      <c r="X397" s="65"/>
      <c r="Y397" s="65"/>
      <c r="Z397" s="65"/>
    </row>
    <row r="398" spans="15:26">
      <c r="O398" s="60"/>
      <c r="P398" s="64"/>
      <c r="Q398" s="151"/>
      <c r="R398" s="151"/>
      <c r="S398" s="151"/>
      <c r="T398" s="151"/>
      <c r="U398" s="151"/>
      <c r="V398" s="152"/>
      <c r="X398" s="65"/>
      <c r="Y398" s="65"/>
      <c r="Z398" s="65"/>
    </row>
    <row r="399" spans="15:26">
      <c r="O399" s="60"/>
      <c r="P399" s="64"/>
      <c r="Q399" s="151"/>
      <c r="R399" s="151"/>
      <c r="S399" s="151"/>
      <c r="T399" s="151"/>
      <c r="U399" s="151"/>
      <c r="V399" s="152"/>
      <c r="X399" s="65"/>
      <c r="Y399" s="65"/>
      <c r="Z399" s="65"/>
    </row>
    <row r="400" spans="15:26">
      <c r="O400" s="60"/>
      <c r="P400" s="64"/>
      <c r="Q400" s="151"/>
      <c r="R400" s="151"/>
      <c r="S400" s="151"/>
      <c r="T400" s="151"/>
      <c r="U400" s="151"/>
      <c r="V400" s="152"/>
      <c r="X400" s="65"/>
      <c r="Y400" s="65"/>
      <c r="Z400" s="65"/>
    </row>
    <row r="401" spans="15:26">
      <c r="O401" s="60"/>
      <c r="P401" s="64"/>
      <c r="Q401" s="151"/>
      <c r="R401" s="151"/>
      <c r="S401" s="151"/>
      <c r="T401" s="151"/>
      <c r="U401" s="151"/>
      <c r="V401" s="152"/>
      <c r="X401" s="65"/>
      <c r="Y401" s="65"/>
      <c r="Z401" s="65"/>
    </row>
    <row r="402" spans="15:26">
      <c r="O402" s="60"/>
      <c r="P402" s="64"/>
      <c r="Q402" s="151"/>
      <c r="R402" s="151"/>
      <c r="S402" s="151"/>
      <c r="T402" s="151"/>
      <c r="U402" s="151"/>
      <c r="V402" s="152"/>
      <c r="X402" s="65"/>
      <c r="Y402" s="65"/>
      <c r="Z402" s="65"/>
    </row>
    <row r="403" spans="15:26">
      <c r="O403" s="60"/>
      <c r="P403" s="64"/>
      <c r="Q403" s="151"/>
      <c r="R403" s="151"/>
      <c r="S403" s="151"/>
      <c r="T403" s="151"/>
      <c r="U403" s="151"/>
      <c r="V403" s="152"/>
      <c r="X403" s="65"/>
      <c r="Y403" s="65"/>
      <c r="Z403" s="65"/>
    </row>
    <row r="404" spans="15:26">
      <c r="O404" s="60"/>
      <c r="P404" s="64"/>
      <c r="Q404" s="151"/>
      <c r="R404" s="151"/>
      <c r="S404" s="151"/>
      <c r="T404" s="151"/>
      <c r="U404" s="151"/>
      <c r="V404" s="152"/>
      <c r="X404" s="65"/>
      <c r="Y404" s="65"/>
      <c r="Z404" s="65"/>
    </row>
    <row r="405" spans="15:26">
      <c r="O405" s="60"/>
      <c r="P405" s="64"/>
      <c r="Q405" s="151"/>
      <c r="R405" s="151"/>
      <c r="S405" s="151"/>
      <c r="T405" s="151"/>
      <c r="U405" s="151"/>
      <c r="V405" s="152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G27" sqref="G27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Junio 2019</v>
      </c>
    </row>
    <row r="4" spans="2:18" s="74" customFormat="1" ht="20.25" customHeight="1">
      <c r="B4" s="73"/>
      <c r="C4" s="102" t="s">
        <v>69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03" t="s">
        <v>79</v>
      </c>
      <c r="D7" s="77"/>
      <c r="E7" s="78"/>
      <c r="P7" s="79"/>
      <c r="Q7" s="79"/>
      <c r="R7" s="79"/>
    </row>
    <row r="8" spans="2:18" s="74" customFormat="1" ht="12.75" customHeight="1">
      <c r="B8" s="73"/>
      <c r="C8" s="303"/>
      <c r="D8" s="77"/>
      <c r="E8" s="78"/>
      <c r="P8" s="80"/>
      <c r="Q8" s="80"/>
      <c r="R8" s="80"/>
    </row>
    <row r="9" spans="2:18" s="74" customFormat="1" ht="12.75" customHeight="1">
      <c r="B9" s="73"/>
      <c r="C9" s="303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299"/>
    </row>
    <row r="29" spans="2:9">
      <c r="E29" s="299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7"/>
  <dimension ref="B3:AA197"/>
  <sheetViews>
    <sheetView showGridLines="0" showRowColHeaders="0" topLeftCell="A169" zoomScaleNormal="100" workbookViewId="0">
      <selection activeCell="C17" sqref="C17"/>
    </sheetView>
  </sheetViews>
  <sheetFormatPr baseColWidth="10" defaultRowHeight="11.25"/>
  <cols>
    <col min="1" max="1" width="11.42578125" style="173"/>
    <col min="2" max="2" width="40.5703125" style="173" customWidth="1"/>
    <col min="3" max="16384" width="11.42578125" style="173"/>
  </cols>
  <sheetData>
    <row r="3" spans="2:7">
      <c r="B3" s="105" t="s">
        <v>56</v>
      </c>
      <c r="C3" s="172"/>
      <c r="D3" s="172"/>
      <c r="E3" s="172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4" t="s">
        <v>83</v>
      </c>
      <c r="C5" s="130">
        <f>Dat_01!B33</f>
        <v>3328.8900000000003</v>
      </c>
      <c r="D5" s="109">
        <f>ROUND(C5/$C$17*100,1)</f>
        <v>3.4</v>
      </c>
      <c r="E5" s="107"/>
      <c r="F5" s="108" t="s">
        <v>16</v>
      </c>
      <c r="G5" s="109">
        <f>SUM(D5:D10)</f>
        <v>50.899999999999991</v>
      </c>
    </row>
    <row r="6" spans="2:7">
      <c r="B6" s="108" t="s">
        <v>3</v>
      </c>
      <c r="C6" s="130">
        <f>Dat_01!B34</f>
        <v>7117.29</v>
      </c>
      <c r="D6" s="109">
        <f>ROUND(C6/$C$17*100,1)</f>
        <v>7.2</v>
      </c>
      <c r="E6" s="107"/>
      <c r="F6" s="221" t="s">
        <v>17</v>
      </c>
      <c r="G6" s="222">
        <f>SUM(D11:D16)</f>
        <v>49.1</v>
      </c>
    </row>
    <row r="7" spans="2:7">
      <c r="B7" s="108" t="s">
        <v>4</v>
      </c>
      <c r="C7" s="130">
        <f>Dat_01!B35</f>
        <v>9215.0450000000001</v>
      </c>
      <c r="D7" s="109">
        <f>ROUND(C7/$C$17*100,1)</f>
        <v>9.3000000000000007</v>
      </c>
      <c r="E7" s="107"/>
    </row>
    <row r="8" spans="2:7">
      <c r="B8" s="108" t="s">
        <v>11</v>
      </c>
      <c r="C8" s="130">
        <f>Dat_01!B36</f>
        <v>24561.86</v>
      </c>
      <c r="D8" s="109">
        <f>ROUND(C8/$C$17*100,1)</f>
        <v>24.8</v>
      </c>
      <c r="E8" s="107"/>
    </row>
    <row r="9" spans="2:7">
      <c r="B9" s="108" t="s">
        <v>9</v>
      </c>
      <c r="C9" s="130">
        <f>Dat_01!B37</f>
        <v>5690.5279</v>
      </c>
      <c r="D9" s="109">
        <f>100-SUM(D5:D8,D10:D16)</f>
        <v>5.6999999999999886</v>
      </c>
      <c r="E9" s="107"/>
    </row>
    <row r="10" spans="2:7">
      <c r="B10" s="108" t="s">
        <v>72</v>
      </c>
      <c r="C10" s="130">
        <f>Dat_01!B38</f>
        <v>452.3775</v>
      </c>
      <c r="D10" s="109">
        <f>ROUND(C10/$C$17*100,1)</f>
        <v>0.5</v>
      </c>
      <c r="E10" s="107"/>
    </row>
    <row r="11" spans="2:7">
      <c r="B11" s="108" t="s">
        <v>71</v>
      </c>
      <c r="C11" s="130">
        <f>Dat_01!B39</f>
        <v>123.0415</v>
      </c>
      <c r="D11" s="109">
        <f>ROUND(C11/$C$17*100,1)</f>
        <v>0.1</v>
      </c>
      <c r="E11" s="107"/>
    </row>
    <row r="12" spans="2:7">
      <c r="B12" s="108" t="s">
        <v>5</v>
      </c>
      <c r="C12" s="130">
        <f>Dat_01!B40</f>
        <v>23230.076000000001</v>
      </c>
      <c r="D12" s="109">
        <f t="shared" ref="D12" si="0">ROUND(C12/$C$17*100,1)</f>
        <v>23.4</v>
      </c>
      <c r="E12" s="107"/>
    </row>
    <row r="13" spans="2:7">
      <c r="B13" s="108" t="s">
        <v>2</v>
      </c>
      <c r="C13" s="130">
        <f>Dat_01!B41</f>
        <v>17046.821230000001</v>
      </c>
      <c r="D13" s="109">
        <f>ROUND(C13/$C$17*100,1)</f>
        <v>17.2</v>
      </c>
      <c r="E13" s="107"/>
    </row>
    <row r="14" spans="2:7">
      <c r="B14" s="108" t="s">
        <v>6</v>
      </c>
      <c r="C14" s="130">
        <f>Dat_01!B42</f>
        <v>5125.5926000001282</v>
      </c>
      <c r="D14" s="109">
        <f>ROUND(C14/$C$17*100,1)</f>
        <v>5.2</v>
      </c>
      <c r="E14" s="107"/>
    </row>
    <row r="15" spans="2:7">
      <c r="B15" s="108" t="s">
        <v>7</v>
      </c>
      <c r="C15" s="130">
        <f>Dat_01!B43</f>
        <v>2304.1129999999998</v>
      </c>
      <c r="D15" s="109">
        <f>ROUND(C15/$C$17*100,1)</f>
        <v>2.2999999999999998</v>
      </c>
      <c r="E15" s="107"/>
    </row>
    <row r="16" spans="2:7">
      <c r="B16" s="108" t="s">
        <v>8</v>
      </c>
      <c r="C16" s="130">
        <f>Dat_01!B44</f>
        <v>869.90099999999995</v>
      </c>
      <c r="D16" s="109">
        <f>ROUND(C16/$C$17*100,1)</f>
        <v>0.9</v>
      </c>
      <c r="E16" s="107"/>
    </row>
    <row r="17" spans="2:7">
      <c r="B17" s="110" t="s">
        <v>15</v>
      </c>
      <c r="C17" s="131">
        <f>SUM(C5:C16)</f>
        <v>99065.535730000134</v>
      </c>
      <c r="D17" s="111">
        <f>SUM(D5:D16)</f>
        <v>100</v>
      </c>
      <c r="E17" s="107"/>
    </row>
    <row r="18" spans="2:7">
      <c r="B18" s="172"/>
      <c r="C18" s="172"/>
      <c r="D18" s="172"/>
      <c r="E18" s="172"/>
    </row>
    <row r="19" spans="2:7">
      <c r="B19" s="105" t="s">
        <v>59</v>
      </c>
      <c r="C19" s="172"/>
      <c r="D19" s="172"/>
      <c r="E19" s="172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4" t="s">
        <v>83</v>
      </c>
      <c r="C21" s="130">
        <f>Dat_01!B50</f>
        <v>56.646829089999997</v>
      </c>
      <c r="D21" s="109">
        <f>ROUND(C21/$C$33*100,1)</f>
        <v>0.3</v>
      </c>
      <c r="E21" s="107"/>
      <c r="F21" s="108" t="s">
        <v>16</v>
      </c>
      <c r="G21" s="109">
        <f>SUM(D21:D26)</f>
        <v>65.2</v>
      </c>
    </row>
    <row r="22" spans="2:7">
      <c r="B22" s="108" t="s">
        <v>3</v>
      </c>
      <c r="C22" s="130">
        <f>Dat_01!B51</f>
        <v>4647.8769560000001</v>
      </c>
      <c r="D22" s="109">
        <f>ROUND(C22/$C$33*100,1)</f>
        <v>23.6</v>
      </c>
      <c r="E22" s="132"/>
      <c r="F22" s="221" t="s">
        <v>17</v>
      </c>
      <c r="G22" s="222">
        <f>SUM(D27:D32)</f>
        <v>34.800000000000004</v>
      </c>
    </row>
    <row r="23" spans="2:7">
      <c r="B23" s="108" t="s">
        <v>4</v>
      </c>
      <c r="C23" s="130">
        <f>Dat_01!B52</f>
        <v>416.81427100000002</v>
      </c>
      <c r="D23" s="109">
        <f>ROUND(C23/$C$33*100,1)</f>
        <v>2.1</v>
      </c>
      <c r="E23" s="132"/>
    </row>
    <row r="24" spans="2:7">
      <c r="B24" s="108" t="s">
        <v>11</v>
      </c>
      <c r="C24" s="130">
        <f>Dat_01!B53</f>
        <v>5107.4552889999995</v>
      </c>
      <c r="D24" s="109">
        <f>ROUND(C24/$C$33*100,1)</f>
        <v>26</v>
      </c>
      <c r="E24" s="132"/>
    </row>
    <row r="25" spans="2:7">
      <c r="B25" s="108" t="s">
        <v>9</v>
      </c>
      <c r="C25" s="130">
        <f>Dat_01!B54</f>
        <v>2417.8764569999998</v>
      </c>
      <c r="D25" s="109">
        <f>100-SUM(D21:D24,D26:D32)</f>
        <v>12.400000000000006</v>
      </c>
      <c r="E25" s="132"/>
    </row>
    <row r="26" spans="2:7">
      <c r="B26" s="108" t="s">
        <v>72</v>
      </c>
      <c r="C26" s="130">
        <f>Dat_01!B55</f>
        <v>156.89686950000001</v>
      </c>
      <c r="D26" s="109">
        <f t="shared" ref="D26:D32" si="1">ROUND(C26/$C$33*100,1)</f>
        <v>0.8</v>
      </c>
      <c r="E26" s="132"/>
    </row>
    <row r="27" spans="2:7">
      <c r="B27" s="108" t="s">
        <v>71</v>
      </c>
      <c r="C27" s="130">
        <f>Dat_01!B56</f>
        <v>62.621202500000003</v>
      </c>
      <c r="D27" s="109">
        <f t="shared" si="1"/>
        <v>0.3</v>
      </c>
      <c r="E27" s="132"/>
    </row>
    <row r="28" spans="2:7">
      <c r="B28" s="108" t="s">
        <v>5</v>
      </c>
      <c r="C28" s="130">
        <f>Dat_01!B57</f>
        <v>3212.2191230000003</v>
      </c>
      <c r="D28" s="109">
        <f t="shared" si="1"/>
        <v>16.3</v>
      </c>
      <c r="E28" s="132"/>
    </row>
    <row r="29" spans="2:7">
      <c r="B29" s="108" t="s">
        <v>2</v>
      </c>
      <c r="C29" s="130">
        <f>Dat_01!B58</f>
        <v>1625.6452669099999</v>
      </c>
      <c r="D29" s="109">
        <f t="shared" si="1"/>
        <v>8.3000000000000007</v>
      </c>
      <c r="E29" s="132"/>
    </row>
    <row r="30" spans="2:7">
      <c r="B30" s="108" t="s">
        <v>6</v>
      </c>
      <c r="C30" s="130">
        <f>Dat_01!B59</f>
        <v>891.40100300000006</v>
      </c>
      <c r="D30" s="109">
        <f t="shared" si="1"/>
        <v>4.5</v>
      </c>
      <c r="E30" s="132"/>
    </row>
    <row r="31" spans="2:7">
      <c r="B31" s="108" t="s">
        <v>7</v>
      </c>
      <c r="C31" s="130">
        <f>Dat_01!B60</f>
        <v>775.05758100000003</v>
      </c>
      <c r="D31" s="109">
        <f t="shared" si="1"/>
        <v>3.9</v>
      </c>
      <c r="E31" s="132"/>
    </row>
    <row r="32" spans="2:7">
      <c r="B32" s="108" t="s">
        <v>8</v>
      </c>
      <c r="C32" s="130">
        <f>Dat_01!B61</f>
        <v>285.58842200000004</v>
      </c>
      <c r="D32" s="109">
        <f t="shared" si="1"/>
        <v>1.5</v>
      </c>
      <c r="E32" s="132"/>
    </row>
    <row r="33" spans="2:6">
      <c r="B33" s="110" t="s">
        <v>15</v>
      </c>
      <c r="C33" s="131">
        <f>SUM(C21:C32)</f>
        <v>19656.099270000002</v>
      </c>
      <c r="D33" s="111">
        <f>SUM(D21:D32)</f>
        <v>100</v>
      </c>
    </row>
    <row r="34" spans="2:6">
      <c r="B34" s="153"/>
      <c r="C34" s="172"/>
      <c r="D34" s="172"/>
      <c r="E34" s="172"/>
      <c r="F34" s="172"/>
    </row>
    <row r="35" spans="2:6">
      <c r="B35" s="153" t="s">
        <v>548</v>
      </c>
      <c r="C35" s="172"/>
      <c r="D35" s="172"/>
      <c r="E35" s="172"/>
      <c r="F35" s="223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83</v>
      </c>
      <c r="C37" s="109">
        <f>Dat_01!B94</f>
        <v>0.7</v>
      </c>
      <c r="D37" s="107"/>
      <c r="E37" s="108" t="s">
        <v>16</v>
      </c>
      <c r="F37" s="109">
        <f>SUM(C37:C42)</f>
        <v>55.000000000000014</v>
      </c>
    </row>
    <row r="38" spans="2:6">
      <c r="B38" s="108" t="s">
        <v>3</v>
      </c>
      <c r="C38" s="109">
        <f>Dat_01!B95</f>
        <v>19.2</v>
      </c>
      <c r="D38" s="107"/>
      <c r="E38" s="221" t="s">
        <v>17</v>
      </c>
      <c r="F38" s="222">
        <f>SUM(C43:C48)</f>
        <v>45.000000000000007</v>
      </c>
    </row>
    <row r="39" spans="2:6">
      <c r="B39" s="108" t="s">
        <v>4</v>
      </c>
      <c r="C39" s="109">
        <f>Dat_01!B96</f>
        <v>2</v>
      </c>
      <c r="D39" s="107"/>
    </row>
    <row r="40" spans="2:6">
      <c r="B40" s="108" t="s">
        <v>11</v>
      </c>
      <c r="C40" s="109">
        <f>Dat_01!B97</f>
        <v>20.2</v>
      </c>
      <c r="D40" s="107"/>
    </row>
    <row r="41" spans="2:6">
      <c r="B41" s="108" t="s">
        <v>9</v>
      </c>
      <c r="C41" s="109">
        <f>Dat_01!B98</f>
        <v>12.200000000000017</v>
      </c>
      <c r="D41" s="107"/>
      <c r="E41" s="107"/>
      <c r="F41" s="107"/>
    </row>
    <row r="42" spans="2:6">
      <c r="B42" s="108" t="s">
        <v>72</v>
      </c>
      <c r="C42" s="109">
        <f>Dat_01!B99</f>
        <v>0.7</v>
      </c>
      <c r="D42" s="107"/>
      <c r="E42" s="107"/>
      <c r="F42" s="107"/>
    </row>
    <row r="43" spans="2:6">
      <c r="B43" s="108" t="s">
        <v>71</v>
      </c>
      <c r="C43" s="109">
        <f>Dat_01!B100</f>
        <v>0.3</v>
      </c>
      <c r="D43" s="107"/>
      <c r="E43" s="107"/>
      <c r="F43" s="107"/>
    </row>
    <row r="44" spans="2:6">
      <c r="B44" s="108" t="s">
        <v>5</v>
      </c>
      <c r="C44" s="109">
        <f>Dat_01!B101</f>
        <v>25.8</v>
      </c>
      <c r="D44" s="107"/>
      <c r="E44" s="107"/>
      <c r="F44" s="107"/>
    </row>
    <row r="45" spans="2:6">
      <c r="B45" s="108" t="s">
        <v>2</v>
      </c>
      <c r="C45" s="109">
        <f>Dat_01!B102</f>
        <v>8.8000000000000007</v>
      </c>
      <c r="D45" s="107"/>
      <c r="E45" s="107"/>
      <c r="F45" s="107"/>
    </row>
    <row r="46" spans="2:6">
      <c r="B46" s="108" t="s">
        <v>6</v>
      </c>
      <c r="C46" s="109">
        <f>Dat_01!B103</f>
        <v>4.5999999999999996</v>
      </c>
      <c r="D46" s="107"/>
      <c r="E46" s="107"/>
      <c r="F46" s="107"/>
    </row>
    <row r="47" spans="2:6">
      <c r="B47" s="108" t="s">
        <v>7</v>
      </c>
      <c r="C47" s="109">
        <f>Dat_01!B104</f>
        <v>4.0999999999999996</v>
      </c>
      <c r="D47" s="107"/>
      <c r="E47" s="107"/>
      <c r="F47" s="107"/>
    </row>
    <row r="48" spans="2:6">
      <c r="B48" s="108" t="s">
        <v>8</v>
      </c>
      <c r="C48" s="109">
        <f>Dat_01!B105</f>
        <v>1.4</v>
      </c>
      <c r="D48" s="172"/>
      <c r="E48" s="172"/>
      <c r="F48" s="172"/>
    </row>
    <row r="49" spans="2:6">
      <c r="B49" s="110" t="s">
        <v>15</v>
      </c>
      <c r="C49" s="111">
        <f>SUM(C37:C48)</f>
        <v>100</v>
      </c>
      <c r="D49" s="172"/>
      <c r="E49" s="172"/>
      <c r="F49" s="172"/>
    </row>
    <row r="50" spans="2:6">
      <c r="B50" s="153"/>
      <c r="C50" s="172"/>
      <c r="D50" s="172"/>
      <c r="E50" s="172"/>
      <c r="F50" s="172"/>
    </row>
    <row r="51" spans="2:6">
      <c r="B51" s="153" t="s">
        <v>150</v>
      </c>
      <c r="C51" s="172"/>
      <c r="D51" s="172"/>
      <c r="E51" s="172"/>
      <c r="F51" s="223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83</v>
      </c>
      <c r="C53" s="109">
        <f>Dat_01!H94</f>
        <v>1.3</v>
      </c>
      <c r="D53" s="107"/>
      <c r="E53" s="108" t="s">
        <v>16</v>
      </c>
      <c r="F53" s="109">
        <f>SUM(C53:C58)</f>
        <v>37</v>
      </c>
    </row>
    <row r="54" spans="2:6">
      <c r="B54" s="108" t="s">
        <v>3</v>
      </c>
      <c r="C54" s="109">
        <f>Dat_01!H95</f>
        <v>17.100000000000001</v>
      </c>
      <c r="D54" s="107"/>
      <c r="E54" s="221" t="s">
        <v>17</v>
      </c>
      <c r="F54" s="222">
        <f>SUM(C59:C64)</f>
        <v>63</v>
      </c>
    </row>
    <row r="55" spans="2:6">
      <c r="B55" s="108" t="s">
        <v>4</v>
      </c>
      <c r="C55" s="109">
        <f>Dat_01!H96</f>
        <v>4.2</v>
      </c>
      <c r="D55" s="107"/>
    </row>
    <row r="56" spans="2:6">
      <c r="B56" s="108" t="s">
        <v>11</v>
      </c>
      <c r="C56" s="109">
        <f>Dat_01!H97</f>
        <v>4.2</v>
      </c>
      <c r="D56" s="107"/>
    </row>
    <row r="57" spans="2:6">
      <c r="B57" s="108" t="s">
        <v>9</v>
      </c>
      <c r="C57" s="109">
        <f>Dat_01!H98</f>
        <v>9.4000000000000057</v>
      </c>
      <c r="D57" s="107"/>
      <c r="E57" s="107"/>
      <c r="F57" s="107"/>
    </row>
    <row r="58" spans="2:6">
      <c r="B58" s="108" t="s">
        <v>72</v>
      </c>
      <c r="C58" s="109">
        <f>Dat_01!H99</f>
        <v>0.8</v>
      </c>
      <c r="D58" s="107"/>
      <c r="E58" s="107"/>
      <c r="F58" s="107"/>
    </row>
    <row r="59" spans="2:6">
      <c r="B59" s="108" t="s">
        <v>71</v>
      </c>
      <c r="C59" s="109">
        <f>Dat_01!H100</f>
        <v>0.2</v>
      </c>
      <c r="D59" s="107"/>
      <c r="E59" s="107"/>
      <c r="F59" s="107"/>
    </row>
    <row r="60" spans="2:6">
      <c r="B60" s="108" t="s">
        <v>5</v>
      </c>
      <c r="C60" s="109">
        <f>Dat_01!H101</f>
        <v>38.200000000000003</v>
      </c>
      <c r="D60" s="107"/>
      <c r="E60" s="107"/>
      <c r="F60" s="107"/>
    </row>
    <row r="61" spans="2:6">
      <c r="B61" s="108" t="s">
        <v>2</v>
      </c>
      <c r="C61" s="109">
        <f>Dat_01!H102</f>
        <v>20.100000000000001</v>
      </c>
      <c r="D61" s="107"/>
      <c r="E61" s="107"/>
      <c r="F61" s="107"/>
    </row>
    <row r="62" spans="2:6">
      <c r="B62" s="108" t="s">
        <v>6</v>
      </c>
      <c r="C62" s="109">
        <f>Dat_01!H103</f>
        <v>2.2999999999999998</v>
      </c>
      <c r="D62" s="107"/>
      <c r="E62" s="107"/>
      <c r="F62" s="107"/>
    </row>
    <row r="63" spans="2:6">
      <c r="B63" s="108" t="s">
        <v>7</v>
      </c>
      <c r="C63" s="109">
        <f>Dat_01!H104</f>
        <v>1.3</v>
      </c>
      <c r="D63" s="107"/>
      <c r="E63" s="107"/>
      <c r="F63" s="107"/>
    </row>
    <row r="64" spans="2:6">
      <c r="B64" s="108" t="s">
        <v>8</v>
      </c>
      <c r="C64" s="109">
        <f>Dat_01!H105</f>
        <v>0.9</v>
      </c>
    </row>
    <row r="65" spans="2:16">
      <c r="B65" s="110" t="s">
        <v>15</v>
      </c>
      <c r="C65" s="111">
        <f>SUM(C53:C64)</f>
        <v>100</v>
      </c>
    </row>
    <row r="66" spans="2:16">
      <c r="B66" s="153"/>
      <c r="C66" s="172"/>
    </row>
    <row r="67" spans="2:16">
      <c r="B67" s="153" t="s">
        <v>62</v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</row>
    <row r="68" spans="2:16">
      <c r="B68" s="225"/>
      <c r="C68" s="226" t="str">
        <f>Dat_01!B140</f>
        <v>J</v>
      </c>
      <c r="D68" s="226" t="str">
        <f>Dat_01!C140</f>
        <v>J</v>
      </c>
      <c r="E68" s="226" t="str">
        <f>Dat_01!D140</f>
        <v>A</v>
      </c>
      <c r="F68" s="226" t="str">
        <f>Dat_01!E140</f>
        <v>S</v>
      </c>
      <c r="G68" s="226" t="str">
        <f>Dat_01!F140</f>
        <v>O</v>
      </c>
      <c r="H68" s="226" t="str">
        <f>Dat_01!G140</f>
        <v>N</v>
      </c>
      <c r="I68" s="226" t="str">
        <f>Dat_01!H140</f>
        <v>D</v>
      </c>
      <c r="J68" s="226" t="str">
        <f>Dat_01!I140</f>
        <v>E</v>
      </c>
      <c r="K68" s="226" t="str">
        <f>Dat_01!J140</f>
        <v>F</v>
      </c>
      <c r="L68" s="226" t="str">
        <f>Dat_01!K140</f>
        <v>M</v>
      </c>
      <c r="M68" s="226" t="str">
        <f>Dat_01!L140</f>
        <v>A</v>
      </c>
      <c r="N68" s="226" t="str">
        <f>Dat_01!M140</f>
        <v>M</v>
      </c>
      <c r="O68" s="226" t="str">
        <f>Dat_01!N140</f>
        <v>J</v>
      </c>
      <c r="P68" s="227"/>
    </row>
    <row r="69" spans="2:16">
      <c r="B69" s="228" t="s">
        <v>2</v>
      </c>
      <c r="C69" s="229">
        <f>Dat_01!B142</f>
        <v>3717.7821305839998</v>
      </c>
      <c r="D69" s="229">
        <f>Dat_01!C142</f>
        <v>3027.0962775859998</v>
      </c>
      <c r="E69" s="229">
        <f>Dat_01!D142</f>
        <v>2105.289042892</v>
      </c>
      <c r="F69" s="229">
        <f>Dat_01!E142</f>
        <v>1926.4612847620001</v>
      </c>
      <c r="G69" s="229">
        <f>Dat_01!F142</f>
        <v>1461.905502328</v>
      </c>
      <c r="H69" s="229">
        <f>Dat_01!G142</f>
        <v>2161.351999814</v>
      </c>
      <c r="I69" s="229">
        <f>Dat_01!H142</f>
        <v>2485.8744506439998</v>
      </c>
      <c r="J69" s="229">
        <f>Dat_01!I142</f>
        <v>2126.6339542559999</v>
      </c>
      <c r="K69" s="229">
        <f>Dat_01!J142</f>
        <v>2482.7010685720002</v>
      </c>
      <c r="L69" s="229">
        <f>Dat_01!K142</f>
        <v>2131.4241339519999</v>
      </c>
      <c r="M69" s="229">
        <f>Dat_01!L142</f>
        <v>1922.9600431880001</v>
      </c>
      <c r="N69" s="229">
        <f>Dat_01!M142</f>
        <v>1933.0273067759999</v>
      </c>
      <c r="O69" s="229">
        <f>Dat_01!N142</f>
        <v>1625.6452669099999</v>
      </c>
    </row>
    <row r="70" spans="2:16">
      <c r="B70" s="228" t="s">
        <v>83</v>
      </c>
      <c r="C70" s="229">
        <f>Dat_01!B143</f>
        <v>58.722846416000003</v>
      </c>
      <c r="D70" s="229">
        <f>Dat_01!C143</f>
        <v>35.299306414</v>
      </c>
      <c r="E70" s="229">
        <f>Dat_01!D143</f>
        <v>59.999602107999998</v>
      </c>
      <c r="F70" s="229">
        <f>Dat_01!E143</f>
        <v>40.026753237999998</v>
      </c>
      <c r="G70" s="229">
        <f>Dat_01!F143</f>
        <v>214.991378672</v>
      </c>
      <c r="H70" s="229">
        <f>Dat_01!G143</f>
        <v>142.90349618600001</v>
      </c>
      <c r="I70" s="229">
        <f>Dat_01!H143</f>
        <v>134.66925335600001</v>
      </c>
      <c r="J70" s="229">
        <f>Dat_01!I143</f>
        <v>166.107001744</v>
      </c>
      <c r="K70" s="229">
        <f>Dat_01!J143</f>
        <v>188.79902042800001</v>
      </c>
      <c r="L70" s="229">
        <f>Dat_01!K143</f>
        <v>189.243035048</v>
      </c>
      <c r="M70" s="229">
        <f>Dat_01!L143</f>
        <v>130.29129281199999</v>
      </c>
      <c r="N70" s="229">
        <f>Dat_01!M143</f>
        <v>127.53405822400001</v>
      </c>
      <c r="O70" s="229">
        <f>Dat_01!N143</f>
        <v>56.646829089999997</v>
      </c>
    </row>
    <row r="71" spans="2:16">
      <c r="B71" s="228" t="s">
        <v>3</v>
      </c>
      <c r="C71" s="229">
        <f>Dat_01!B144</f>
        <v>3591.591351</v>
      </c>
      <c r="D71" s="229">
        <f>Dat_01!C144</f>
        <v>4471.0236880000002</v>
      </c>
      <c r="E71" s="229">
        <f>Dat_01!D144</f>
        <v>5135.7248909999998</v>
      </c>
      <c r="F71" s="229">
        <f>Dat_01!E144</f>
        <v>5013.0349210000004</v>
      </c>
      <c r="G71" s="229">
        <f>Dat_01!F144</f>
        <v>5150.6718030000002</v>
      </c>
      <c r="H71" s="229">
        <f>Dat_01!G144</f>
        <v>3829.983448</v>
      </c>
      <c r="I71" s="229">
        <f>Dat_01!H144</f>
        <v>4286.7606750000004</v>
      </c>
      <c r="J71" s="229">
        <f>Dat_01!I144</f>
        <v>5041.3669819999996</v>
      </c>
      <c r="K71" s="229">
        <f>Dat_01!J144</f>
        <v>4766.7856579999998</v>
      </c>
      <c r="L71" s="229">
        <f>Dat_01!K144</f>
        <v>5274.7472820000003</v>
      </c>
      <c r="M71" s="229">
        <f>Dat_01!L144</f>
        <v>4621.6629220000004</v>
      </c>
      <c r="N71" s="229">
        <f>Dat_01!M144</f>
        <v>3976.917465</v>
      </c>
      <c r="O71" s="229">
        <f>Dat_01!N144</f>
        <v>4647.8769560000001</v>
      </c>
    </row>
    <row r="72" spans="2:16">
      <c r="B72" s="228" t="s">
        <v>4</v>
      </c>
      <c r="C72" s="229">
        <f>Dat_01!B145</f>
        <v>2273.6253510000001</v>
      </c>
      <c r="D72" s="229">
        <f>Dat_01!C145</f>
        <v>3487.5592799999999</v>
      </c>
      <c r="E72" s="229">
        <f>Dat_01!D145</f>
        <v>3495.8629919999998</v>
      </c>
      <c r="F72" s="229">
        <f>Dat_01!E145</f>
        <v>4104.8401640000002</v>
      </c>
      <c r="G72" s="229">
        <f>Dat_01!F145</f>
        <v>3364.3671690000001</v>
      </c>
      <c r="H72" s="229">
        <f>Dat_01!G145</f>
        <v>3875.2183620000001</v>
      </c>
      <c r="I72" s="229">
        <f>Dat_01!H145</f>
        <v>2845.2639509999999</v>
      </c>
      <c r="J72" s="229">
        <f>Dat_01!I145</f>
        <v>3075.0438380000001</v>
      </c>
      <c r="K72" s="229">
        <f>Dat_01!J145</f>
        <v>2246.8140950000002</v>
      </c>
      <c r="L72" s="229">
        <f>Dat_01!K145</f>
        <v>824.670028</v>
      </c>
      <c r="M72" s="229">
        <f>Dat_01!L145</f>
        <v>722.95364099999995</v>
      </c>
      <c r="N72" s="229">
        <f>Dat_01!M145</f>
        <v>343.03717999999998</v>
      </c>
      <c r="O72" s="229">
        <f>Dat_01!N145</f>
        <v>416.81427100000002</v>
      </c>
    </row>
    <row r="73" spans="2:16">
      <c r="B73" s="228" t="s">
        <v>151</v>
      </c>
      <c r="C73" s="229"/>
      <c r="D73" s="229"/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29"/>
    </row>
    <row r="74" spans="2:16">
      <c r="B74" s="228" t="s">
        <v>152</v>
      </c>
      <c r="C74" s="229">
        <f>Dat_01!B146</f>
        <v>2180.126706</v>
      </c>
      <c r="D74" s="229">
        <f>Dat_01!C146</f>
        <v>2229.279387</v>
      </c>
      <c r="E74" s="229">
        <f>Dat_01!D146</f>
        <v>2663.0061409999998</v>
      </c>
      <c r="F74" s="229">
        <f>Dat_01!E146</f>
        <v>2148.659568</v>
      </c>
      <c r="G74" s="229">
        <f>Dat_01!F146</f>
        <v>2501.819391</v>
      </c>
      <c r="H74" s="229">
        <f>Dat_01!G146</f>
        <v>3160.857532</v>
      </c>
      <c r="I74" s="229">
        <f>Dat_01!H146</f>
        <v>2896.6909179999998</v>
      </c>
      <c r="J74" s="229">
        <f>Dat_01!I146</f>
        <v>3198.741031</v>
      </c>
      <c r="K74" s="229">
        <f>Dat_01!J146</f>
        <v>2453.2148360000001</v>
      </c>
      <c r="L74" s="229">
        <f>Dat_01!K146</f>
        <v>2129.3124120000002</v>
      </c>
      <c r="M74" s="229">
        <f>Dat_01!L146</f>
        <v>2714.2451850000002</v>
      </c>
      <c r="N74" s="229">
        <f>Dat_01!M146</f>
        <v>3896.510745</v>
      </c>
      <c r="O74" s="229">
        <f>Dat_01!N146</f>
        <v>5107.4552890000004</v>
      </c>
    </row>
    <row r="75" spans="2:16">
      <c r="B75" s="228" t="s">
        <v>5</v>
      </c>
      <c r="C75" s="229">
        <f>Dat_01!B147</f>
        <v>2576.1112600000001</v>
      </c>
      <c r="D75" s="229">
        <f>Dat_01!C147</f>
        <v>2480.8914359999999</v>
      </c>
      <c r="E75" s="229">
        <f>Dat_01!D147</f>
        <v>3067.4116530000001</v>
      </c>
      <c r="F75" s="229">
        <f>Dat_01!E147</f>
        <v>2405.7918490000002</v>
      </c>
      <c r="G75" s="229">
        <f>Dat_01!F147</f>
        <v>4298.5552319999997</v>
      </c>
      <c r="H75" s="229">
        <f>Dat_01!G147</f>
        <v>4525.949721</v>
      </c>
      <c r="I75" s="229">
        <f>Dat_01!H147</f>
        <v>4319.0411860000004</v>
      </c>
      <c r="J75" s="229">
        <f>Dat_01!I147</f>
        <v>5970.6598999999997</v>
      </c>
      <c r="K75" s="229">
        <f>Dat_01!J147</f>
        <v>3646.4345840000001</v>
      </c>
      <c r="L75" s="229">
        <f>Dat_01!K147</f>
        <v>4823.4316840000001</v>
      </c>
      <c r="M75" s="229">
        <f>Dat_01!L147</f>
        <v>4594.9791249999998</v>
      </c>
      <c r="N75" s="229">
        <f>Dat_01!M147</f>
        <v>4580.5968780000003</v>
      </c>
      <c r="O75" s="229">
        <f>Dat_01!N147</f>
        <v>3212.2191229999999</v>
      </c>
    </row>
    <row r="76" spans="2:16">
      <c r="B76" s="228" t="s">
        <v>153</v>
      </c>
      <c r="C76" s="229">
        <f>Dat_01!B148</f>
        <v>781.41990099999998</v>
      </c>
      <c r="D76" s="229">
        <f>Dat_01!C148</f>
        <v>892.45500200000004</v>
      </c>
      <c r="E76" s="229">
        <f>Dat_01!D148</f>
        <v>808.18866300000002</v>
      </c>
      <c r="F76" s="229">
        <f>Dat_01!E148</f>
        <v>687.70805700000005</v>
      </c>
      <c r="G76" s="229">
        <f>Dat_01!F148</f>
        <v>543.564031</v>
      </c>
      <c r="H76" s="229">
        <f>Dat_01!G148</f>
        <v>354.028189</v>
      </c>
      <c r="I76" s="229">
        <f>Dat_01!H148</f>
        <v>404.07867700000003</v>
      </c>
      <c r="J76" s="229">
        <f>Dat_01!I148</f>
        <v>480.728812</v>
      </c>
      <c r="K76" s="229">
        <f>Dat_01!J148</f>
        <v>601.892966</v>
      </c>
      <c r="L76" s="229">
        <f>Dat_01!K148</f>
        <v>768.80490399999996</v>
      </c>
      <c r="M76" s="229">
        <f>Dat_01!L148</f>
        <v>661.66676800000005</v>
      </c>
      <c r="N76" s="229">
        <f>Dat_01!M148</f>
        <v>889.528772</v>
      </c>
      <c r="O76" s="229">
        <f>Dat_01!N148</f>
        <v>891.40100299999995</v>
      </c>
    </row>
    <row r="77" spans="2:16">
      <c r="B77" s="228" t="s">
        <v>154</v>
      </c>
      <c r="C77" s="229">
        <f>Dat_01!B149</f>
        <v>551.29260299999999</v>
      </c>
      <c r="D77" s="229">
        <f>Dat_01!C149</f>
        <v>858.89832999999999</v>
      </c>
      <c r="E77" s="229">
        <f>Dat_01!D149</f>
        <v>688.557997</v>
      </c>
      <c r="F77" s="229">
        <f>Dat_01!E149</f>
        <v>465.63698499999998</v>
      </c>
      <c r="G77" s="229">
        <f>Dat_01!F149</f>
        <v>292.49343099999999</v>
      </c>
      <c r="H77" s="229">
        <f>Dat_01!G149</f>
        <v>78.576116999999996</v>
      </c>
      <c r="I77" s="229">
        <f>Dat_01!H149</f>
        <v>109.57487399999999</v>
      </c>
      <c r="J77" s="229">
        <f>Dat_01!I149</f>
        <v>166.15012899999999</v>
      </c>
      <c r="K77" s="229">
        <f>Dat_01!J149</f>
        <v>261.97860300000002</v>
      </c>
      <c r="L77" s="229">
        <f>Dat_01!K149</f>
        <v>477.92322799999999</v>
      </c>
      <c r="M77" s="229">
        <f>Dat_01!L149</f>
        <v>379.26881700000001</v>
      </c>
      <c r="N77" s="229">
        <f>Dat_01!M149</f>
        <v>740.99772700000005</v>
      </c>
      <c r="O77" s="229">
        <f>Dat_01!N149</f>
        <v>775.05758100000003</v>
      </c>
    </row>
    <row r="78" spans="2:16">
      <c r="B78" s="228" t="s">
        <v>9</v>
      </c>
      <c r="C78" s="229">
        <f>Dat_01!B151</f>
        <v>2403.6677800000002</v>
      </c>
      <c r="D78" s="229">
        <f>Dat_01!C151</f>
        <v>2436.601287</v>
      </c>
      <c r="E78" s="229">
        <f>Dat_01!D151</f>
        <v>2361.294789</v>
      </c>
      <c r="F78" s="229">
        <f>Dat_01!E151</f>
        <v>2408.3039490000001</v>
      </c>
      <c r="G78" s="229">
        <f>Dat_01!F151</f>
        <v>2520.0659270000001</v>
      </c>
      <c r="H78" s="229">
        <f>Dat_01!G151</f>
        <v>2472.0083749999999</v>
      </c>
      <c r="I78" s="229">
        <f>Dat_01!H151</f>
        <v>2529.9647150000001</v>
      </c>
      <c r="J78" s="229">
        <f>Dat_01!I151</f>
        <v>2656.3842519999998</v>
      </c>
      <c r="K78" s="229">
        <f>Dat_01!J151</f>
        <v>2391.1858710000001</v>
      </c>
      <c r="L78" s="229">
        <f>Dat_01!K151</f>
        <v>2588.9622680000002</v>
      </c>
      <c r="M78" s="229">
        <f>Dat_01!L151</f>
        <v>2488.363464</v>
      </c>
      <c r="N78" s="229">
        <f>Dat_01!M151</f>
        <v>2544.1971939999999</v>
      </c>
      <c r="O78" s="229">
        <f>Dat_01!N151</f>
        <v>2417.8764569999998</v>
      </c>
    </row>
    <row r="79" spans="2:16">
      <c r="B79" s="228" t="s">
        <v>155</v>
      </c>
      <c r="C79" s="229">
        <f>Dat_01!B152</f>
        <v>175.41279499999999</v>
      </c>
      <c r="D79" s="229">
        <f>Dat_01!C152</f>
        <v>199.57543200000001</v>
      </c>
      <c r="E79" s="229">
        <f>Dat_01!D152</f>
        <v>194.6585925</v>
      </c>
      <c r="F79" s="229">
        <f>Dat_01!E152</f>
        <v>189.02059499999999</v>
      </c>
      <c r="G79" s="229">
        <f>Dat_01!F152</f>
        <v>201.64528799999999</v>
      </c>
      <c r="H79" s="229">
        <f>Dat_01!G152</f>
        <v>191.94905</v>
      </c>
      <c r="I79" s="229">
        <f>Dat_01!H152</f>
        <v>190.76081500000001</v>
      </c>
      <c r="J79" s="229">
        <f>Dat_01!I152</f>
        <v>196.595054</v>
      </c>
      <c r="K79" s="229">
        <f>Dat_01!J152</f>
        <v>180.749244</v>
      </c>
      <c r="L79" s="229">
        <f>Dat_01!K152</f>
        <v>200.77886749999999</v>
      </c>
      <c r="M79" s="229">
        <f>Dat_01!L152</f>
        <v>175.342614</v>
      </c>
      <c r="N79" s="229">
        <f>Dat_01!M152</f>
        <v>154.68218999999999</v>
      </c>
      <c r="O79" s="229">
        <f>Dat_01!N152</f>
        <v>156.89686950000001</v>
      </c>
    </row>
    <row r="80" spans="2:16">
      <c r="B80" s="228" t="s">
        <v>156</v>
      </c>
      <c r="C80" s="229">
        <f>Dat_01!B153</f>
        <v>50.806421</v>
      </c>
      <c r="D80" s="229">
        <f>Dat_01!C153</f>
        <v>64.813796999999994</v>
      </c>
      <c r="E80" s="229">
        <f>Dat_01!D153</f>
        <v>65.755174499999995</v>
      </c>
      <c r="F80" s="229">
        <f>Dat_01!E153</f>
        <v>64.739834999999999</v>
      </c>
      <c r="G80" s="229">
        <f>Dat_01!F153</f>
        <v>66.706254000000001</v>
      </c>
      <c r="H80" s="229">
        <f>Dat_01!G153</f>
        <v>61.593868999999998</v>
      </c>
      <c r="I80" s="229">
        <f>Dat_01!H153</f>
        <v>69.912847999999997</v>
      </c>
      <c r="J80" s="229">
        <f>Dat_01!I153</f>
        <v>63.503646000000003</v>
      </c>
      <c r="K80" s="229">
        <f>Dat_01!J153</f>
        <v>61.891773000000001</v>
      </c>
      <c r="L80" s="229">
        <f>Dat_01!K153</f>
        <v>67.359962499999995</v>
      </c>
      <c r="M80" s="229">
        <f>Dat_01!L153</f>
        <v>64.179035999999996</v>
      </c>
      <c r="N80" s="229">
        <f>Dat_01!M153</f>
        <v>36.450611000000002</v>
      </c>
      <c r="O80" s="229">
        <f>Dat_01!N153</f>
        <v>62.621202500000003</v>
      </c>
    </row>
    <row r="81" spans="2:15">
      <c r="B81" s="228" t="s">
        <v>157</v>
      </c>
      <c r="C81" s="229">
        <f>Dat_01!B150</f>
        <v>304.160034</v>
      </c>
      <c r="D81" s="229">
        <f>Dat_01!C150</f>
        <v>323.41282999999999</v>
      </c>
      <c r="E81" s="229">
        <f>Dat_01!D150</f>
        <v>316.53357699999998</v>
      </c>
      <c r="F81" s="229">
        <f>Dat_01!E150</f>
        <v>319.41097300000001</v>
      </c>
      <c r="G81" s="229">
        <f>Dat_01!F150</f>
        <v>296.78157199999998</v>
      </c>
      <c r="H81" s="229">
        <f>Dat_01!G150</f>
        <v>292.56813</v>
      </c>
      <c r="I81" s="229">
        <f>Dat_01!H150</f>
        <v>299.14763599999998</v>
      </c>
      <c r="J81" s="229">
        <f>Dat_01!I150</f>
        <v>303.393978</v>
      </c>
      <c r="K81" s="229">
        <f>Dat_01!J150</f>
        <v>284.70844699999998</v>
      </c>
      <c r="L81" s="229">
        <f>Dat_01!K150</f>
        <v>309.30230799999998</v>
      </c>
      <c r="M81" s="229">
        <f>Dat_01!L150</f>
        <v>273.97149899999999</v>
      </c>
      <c r="N81" s="229">
        <f>Dat_01!M150</f>
        <v>282.06007699999998</v>
      </c>
      <c r="O81" s="229">
        <f>Dat_01!N150</f>
        <v>285.58842199999998</v>
      </c>
    </row>
    <row r="82" spans="2:15">
      <c r="B82" s="228" t="s">
        <v>158</v>
      </c>
      <c r="C82" s="229">
        <f>Dat_01!B154</f>
        <v>18664.719179000003</v>
      </c>
      <c r="D82" s="229">
        <f>Dat_01!C154</f>
        <v>20506.906053000002</v>
      </c>
      <c r="E82" s="229">
        <f>Dat_01!D154</f>
        <v>20962.283114999998</v>
      </c>
      <c r="F82" s="229">
        <f>Dat_01!E154</f>
        <v>19773.634934000009</v>
      </c>
      <c r="G82" s="229">
        <f>Dat_01!F154</f>
        <v>20913.566978999999</v>
      </c>
      <c r="H82" s="229">
        <f>Dat_01!G154</f>
        <v>21146.988289000001</v>
      </c>
      <c r="I82" s="229">
        <f>Dat_01!H154</f>
        <v>20571.739999000005</v>
      </c>
      <c r="J82" s="229">
        <f>Dat_01!I154</f>
        <v>23445.308578000004</v>
      </c>
      <c r="K82" s="229">
        <f>Dat_01!J154</f>
        <v>19567.156166000001</v>
      </c>
      <c r="L82" s="229">
        <f>Dat_01!K154</f>
        <v>19785.960112999997</v>
      </c>
      <c r="M82" s="229">
        <f>Dat_01!L154</f>
        <v>18749.884407000005</v>
      </c>
      <c r="N82" s="229">
        <f>Dat_01!M154</f>
        <v>19505.540204000001</v>
      </c>
      <c r="O82" s="229">
        <f>Dat_01!N154</f>
        <v>19656.099269999999</v>
      </c>
    </row>
    <row r="83" spans="2:15">
      <c r="B83" s="228" t="s">
        <v>159</v>
      </c>
      <c r="C83" s="229"/>
      <c r="D83" s="229"/>
      <c r="E83" s="229"/>
      <c r="F83" s="229"/>
      <c r="G83" s="229"/>
      <c r="H83" s="229"/>
      <c r="I83" s="229"/>
      <c r="J83" s="229"/>
      <c r="K83" s="229"/>
      <c r="L83" s="229"/>
      <c r="M83" s="229"/>
      <c r="N83" s="229"/>
      <c r="O83" s="229"/>
    </row>
    <row r="84" spans="2:15">
      <c r="B84" s="228" t="s">
        <v>160</v>
      </c>
      <c r="C84" s="229"/>
      <c r="D84" s="229"/>
      <c r="E84" s="229"/>
      <c r="F84" s="229"/>
      <c r="G84" s="229"/>
      <c r="H84" s="229"/>
      <c r="I84" s="229"/>
      <c r="J84" s="229"/>
      <c r="K84" s="229"/>
      <c r="L84" s="229"/>
      <c r="M84" s="229"/>
      <c r="N84" s="229"/>
      <c r="O84" s="229"/>
    </row>
    <row r="85" spans="2:15">
      <c r="B85" s="228" t="s">
        <v>161</v>
      </c>
      <c r="C85" s="229"/>
      <c r="D85" s="229"/>
      <c r="E85" s="229"/>
      <c r="F85" s="229"/>
      <c r="G85" s="229"/>
      <c r="H85" s="229"/>
      <c r="I85" s="229"/>
      <c r="J85" s="229"/>
      <c r="K85" s="229"/>
      <c r="L85" s="229"/>
      <c r="M85" s="229"/>
      <c r="N85" s="229"/>
      <c r="O85" s="229"/>
    </row>
    <row r="86" spans="2:15">
      <c r="B86" s="230" t="s">
        <v>162</v>
      </c>
      <c r="C86" s="231"/>
      <c r="D86" s="231"/>
      <c r="E86" s="231"/>
      <c r="F86" s="231"/>
      <c r="G86" s="231"/>
      <c r="H86" s="231"/>
      <c r="I86" s="231"/>
      <c r="J86" s="231"/>
      <c r="K86" s="231"/>
      <c r="L86" s="231"/>
      <c r="M86" s="231"/>
      <c r="N86" s="231"/>
      <c r="O86" s="231"/>
    </row>
    <row r="88" spans="2:15">
      <c r="B88" s="232" t="s">
        <v>17</v>
      </c>
      <c r="C88" s="233">
        <f t="shared" ref="C88:O88" si="2">SUM(C69,C75:C77,C80:C81)</f>
        <v>7981.5723495840011</v>
      </c>
      <c r="D88" s="233">
        <f t="shared" si="2"/>
        <v>7647.5676725859994</v>
      </c>
      <c r="E88" s="233">
        <f t="shared" si="2"/>
        <v>7051.7361073920001</v>
      </c>
      <c r="F88" s="233">
        <f t="shared" si="2"/>
        <v>5869.7489837620005</v>
      </c>
      <c r="G88" s="233">
        <f t="shared" si="2"/>
        <v>6960.0060223279988</v>
      </c>
      <c r="H88" s="233">
        <f t="shared" si="2"/>
        <v>7474.0680258139992</v>
      </c>
      <c r="I88" s="233">
        <f t="shared" si="2"/>
        <v>7687.6296716440002</v>
      </c>
      <c r="J88" s="233">
        <f t="shared" si="2"/>
        <v>9111.0704192559988</v>
      </c>
      <c r="K88" s="233">
        <f t="shared" si="2"/>
        <v>7339.6074415720013</v>
      </c>
      <c r="L88" s="233">
        <f t="shared" si="2"/>
        <v>8578.2462204520016</v>
      </c>
      <c r="M88" s="233">
        <f t="shared" si="2"/>
        <v>7897.0252881879996</v>
      </c>
      <c r="N88" s="233">
        <f t="shared" si="2"/>
        <v>8462.6613717759992</v>
      </c>
      <c r="O88" s="233">
        <f t="shared" si="2"/>
        <v>6852.53259841</v>
      </c>
    </row>
    <row r="89" spans="2:15">
      <c r="B89" s="230" t="s">
        <v>16</v>
      </c>
      <c r="C89" s="231">
        <f t="shared" ref="C89:O89" si="3">SUM(C70:C74,C78:C79)</f>
        <v>10683.146829416</v>
      </c>
      <c r="D89" s="231">
        <f t="shared" si="3"/>
        <v>12859.338380413999</v>
      </c>
      <c r="E89" s="231">
        <f t="shared" si="3"/>
        <v>13910.547007607998</v>
      </c>
      <c r="F89" s="231">
        <f t="shared" si="3"/>
        <v>13903.885950238002</v>
      </c>
      <c r="G89" s="231">
        <f t="shared" si="3"/>
        <v>13953.560956672001</v>
      </c>
      <c r="H89" s="231">
        <f t="shared" si="3"/>
        <v>13672.920263185999</v>
      </c>
      <c r="I89" s="231">
        <f t="shared" si="3"/>
        <v>12884.110327356</v>
      </c>
      <c r="J89" s="231">
        <f t="shared" si="3"/>
        <v>14334.238158743998</v>
      </c>
      <c r="K89" s="231">
        <f t="shared" si="3"/>
        <v>12227.548724428001</v>
      </c>
      <c r="L89" s="231">
        <f t="shared" si="3"/>
        <v>11207.713892547998</v>
      </c>
      <c r="M89" s="231">
        <f t="shared" si="3"/>
        <v>10852.859118812001</v>
      </c>
      <c r="N89" s="231">
        <f t="shared" si="3"/>
        <v>11042.878832224</v>
      </c>
      <c r="O89" s="231">
        <f t="shared" si="3"/>
        <v>12803.566671590002</v>
      </c>
    </row>
    <row r="91" spans="2:15">
      <c r="B91" s="232" t="s">
        <v>17</v>
      </c>
      <c r="C91" s="234">
        <f>SUM(ROUND(C69/SUM(C88:C89)*100,1),ROUND(C75/SUM(C88:C89)*100,1),ROUND(C76/SUM(C88:C89)*100,1),ROUND(C77/SUM(C88:C89)*100,1),ROUND(C80/SUM(C88:C89)*100,1),ROUND(C81/SUM(C88:C89)*100,1))</f>
        <v>42.800000000000004</v>
      </c>
      <c r="D91" s="234">
        <f t="shared" ref="D91:N91" si="4">SUM(ROUND(D69/SUM(D88:D89)*100,1),ROUND(D75/SUM(D88:D89)*100,1),ROUND(D76/SUM(D88:D89)*100,1),ROUND(D77/SUM(D88:D89)*100,1),ROUND(D80/SUM(D88:D89)*100,1),ROUND(D81/SUM(D88:D89)*100,1))</f>
        <v>37.4</v>
      </c>
      <c r="E91" s="234">
        <f t="shared" si="4"/>
        <v>33.6</v>
      </c>
      <c r="F91" s="234">
        <f t="shared" si="4"/>
        <v>29.7</v>
      </c>
      <c r="G91" s="234">
        <f t="shared" si="4"/>
        <v>33.300000000000004</v>
      </c>
      <c r="H91" s="234">
        <f t="shared" si="4"/>
        <v>35.399999999999991</v>
      </c>
      <c r="I91" s="234">
        <f t="shared" si="4"/>
        <v>37.4</v>
      </c>
      <c r="J91" s="234">
        <f t="shared" si="4"/>
        <v>39</v>
      </c>
      <c r="K91" s="234">
        <f t="shared" si="4"/>
        <v>37.499999999999993</v>
      </c>
      <c r="L91" s="234">
        <f t="shared" si="4"/>
        <v>43.4</v>
      </c>
      <c r="M91" s="234">
        <f t="shared" si="4"/>
        <v>42.099999999999994</v>
      </c>
      <c r="N91" s="234">
        <f t="shared" si="4"/>
        <v>43.4</v>
      </c>
      <c r="O91" s="234">
        <f>SUM(ROUND(O69/SUM(O88:O89)*100,1),ROUND(O75/SUM(O88:O89)*100,1),ROUND(O76/SUM(O88:O89)*100,1),ROUND(O77/SUM(O88:O89)*100,1),ROUND(O80/SUM(O88:O89)*100,1),ROUND(O81/SUM(O88:O89)*100,1))</f>
        <v>34.799999999999997</v>
      </c>
    </row>
    <row r="92" spans="2:15">
      <c r="B92" s="230" t="s">
        <v>16</v>
      </c>
      <c r="C92" s="235">
        <f t="shared" ref="C92:O92" si="5">100-C91</f>
        <v>57.199999999999996</v>
      </c>
      <c r="D92" s="235">
        <f t="shared" si="5"/>
        <v>62.6</v>
      </c>
      <c r="E92" s="235">
        <f t="shared" si="5"/>
        <v>66.400000000000006</v>
      </c>
      <c r="F92" s="235">
        <f t="shared" si="5"/>
        <v>70.3</v>
      </c>
      <c r="G92" s="235">
        <f t="shared" si="5"/>
        <v>66.699999999999989</v>
      </c>
      <c r="H92" s="235">
        <f t="shared" si="5"/>
        <v>64.600000000000009</v>
      </c>
      <c r="I92" s="235">
        <f t="shared" si="5"/>
        <v>62.6</v>
      </c>
      <c r="J92" s="235">
        <f t="shared" si="5"/>
        <v>61</v>
      </c>
      <c r="K92" s="235">
        <f t="shared" si="5"/>
        <v>62.500000000000007</v>
      </c>
      <c r="L92" s="235">
        <f t="shared" si="5"/>
        <v>56.6</v>
      </c>
      <c r="M92" s="235">
        <f t="shared" si="5"/>
        <v>57.900000000000006</v>
      </c>
      <c r="N92" s="235">
        <f t="shared" si="5"/>
        <v>56.6</v>
      </c>
      <c r="O92" s="235">
        <f t="shared" si="5"/>
        <v>65.2</v>
      </c>
    </row>
    <row r="94" spans="2:15">
      <c r="B94" s="173" t="s">
        <v>86</v>
      </c>
    </row>
    <row r="95" spans="2:15">
      <c r="B95" s="173" t="s">
        <v>87</v>
      </c>
    </row>
    <row r="97" spans="2:16">
      <c r="B97" s="153" t="s">
        <v>163</v>
      </c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</row>
    <row r="98" spans="2:16">
      <c r="B98" s="225"/>
      <c r="C98" s="226" t="str">
        <f>Dat_01!B140</f>
        <v>J</v>
      </c>
      <c r="D98" s="226" t="str">
        <f>Dat_01!C140</f>
        <v>J</v>
      </c>
      <c r="E98" s="226" t="str">
        <f>Dat_01!D140</f>
        <v>A</v>
      </c>
      <c r="F98" s="226" t="str">
        <f>Dat_01!E140</f>
        <v>S</v>
      </c>
      <c r="G98" s="226" t="str">
        <f>Dat_01!F140</f>
        <v>O</v>
      </c>
      <c r="H98" s="226" t="str">
        <f>Dat_01!G140</f>
        <v>N</v>
      </c>
      <c r="I98" s="226" t="str">
        <f>Dat_01!H140</f>
        <v>D</v>
      </c>
      <c r="J98" s="226" t="str">
        <f>Dat_01!I140</f>
        <v>E</v>
      </c>
      <c r="K98" s="226" t="str">
        <f>Dat_01!J140</f>
        <v>F</v>
      </c>
      <c r="L98" s="226" t="str">
        <f>Dat_01!K140</f>
        <v>M</v>
      </c>
      <c r="M98" s="226" t="str">
        <f>Dat_01!L140</f>
        <v>A</v>
      </c>
      <c r="N98" s="226" t="str">
        <f>Dat_01!M140</f>
        <v>M</v>
      </c>
      <c r="O98" s="226" t="str">
        <f>Dat_01!N140</f>
        <v>J</v>
      </c>
      <c r="P98" s="227"/>
    </row>
    <row r="99" spans="2:16">
      <c r="B99" s="228" t="s">
        <v>2</v>
      </c>
      <c r="C99" s="229">
        <f>C69</f>
        <v>3717.7821305839998</v>
      </c>
      <c r="D99" s="229">
        <f t="shared" ref="D99:O99" si="6">D69</f>
        <v>3027.0962775859998</v>
      </c>
      <c r="E99" s="229">
        <f t="shared" si="6"/>
        <v>2105.289042892</v>
      </c>
      <c r="F99" s="229">
        <f t="shared" si="6"/>
        <v>1926.4612847620001</v>
      </c>
      <c r="G99" s="229">
        <f t="shared" si="6"/>
        <v>1461.905502328</v>
      </c>
      <c r="H99" s="229">
        <f t="shared" si="6"/>
        <v>2161.351999814</v>
      </c>
      <c r="I99" s="229">
        <f t="shared" si="6"/>
        <v>2485.8744506439998</v>
      </c>
      <c r="J99" s="229">
        <f t="shared" si="6"/>
        <v>2126.6339542559999</v>
      </c>
      <c r="K99" s="229">
        <f t="shared" si="6"/>
        <v>2482.7010685720002</v>
      </c>
      <c r="L99" s="229">
        <f t="shared" si="6"/>
        <v>2131.4241339519999</v>
      </c>
      <c r="M99" s="229">
        <f t="shared" si="6"/>
        <v>1922.9600431880001</v>
      </c>
      <c r="N99" s="229">
        <f t="shared" si="6"/>
        <v>1933.0273067759999</v>
      </c>
      <c r="O99" s="229">
        <f t="shared" si="6"/>
        <v>1625.6452669099999</v>
      </c>
    </row>
    <row r="100" spans="2:16">
      <c r="B100" s="228" t="s">
        <v>83</v>
      </c>
      <c r="C100" s="229">
        <f t="shared" ref="C100:O112" si="7">C70</f>
        <v>58.722846416000003</v>
      </c>
      <c r="D100" s="229">
        <f t="shared" si="7"/>
        <v>35.299306414</v>
      </c>
      <c r="E100" s="229">
        <f t="shared" si="7"/>
        <v>59.999602107999998</v>
      </c>
      <c r="F100" s="229">
        <f t="shared" si="7"/>
        <v>40.026753237999998</v>
      </c>
      <c r="G100" s="229">
        <f t="shared" si="7"/>
        <v>214.991378672</v>
      </c>
      <c r="H100" s="229">
        <f t="shared" si="7"/>
        <v>142.90349618600001</v>
      </c>
      <c r="I100" s="229">
        <f t="shared" si="7"/>
        <v>134.66925335600001</v>
      </c>
      <c r="J100" s="229">
        <f t="shared" si="7"/>
        <v>166.107001744</v>
      </c>
      <c r="K100" s="229">
        <f t="shared" si="7"/>
        <v>188.79902042800001</v>
      </c>
      <c r="L100" s="229">
        <f t="shared" si="7"/>
        <v>189.243035048</v>
      </c>
      <c r="M100" s="229">
        <f t="shared" si="7"/>
        <v>130.29129281199999</v>
      </c>
      <c r="N100" s="229">
        <f t="shared" si="7"/>
        <v>127.53405822400001</v>
      </c>
      <c r="O100" s="229">
        <f t="shared" si="7"/>
        <v>56.646829089999997</v>
      </c>
    </row>
    <row r="101" spans="2:16">
      <c r="B101" s="228" t="s">
        <v>3</v>
      </c>
      <c r="C101" s="229">
        <f t="shared" si="7"/>
        <v>3591.591351</v>
      </c>
      <c r="D101" s="229">
        <f t="shared" si="7"/>
        <v>4471.0236880000002</v>
      </c>
      <c r="E101" s="229">
        <f t="shared" si="7"/>
        <v>5135.7248909999998</v>
      </c>
      <c r="F101" s="229">
        <f t="shared" si="7"/>
        <v>5013.0349210000004</v>
      </c>
      <c r="G101" s="229">
        <f t="shared" si="7"/>
        <v>5150.6718030000002</v>
      </c>
      <c r="H101" s="229">
        <f t="shared" si="7"/>
        <v>3829.983448</v>
      </c>
      <c r="I101" s="229">
        <f t="shared" si="7"/>
        <v>4286.7606750000004</v>
      </c>
      <c r="J101" s="229">
        <f t="shared" si="7"/>
        <v>5041.3669819999996</v>
      </c>
      <c r="K101" s="229">
        <f t="shared" si="7"/>
        <v>4766.7856579999998</v>
      </c>
      <c r="L101" s="229">
        <f t="shared" si="7"/>
        <v>5274.7472820000003</v>
      </c>
      <c r="M101" s="229">
        <f t="shared" si="7"/>
        <v>4621.6629220000004</v>
      </c>
      <c r="N101" s="229">
        <f t="shared" si="7"/>
        <v>3976.917465</v>
      </c>
      <c r="O101" s="229">
        <f t="shared" si="7"/>
        <v>4647.8769560000001</v>
      </c>
    </row>
    <row r="102" spans="2:16">
      <c r="B102" s="228" t="s">
        <v>4</v>
      </c>
      <c r="C102" s="229">
        <f t="shared" si="7"/>
        <v>2273.6253510000001</v>
      </c>
      <c r="D102" s="229">
        <f t="shared" si="7"/>
        <v>3487.5592799999999</v>
      </c>
      <c r="E102" s="229">
        <f t="shared" si="7"/>
        <v>3495.8629919999998</v>
      </c>
      <c r="F102" s="229">
        <f t="shared" si="7"/>
        <v>4104.8401640000002</v>
      </c>
      <c r="G102" s="229">
        <f t="shared" si="7"/>
        <v>3364.3671690000001</v>
      </c>
      <c r="H102" s="229">
        <f t="shared" si="7"/>
        <v>3875.2183620000001</v>
      </c>
      <c r="I102" s="229">
        <f t="shared" si="7"/>
        <v>2845.2639509999999</v>
      </c>
      <c r="J102" s="229">
        <f t="shared" si="7"/>
        <v>3075.0438380000001</v>
      </c>
      <c r="K102" s="229">
        <f t="shared" si="7"/>
        <v>2246.8140950000002</v>
      </c>
      <c r="L102" s="229">
        <f t="shared" si="7"/>
        <v>824.670028</v>
      </c>
      <c r="M102" s="229">
        <f t="shared" si="7"/>
        <v>722.95364099999995</v>
      </c>
      <c r="N102" s="229">
        <f t="shared" si="7"/>
        <v>343.03717999999998</v>
      </c>
      <c r="O102" s="229">
        <f t="shared" si="7"/>
        <v>416.81427100000002</v>
      </c>
    </row>
    <row r="103" spans="2:16">
      <c r="B103" s="228" t="s">
        <v>151</v>
      </c>
      <c r="C103" s="229">
        <f t="shared" si="7"/>
        <v>0</v>
      </c>
      <c r="D103" s="229">
        <f t="shared" si="7"/>
        <v>0</v>
      </c>
      <c r="E103" s="229">
        <f t="shared" si="7"/>
        <v>0</v>
      </c>
      <c r="F103" s="229">
        <f t="shared" si="7"/>
        <v>0</v>
      </c>
      <c r="G103" s="229">
        <f t="shared" si="7"/>
        <v>0</v>
      </c>
      <c r="H103" s="229">
        <f t="shared" si="7"/>
        <v>0</v>
      </c>
      <c r="I103" s="229">
        <f t="shared" si="7"/>
        <v>0</v>
      </c>
      <c r="J103" s="229">
        <f t="shared" si="7"/>
        <v>0</v>
      </c>
      <c r="K103" s="229">
        <f t="shared" si="7"/>
        <v>0</v>
      </c>
      <c r="L103" s="229">
        <f t="shared" si="7"/>
        <v>0</v>
      </c>
      <c r="M103" s="229">
        <f t="shared" si="7"/>
        <v>0</v>
      </c>
      <c r="N103" s="229">
        <f t="shared" si="7"/>
        <v>0</v>
      </c>
      <c r="O103" s="229">
        <f t="shared" si="7"/>
        <v>0</v>
      </c>
    </row>
    <row r="104" spans="2:16">
      <c r="B104" s="228" t="s">
        <v>152</v>
      </c>
      <c r="C104" s="229">
        <f t="shared" si="7"/>
        <v>2180.126706</v>
      </c>
      <c r="D104" s="229">
        <f t="shared" si="7"/>
        <v>2229.279387</v>
      </c>
      <c r="E104" s="229">
        <f t="shared" si="7"/>
        <v>2663.0061409999998</v>
      </c>
      <c r="F104" s="229">
        <f t="shared" si="7"/>
        <v>2148.659568</v>
      </c>
      <c r="G104" s="229">
        <f t="shared" si="7"/>
        <v>2501.819391</v>
      </c>
      <c r="H104" s="229">
        <f t="shared" si="7"/>
        <v>3160.857532</v>
      </c>
      <c r="I104" s="229">
        <f t="shared" si="7"/>
        <v>2896.6909179999998</v>
      </c>
      <c r="J104" s="229">
        <f t="shared" si="7"/>
        <v>3198.741031</v>
      </c>
      <c r="K104" s="229">
        <f t="shared" si="7"/>
        <v>2453.2148360000001</v>
      </c>
      <c r="L104" s="229">
        <f t="shared" si="7"/>
        <v>2129.3124120000002</v>
      </c>
      <c r="M104" s="229">
        <f t="shared" si="7"/>
        <v>2714.2451850000002</v>
      </c>
      <c r="N104" s="229">
        <f t="shared" si="7"/>
        <v>3896.510745</v>
      </c>
      <c r="O104" s="229">
        <f t="shared" si="7"/>
        <v>5107.4552890000004</v>
      </c>
    </row>
    <row r="105" spans="2:16">
      <c r="B105" s="228" t="s">
        <v>5</v>
      </c>
      <c r="C105" s="229">
        <f t="shared" si="7"/>
        <v>2576.1112600000001</v>
      </c>
      <c r="D105" s="229">
        <f t="shared" si="7"/>
        <v>2480.8914359999999</v>
      </c>
      <c r="E105" s="229">
        <f t="shared" si="7"/>
        <v>3067.4116530000001</v>
      </c>
      <c r="F105" s="229">
        <f t="shared" si="7"/>
        <v>2405.7918490000002</v>
      </c>
      <c r="G105" s="229">
        <f t="shared" si="7"/>
        <v>4298.5552319999997</v>
      </c>
      <c r="H105" s="229">
        <f t="shared" si="7"/>
        <v>4525.949721</v>
      </c>
      <c r="I105" s="229">
        <f t="shared" si="7"/>
        <v>4319.0411860000004</v>
      </c>
      <c r="J105" s="229">
        <f t="shared" si="7"/>
        <v>5970.6598999999997</v>
      </c>
      <c r="K105" s="229">
        <f t="shared" si="7"/>
        <v>3646.4345840000001</v>
      </c>
      <c r="L105" s="229">
        <f t="shared" si="7"/>
        <v>4823.4316840000001</v>
      </c>
      <c r="M105" s="229">
        <f t="shared" si="7"/>
        <v>4594.9791249999998</v>
      </c>
      <c r="N105" s="229">
        <f t="shared" si="7"/>
        <v>4580.5968780000003</v>
      </c>
      <c r="O105" s="229">
        <f t="shared" si="7"/>
        <v>3212.2191229999999</v>
      </c>
    </row>
    <row r="106" spans="2:16">
      <c r="B106" s="228" t="s">
        <v>153</v>
      </c>
      <c r="C106" s="229">
        <f t="shared" si="7"/>
        <v>781.41990099999998</v>
      </c>
      <c r="D106" s="229">
        <f t="shared" si="7"/>
        <v>892.45500200000004</v>
      </c>
      <c r="E106" s="229">
        <f t="shared" si="7"/>
        <v>808.18866300000002</v>
      </c>
      <c r="F106" s="229">
        <f t="shared" si="7"/>
        <v>687.70805700000005</v>
      </c>
      <c r="G106" s="229">
        <f t="shared" si="7"/>
        <v>543.564031</v>
      </c>
      <c r="H106" s="229">
        <f t="shared" si="7"/>
        <v>354.028189</v>
      </c>
      <c r="I106" s="229">
        <f t="shared" si="7"/>
        <v>404.07867700000003</v>
      </c>
      <c r="J106" s="229">
        <f t="shared" si="7"/>
        <v>480.728812</v>
      </c>
      <c r="K106" s="229">
        <f t="shared" si="7"/>
        <v>601.892966</v>
      </c>
      <c r="L106" s="229">
        <f t="shared" si="7"/>
        <v>768.80490399999996</v>
      </c>
      <c r="M106" s="229">
        <f t="shared" si="7"/>
        <v>661.66676800000005</v>
      </c>
      <c r="N106" s="229">
        <f t="shared" si="7"/>
        <v>889.528772</v>
      </c>
      <c r="O106" s="229">
        <f t="shared" si="7"/>
        <v>891.40100299999995</v>
      </c>
    </row>
    <row r="107" spans="2:16">
      <c r="B107" s="228" t="s">
        <v>154</v>
      </c>
      <c r="C107" s="229">
        <f t="shared" si="7"/>
        <v>551.29260299999999</v>
      </c>
      <c r="D107" s="229">
        <f t="shared" si="7"/>
        <v>858.89832999999999</v>
      </c>
      <c r="E107" s="229">
        <f t="shared" si="7"/>
        <v>688.557997</v>
      </c>
      <c r="F107" s="229">
        <f t="shared" si="7"/>
        <v>465.63698499999998</v>
      </c>
      <c r="G107" s="229">
        <f t="shared" si="7"/>
        <v>292.49343099999999</v>
      </c>
      <c r="H107" s="229">
        <f t="shared" si="7"/>
        <v>78.576116999999996</v>
      </c>
      <c r="I107" s="229">
        <f t="shared" si="7"/>
        <v>109.57487399999999</v>
      </c>
      <c r="J107" s="229">
        <f t="shared" si="7"/>
        <v>166.15012899999999</v>
      </c>
      <c r="K107" s="229">
        <f t="shared" si="7"/>
        <v>261.97860300000002</v>
      </c>
      <c r="L107" s="229">
        <f t="shared" si="7"/>
        <v>477.92322799999999</v>
      </c>
      <c r="M107" s="229">
        <f t="shared" si="7"/>
        <v>379.26881700000001</v>
      </c>
      <c r="N107" s="229">
        <f t="shared" si="7"/>
        <v>740.99772700000005</v>
      </c>
      <c r="O107" s="229">
        <f t="shared" si="7"/>
        <v>775.05758100000003</v>
      </c>
    </row>
    <row r="108" spans="2:16">
      <c r="B108" s="228" t="s">
        <v>9</v>
      </c>
      <c r="C108" s="229">
        <f t="shared" si="7"/>
        <v>2403.6677800000002</v>
      </c>
      <c r="D108" s="229">
        <f t="shared" si="7"/>
        <v>2436.601287</v>
      </c>
      <c r="E108" s="229">
        <f t="shared" si="7"/>
        <v>2361.294789</v>
      </c>
      <c r="F108" s="229">
        <f t="shared" si="7"/>
        <v>2408.3039490000001</v>
      </c>
      <c r="G108" s="229">
        <f t="shared" si="7"/>
        <v>2520.0659270000001</v>
      </c>
      <c r="H108" s="229">
        <f t="shared" si="7"/>
        <v>2472.0083749999999</v>
      </c>
      <c r="I108" s="229">
        <f t="shared" si="7"/>
        <v>2529.9647150000001</v>
      </c>
      <c r="J108" s="229">
        <f t="shared" si="7"/>
        <v>2656.3842519999998</v>
      </c>
      <c r="K108" s="229">
        <f t="shared" si="7"/>
        <v>2391.1858710000001</v>
      </c>
      <c r="L108" s="229">
        <f t="shared" si="7"/>
        <v>2588.9622680000002</v>
      </c>
      <c r="M108" s="229">
        <f t="shared" si="7"/>
        <v>2488.363464</v>
      </c>
      <c r="N108" s="229">
        <f t="shared" si="7"/>
        <v>2544.1971939999999</v>
      </c>
      <c r="O108" s="229">
        <f t="shared" si="7"/>
        <v>2417.8764569999998</v>
      </c>
    </row>
    <row r="109" spans="2:16">
      <c r="B109" s="228" t="s">
        <v>155</v>
      </c>
      <c r="C109" s="229">
        <f t="shared" si="7"/>
        <v>175.41279499999999</v>
      </c>
      <c r="D109" s="229">
        <f t="shared" si="7"/>
        <v>199.57543200000001</v>
      </c>
      <c r="E109" s="229">
        <f t="shared" si="7"/>
        <v>194.6585925</v>
      </c>
      <c r="F109" s="229">
        <f t="shared" si="7"/>
        <v>189.02059499999999</v>
      </c>
      <c r="G109" s="229">
        <f t="shared" si="7"/>
        <v>201.64528799999999</v>
      </c>
      <c r="H109" s="229">
        <f t="shared" si="7"/>
        <v>191.94905</v>
      </c>
      <c r="I109" s="229">
        <f t="shared" si="7"/>
        <v>190.76081500000001</v>
      </c>
      <c r="J109" s="229">
        <f t="shared" si="7"/>
        <v>196.595054</v>
      </c>
      <c r="K109" s="229">
        <f t="shared" si="7"/>
        <v>180.749244</v>
      </c>
      <c r="L109" s="229">
        <f t="shared" si="7"/>
        <v>200.77886749999999</v>
      </c>
      <c r="M109" s="229">
        <f t="shared" si="7"/>
        <v>175.342614</v>
      </c>
      <c r="N109" s="229">
        <f t="shared" si="7"/>
        <v>154.68218999999999</v>
      </c>
      <c r="O109" s="229">
        <f t="shared" si="7"/>
        <v>156.89686950000001</v>
      </c>
    </row>
    <row r="110" spans="2:16">
      <c r="B110" s="228" t="s">
        <v>156</v>
      </c>
      <c r="C110" s="229">
        <f t="shared" si="7"/>
        <v>50.806421</v>
      </c>
      <c r="D110" s="229">
        <f t="shared" si="7"/>
        <v>64.813796999999994</v>
      </c>
      <c r="E110" s="229">
        <f t="shared" si="7"/>
        <v>65.755174499999995</v>
      </c>
      <c r="F110" s="229">
        <f t="shared" si="7"/>
        <v>64.739834999999999</v>
      </c>
      <c r="G110" s="229">
        <f t="shared" si="7"/>
        <v>66.706254000000001</v>
      </c>
      <c r="H110" s="229">
        <f t="shared" si="7"/>
        <v>61.593868999999998</v>
      </c>
      <c r="I110" s="229">
        <f t="shared" si="7"/>
        <v>69.912847999999997</v>
      </c>
      <c r="J110" s="229">
        <f t="shared" si="7"/>
        <v>63.503646000000003</v>
      </c>
      <c r="K110" s="229">
        <f t="shared" si="7"/>
        <v>61.891773000000001</v>
      </c>
      <c r="L110" s="229">
        <f t="shared" si="7"/>
        <v>67.359962499999995</v>
      </c>
      <c r="M110" s="229">
        <f t="shared" si="7"/>
        <v>64.179035999999996</v>
      </c>
      <c r="N110" s="229">
        <f t="shared" si="7"/>
        <v>36.450611000000002</v>
      </c>
      <c r="O110" s="229">
        <f t="shared" si="7"/>
        <v>62.621202500000003</v>
      </c>
    </row>
    <row r="111" spans="2:16">
      <c r="B111" s="228" t="s">
        <v>157</v>
      </c>
      <c r="C111" s="229">
        <f t="shared" si="7"/>
        <v>304.160034</v>
      </c>
      <c r="D111" s="229">
        <f t="shared" si="7"/>
        <v>323.41282999999999</v>
      </c>
      <c r="E111" s="229">
        <f t="shared" si="7"/>
        <v>316.53357699999998</v>
      </c>
      <c r="F111" s="229">
        <f t="shared" si="7"/>
        <v>319.41097300000001</v>
      </c>
      <c r="G111" s="229">
        <f t="shared" si="7"/>
        <v>296.78157199999998</v>
      </c>
      <c r="H111" s="229">
        <f t="shared" si="7"/>
        <v>292.56813</v>
      </c>
      <c r="I111" s="229">
        <f t="shared" si="7"/>
        <v>299.14763599999998</v>
      </c>
      <c r="J111" s="229">
        <f t="shared" si="7"/>
        <v>303.393978</v>
      </c>
      <c r="K111" s="229">
        <f t="shared" si="7"/>
        <v>284.70844699999998</v>
      </c>
      <c r="L111" s="229">
        <f t="shared" si="7"/>
        <v>309.30230799999998</v>
      </c>
      <c r="M111" s="229">
        <f t="shared" si="7"/>
        <v>273.97149899999999</v>
      </c>
      <c r="N111" s="229">
        <f t="shared" si="7"/>
        <v>282.06007699999998</v>
      </c>
      <c r="O111" s="229">
        <f t="shared" si="7"/>
        <v>285.58842199999998</v>
      </c>
    </row>
    <row r="112" spans="2:16">
      <c r="B112" s="228" t="s">
        <v>158</v>
      </c>
      <c r="C112" s="229">
        <f t="shared" si="7"/>
        <v>18664.719179000003</v>
      </c>
      <c r="D112" s="229">
        <f t="shared" si="7"/>
        <v>20506.906053000002</v>
      </c>
      <c r="E112" s="229">
        <f t="shared" si="7"/>
        <v>20962.283114999998</v>
      </c>
      <c r="F112" s="229">
        <f t="shared" si="7"/>
        <v>19773.634934000009</v>
      </c>
      <c r="G112" s="229">
        <f t="shared" si="7"/>
        <v>20913.566978999999</v>
      </c>
      <c r="H112" s="229">
        <f t="shared" si="7"/>
        <v>21146.988289000001</v>
      </c>
      <c r="I112" s="229">
        <f t="shared" si="7"/>
        <v>20571.739999000005</v>
      </c>
      <c r="J112" s="229">
        <f t="shared" si="7"/>
        <v>23445.308578000004</v>
      </c>
      <c r="K112" s="229">
        <f t="shared" si="7"/>
        <v>19567.156166000001</v>
      </c>
      <c r="L112" s="229">
        <f t="shared" si="7"/>
        <v>19785.960112999997</v>
      </c>
      <c r="M112" s="229">
        <f t="shared" si="7"/>
        <v>18749.884407000005</v>
      </c>
      <c r="N112" s="229">
        <f t="shared" si="7"/>
        <v>19505.540204000001</v>
      </c>
      <c r="O112" s="229">
        <f t="shared" si="7"/>
        <v>19656.099269999999</v>
      </c>
    </row>
    <row r="113" spans="2:18">
      <c r="B113" s="228" t="s">
        <v>159</v>
      </c>
      <c r="C113" s="229"/>
      <c r="D113" s="229"/>
      <c r="E113" s="229"/>
      <c r="F113" s="229"/>
      <c r="G113" s="229"/>
      <c r="H113" s="229"/>
      <c r="I113" s="229"/>
      <c r="J113" s="229"/>
      <c r="K113" s="229"/>
      <c r="L113" s="229"/>
      <c r="M113" s="229"/>
      <c r="N113" s="229"/>
      <c r="O113" s="229"/>
    </row>
    <row r="114" spans="2:18">
      <c r="B114" s="228" t="s">
        <v>160</v>
      </c>
      <c r="C114" s="229"/>
      <c r="D114" s="229"/>
      <c r="E114" s="229"/>
      <c r="F114" s="229"/>
      <c r="G114" s="229"/>
      <c r="H114" s="229"/>
      <c r="I114" s="229"/>
      <c r="J114" s="229"/>
      <c r="K114" s="229"/>
      <c r="L114" s="229"/>
      <c r="M114" s="229"/>
      <c r="N114" s="229"/>
      <c r="O114" s="229"/>
    </row>
    <row r="115" spans="2:18">
      <c r="B115" s="228" t="s">
        <v>161</v>
      </c>
      <c r="C115" s="229"/>
      <c r="D115" s="229"/>
      <c r="E115" s="229"/>
      <c r="F115" s="229"/>
      <c r="G115" s="229"/>
      <c r="H115" s="229"/>
      <c r="I115" s="229"/>
      <c r="J115" s="229"/>
      <c r="K115" s="229"/>
      <c r="L115" s="229"/>
      <c r="M115" s="229"/>
      <c r="N115" s="229"/>
      <c r="O115" s="229"/>
    </row>
    <row r="116" spans="2:18">
      <c r="B116" s="230" t="s">
        <v>162</v>
      </c>
      <c r="C116" s="231"/>
      <c r="D116" s="231"/>
      <c r="E116" s="231"/>
      <c r="F116" s="231"/>
      <c r="G116" s="231"/>
      <c r="H116" s="231"/>
      <c r="I116" s="231"/>
      <c r="J116" s="231"/>
      <c r="K116" s="231"/>
      <c r="L116" s="231"/>
      <c r="M116" s="231"/>
      <c r="N116" s="231"/>
      <c r="O116" s="231"/>
    </row>
    <row r="118" spans="2:18">
      <c r="B118" s="232" t="s">
        <v>19</v>
      </c>
      <c r="C118" s="233">
        <f>SUM(C99:C101,C105:C107,C110:C111)</f>
        <v>11631.886546999998</v>
      </c>
      <c r="D118" s="233">
        <f t="shared" ref="D118:O118" si="8">SUM(D99:D101,D105:D107,D110:D111)</f>
        <v>12153.890667000001</v>
      </c>
      <c r="E118" s="233">
        <f t="shared" si="8"/>
        <v>12247.460600500002</v>
      </c>
      <c r="F118" s="233">
        <f t="shared" si="8"/>
        <v>10922.810658</v>
      </c>
      <c r="G118" s="233">
        <f t="shared" si="8"/>
        <v>12325.669204000002</v>
      </c>
      <c r="H118" s="233">
        <f t="shared" si="8"/>
        <v>11446.954970000003</v>
      </c>
      <c r="I118" s="233">
        <f t="shared" si="8"/>
        <v>12109.059599999999</v>
      </c>
      <c r="J118" s="233">
        <f t="shared" si="8"/>
        <v>14318.544402999998</v>
      </c>
      <c r="K118" s="233">
        <f t="shared" si="8"/>
        <v>12295.19212</v>
      </c>
      <c r="L118" s="233">
        <f t="shared" si="8"/>
        <v>14042.236537500001</v>
      </c>
      <c r="M118" s="233">
        <f t="shared" si="8"/>
        <v>12648.979503</v>
      </c>
      <c r="N118" s="233">
        <f t="shared" si="8"/>
        <v>12567.112895</v>
      </c>
      <c r="O118" s="233">
        <f t="shared" si="8"/>
        <v>11557.056383500001</v>
      </c>
    </row>
    <row r="119" spans="2:18">
      <c r="B119" s="230" t="s">
        <v>20</v>
      </c>
      <c r="C119" s="231">
        <f>SUM(C102:C104,C108:C109)</f>
        <v>7032.8326319999996</v>
      </c>
      <c r="D119" s="231">
        <f t="shared" ref="D119:O119" si="9">SUM(D102:D104,D108:D109)</f>
        <v>8353.0153859999991</v>
      </c>
      <c r="E119" s="231">
        <f t="shared" si="9"/>
        <v>8714.8225144999997</v>
      </c>
      <c r="F119" s="231">
        <f t="shared" si="9"/>
        <v>8850.8242760000012</v>
      </c>
      <c r="G119" s="231">
        <f t="shared" si="9"/>
        <v>8587.8977749999995</v>
      </c>
      <c r="H119" s="231">
        <f t="shared" si="9"/>
        <v>9700.0333189999983</v>
      </c>
      <c r="I119" s="231">
        <f t="shared" si="9"/>
        <v>8462.6803989999989</v>
      </c>
      <c r="J119" s="231">
        <f t="shared" si="9"/>
        <v>9126.7641749999984</v>
      </c>
      <c r="K119" s="231">
        <f t="shared" si="9"/>
        <v>7271.9640460000001</v>
      </c>
      <c r="L119" s="231">
        <f t="shared" si="9"/>
        <v>5743.7235755000011</v>
      </c>
      <c r="M119" s="231">
        <f t="shared" si="9"/>
        <v>6100.904904</v>
      </c>
      <c r="N119" s="231">
        <f t="shared" si="9"/>
        <v>6938.4273089999988</v>
      </c>
      <c r="O119" s="231">
        <f t="shared" si="9"/>
        <v>8099.0428865000013</v>
      </c>
      <c r="R119" s="236"/>
    </row>
    <row r="121" spans="2:18">
      <c r="B121" s="232" t="s">
        <v>164</v>
      </c>
      <c r="C121" s="234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62.300000000000004</v>
      </c>
      <c r="D121" s="234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59.4</v>
      </c>
      <c r="E121" s="234">
        <f t="shared" si="10"/>
        <v>58.399999999999991</v>
      </c>
      <c r="F121" s="234">
        <f t="shared" si="10"/>
        <v>55.3</v>
      </c>
      <c r="G121" s="234">
        <f t="shared" si="10"/>
        <v>58.9</v>
      </c>
      <c r="H121" s="234">
        <f t="shared" si="10"/>
        <v>54.199999999999996</v>
      </c>
      <c r="I121" s="234">
        <f t="shared" si="10"/>
        <v>58.9</v>
      </c>
      <c r="J121" s="234">
        <f t="shared" si="10"/>
        <v>61.199999999999996</v>
      </c>
      <c r="K121" s="234">
        <f t="shared" si="10"/>
        <v>62.899999999999991</v>
      </c>
      <c r="L121" s="234">
        <f t="shared" si="10"/>
        <v>71.099999999999994</v>
      </c>
      <c r="M121" s="234">
        <f t="shared" si="10"/>
        <v>67.399999999999991</v>
      </c>
      <c r="N121" s="234">
        <f t="shared" si="10"/>
        <v>64.5</v>
      </c>
      <c r="O121" s="234">
        <f t="shared" si="10"/>
        <v>58.699999999999996</v>
      </c>
    </row>
    <row r="122" spans="2:18">
      <c r="B122" s="230" t="s">
        <v>165</v>
      </c>
      <c r="C122" s="235">
        <f t="shared" ref="C122" si="11">100-C121</f>
        <v>37.699999999999996</v>
      </c>
      <c r="D122" s="235">
        <f t="shared" ref="D122:O122" si="12">100-D121</f>
        <v>40.6</v>
      </c>
      <c r="E122" s="235">
        <f t="shared" si="12"/>
        <v>41.600000000000009</v>
      </c>
      <c r="F122" s="235">
        <f t="shared" si="12"/>
        <v>44.7</v>
      </c>
      <c r="G122" s="235">
        <f t="shared" si="12"/>
        <v>41.1</v>
      </c>
      <c r="H122" s="235">
        <f t="shared" si="12"/>
        <v>45.800000000000004</v>
      </c>
      <c r="I122" s="235">
        <f t="shared" si="12"/>
        <v>41.1</v>
      </c>
      <c r="J122" s="235">
        <f t="shared" si="12"/>
        <v>38.800000000000004</v>
      </c>
      <c r="K122" s="235">
        <f t="shared" si="12"/>
        <v>37.100000000000009</v>
      </c>
      <c r="L122" s="235">
        <f t="shared" si="12"/>
        <v>28.900000000000006</v>
      </c>
      <c r="M122" s="235">
        <f t="shared" si="12"/>
        <v>32.600000000000009</v>
      </c>
      <c r="N122" s="235">
        <f t="shared" si="12"/>
        <v>35.5</v>
      </c>
      <c r="O122" s="235">
        <f t="shared" si="12"/>
        <v>41.300000000000004</v>
      </c>
    </row>
    <row r="124" spans="2:18">
      <c r="B124" s="153" t="s">
        <v>166</v>
      </c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  <c r="O124" s="237"/>
    </row>
    <row r="125" spans="2:18">
      <c r="B125" s="225"/>
      <c r="C125" s="226" t="str">
        <f>Dat_01!B140</f>
        <v>J</v>
      </c>
      <c r="D125" s="226" t="str">
        <f>Dat_01!C140</f>
        <v>J</v>
      </c>
      <c r="E125" s="226" t="str">
        <f>Dat_01!D140</f>
        <v>A</v>
      </c>
      <c r="F125" s="226" t="str">
        <f>Dat_01!E140</f>
        <v>S</v>
      </c>
      <c r="G125" s="226" t="str">
        <f>Dat_01!F140</f>
        <v>O</v>
      </c>
      <c r="H125" s="226" t="str">
        <f>Dat_01!G140</f>
        <v>N</v>
      </c>
      <c r="I125" s="226" t="str">
        <f>Dat_01!H140</f>
        <v>D</v>
      </c>
      <c r="J125" s="226" t="str">
        <f>Dat_01!I140</f>
        <v>E</v>
      </c>
      <c r="K125" s="226" t="str">
        <f>Dat_01!J140</f>
        <v>F</v>
      </c>
      <c r="L125" s="226" t="str">
        <f>Dat_01!K140</f>
        <v>M</v>
      </c>
      <c r="M125" s="226" t="str">
        <f>Dat_01!L140</f>
        <v>A</v>
      </c>
      <c r="N125" s="226" t="str">
        <f>Dat_01!M140</f>
        <v>M</v>
      </c>
      <c r="O125" s="226" t="str">
        <f>Dat_01!N140</f>
        <v>J</v>
      </c>
    </row>
    <row r="126" spans="2:18">
      <c r="B126" s="228" t="s">
        <v>2</v>
      </c>
      <c r="C126" s="229">
        <f>C69</f>
        <v>3717.7821305839998</v>
      </c>
      <c r="D126" s="229">
        <f t="shared" ref="D126:O126" si="13">D69</f>
        <v>3027.0962775859998</v>
      </c>
      <c r="E126" s="229">
        <f t="shared" si="13"/>
        <v>2105.289042892</v>
      </c>
      <c r="F126" s="229">
        <f t="shared" si="13"/>
        <v>1926.4612847620001</v>
      </c>
      <c r="G126" s="229">
        <f t="shared" si="13"/>
        <v>1461.905502328</v>
      </c>
      <c r="H126" s="229">
        <f t="shared" si="13"/>
        <v>2161.351999814</v>
      </c>
      <c r="I126" s="229">
        <f t="shared" si="13"/>
        <v>2485.8744506439998</v>
      </c>
      <c r="J126" s="229">
        <f t="shared" si="13"/>
        <v>2126.6339542559999</v>
      </c>
      <c r="K126" s="229">
        <f t="shared" si="13"/>
        <v>2482.7010685720002</v>
      </c>
      <c r="L126" s="229">
        <f t="shared" si="13"/>
        <v>2131.4241339519999</v>
      </c>
      <c r="M126" s="229">
        <f t="shared" si="13"/>
        <v>1922.9600431880001</v>
      </c>
      <c r="N126" s="229">
        <f t="shared" si="13"/>
        <v>1933.0273067759999</v>
      </c>
      <c r="O126" s="229">
        <f t="shared" si="13"/>
        <v>1625.6452669099999</v>
      </c>
      <c r="P126" s="238"/>
    </row>
    <row r="127" spans="2:18">
      <c r="B127" s="228" t="s">
        <v>83</v>
      </c>
      <c r="C127" s="229">
        <f t="shared" ref="C127:O139" si="14">C70</f>
        <v>58.722846416000003</v>
      </c>
      <c r="D127" s="229">
        <f t="shared" si="14"/>
        <v>35.299306414</v>
      </c>
      <c r="E127" s="229">
        <f t="shared" si="14"/>
        <v>59.999602107999998</v>
      </c>
      <c r="F127" s="229">
        <f t="shared" si="14"/>
        <v>40.026753237999998</v>
      </c>
      <c r="G127" s="229">
        <f t="shared" si="14"/>
        <v>214.991378672</v>
      </c>
      <c r="H127" s="229">
        <f t="shared" si="14"/>
        <v>142.90349618600001</v>
      </c>
      <c r="I127" s="229">
        <f t="shared" si="14"/>
        <v>134.66925335600001</v>
      </c>
      <c r="J127" s="229">
        <f t="shared" si="14"/>
        <v>166.107001744</v>
      </c>
      <c r="K127" s="229">
        <f t="shared" si="14"/>
        <v>188.79902042800001</v>
      </c>
      <c r="L127" s="229">
        <f t="shared" si="14"/>
        <v>189.243035048</v>
      </c>
      <c r="M127" s="229">
        <f t="shared" si="14"/>
        <v>130.29129281199999</v>
      </c>
      <c r="N127" s="229">
        <f t="shared" si="14"/>
        <v>127.53405822400001</v>
      </c>
      <c r="O127" s="229">
        <f t="shared" si="14"/>
        <v>56.646829089999997</v>
      </c>
    </row>
    <row r="128" spans="2:18">
      <c r="B128" s="228" t="s">
        <v>3</v>
      </c>
      <c r="C128" s="229">
        <f t="shared" si="14"/>
        <v>3591.591351</v>
      </c>
      <c r="D128" s="229">
        <f t="shared" si="14"/>
        <v>4471.0236880000002</v>
      </c>
      <c r="E128" s="229">
        <f t="shared" si="14"/>
        <v>5135.7248909999998</v>
      </c>
      <c r="F128" s="229">
        <f t="shared" si="14"/>
        <v>5013.0349210000004</v>
      </c>
      <c r="G128" s="229">
        <f t="shared" si="14"/>
        <v>5150.6718030000002</v>
      </c>
      <c r="H128" s="229">
        <f t="shared" si="14"/>
        <v>3829.983448</v>
      </c>
      <c r="I128" s="229">
        <f t="shared" si="14"/>
        <v>4286.7606750000004</v>
      </c>
      <c r="J128" s="229">
        <f t="shared" si="14"/>
        <v>5041.3669819999996</v>
      </c>
      <c r="K128" s="229">
        <f t="shared" si="14"/>
        <v>4766.7856579999998</v>
      </c>
      <c r="L128" s="229">
        <f t="shared" si="14"/>
        <v>5274.7472820000003</v>
      </c>
      <c r="M128" s="229">
        <f t="shared" si="14"/>
        <v>4621.6629220000004</v>
      </c>
      <c r="N128" s="229">
        <f t="shared" si="14"/>
        <v>3976.917465</v>
      </c>
      <c r="O128" s="229">
        <f t="shared" si="14"/>
        <v>4647.8769560000001</v>
      </c>
    </row>
    <row r="129" spans="2:15">
      <c r="B129" s="228" t="s">
        <v>4</v>
      </c>
      <c r="C129" s="229">
        <f t="shared" si="14"/>
        <v>2273.6253510000001</v>
      </c>
      <c r="D129" s="229">
        <f t="shared" si="14"/>
        <v>3487.5592799999999</v>
      </c>
      <c r="E129" s="229">
        <f t="shared" si="14"/>
        <v>3495.8629919999998</v>
      </c>
      <c r="F129" s="229">
        <f t="shared" si="14"/>
        <v>4104.8401640000002</v>
      </c>
      <c r="G129" s="229">
        <f t="shared" si="14"/>
        <v>3364.3671690000001</v>
      </c>
      <c r="H129" s="229">
        <f t="shared" si="14"/>
        <v>3875.2183620000001</v>
      </c>
      <c r="I129" s="229">
        <f t="shared" si="14"/>
        <v>2845.2639509999999</v>
      </c>
      <c r="J129" s="229">
        <f t="shared" si="14"/>
        <v>3075.0438380000001</v>
      </c>
      <c r="K129" s="229">
        <f t="shared" si="14"/>
        <v>2246.8140950000002</v>
      </c>
      <c r="L129" s="229">
        <f t="shared" si="14"/>
        <v>824.670028</v>
      </c>
      <c r="M129" s="229">
        <f t="shared" si="14"/>
        <v>722.95364099999995</v>
      </c>
      <c r="N129" s="229">
        <f t="shared" si="14"/>
        <v>343.03717999999998</v>
      </c>
      <c r="O129" s="229">
        <f t="shared" si="14"/>
        <v>416.81427100000002</v>
      </c>
    </row>
    <row r="130" spans="2:15">
      <c r="B130" s="228" t="s">
        <v>151</v>
      </c>
      <c r="C130" s="229">
        <f t="shared" si="14"/>
        <v>0</v>
      </c>
      <c r="D130" s="229">
        <f t="shared" si="14"/>
        <v>0</v>
      </c>
      <c r="E130" s="229">
        <f t="shared" si="14"/>
        <v>0</v>
      </c>
      <c r="F130" s="229">
        <f t="shared" si="14"/>
        <v>0</v>
      </c>
      <c r="G130" s="229">
        <f t="shared" si="14"/>
        <v>0</v>
      </c>
      <c r="H130" s="229">
        <f t="shared" si="14"/>
        <v>0</v>
      </c>
      <c r="I130" s="229">
        <f t="shared" si="14"/>
        <v>0</v>
      </c>
      <c r="J130" s="229">
        <f t="shared" si="14"/>
        <v>0</v>
      </c>
      <c r="K130" s="229">
        <f t="shared" si="14"/>
        <v>0</v>
      </c>
      <c r="L130" s="229">
        <f t="shared" si="14"/>
        <v>0</v>
      </c>
      <c r="M130" s="229">
        <f t="shared" si="14"/>
        <v>0</v>
      </c>
      <c r="N130" s="229">
        <f t="shared" si="14"/>
        <v>0</v>
      </c>
      <c r="O130" s="229">
        <f t="shared" si="14"/>
        <v>0</v>
      </c>
    </row>
    <row r="131" spans="2:15">
      <c r="B131" s="228" t="s">
        <v>152</v>
      </c>
      <c r="C131" s="229">
        <f t="shared" si="14"/>
        <v>2180.126706</v>
      </c>
      <c r="D131" s="229">
        <f t="shared" si="14"/>
        <v>2229.279387</v>
      </c>
      <c r="E131" s="229">
        <f t="shared" si="14"/>
        <v>2663.0061409999998</v>
      </c>
      <c r="F131" s="229">
        <f t="shared" si="14"/>
        <v>2148.659568</v>
      </c>
      <c r="G131" s="229">
        <f t="shared" si="14"/>
        <v>2501.819391</v>
      </c>
      <c r="H131" s="229">
        <f t="shared" si="14"/>
        <v>3160.857532</v>
      </c>
      <c r="I131" s="229">
        <f t="shared" si="14"/>
        <v>2896.6909179999998</v>
      </c>
      <c r="J131" s="229">
        <f t="shared" si="14"/>
        <v>3198.741031</v>
      </c>
      <c r="K131" s="229">
        <f t="shared" si="14"/>
        <v>2453.2148360000001</v>
      </c>
      <c r="L131" s="229">
        <f t="shared" si="14"/>
        <v>2129.3124120000002</v>
      </c>
      <c r="M131" s="229">
        <f t="shared" si="14"/>
        <v>2714.2451850000002</v>
      </c>
      <c r="N131" s="229">
        <f t="shared" si="14"/>
        <v>3896.510745</v>
      </c>
      <c r="O131" s="229">
        <f t="shared" si="14"/>
        <v>5107.4552890000004</v>
      </c>
    </row>
    <row r="132" spans="2:15">
      <c r="B132" s="228" t="s">
        <v>5</v>
      </c>
      <c r="C132" s="229">
        <f t="shared" si="14"/>
        <v>2576.1112600000001</v>
      </c>
      <c r="D132" s="229">
        <f t="shared" si="14"/>
        <v>2480.8914359999999</v>
      </c>
      <c r="E132" s="229">
        <f t="shared" si="14"/>
        <v>3067.4116530000001</v>
      </c>
      <c r="F132" s="229">
        <f t="shared" si="14"/>
        <v>2405.7918490000002</v>
      </c>
      <c r="G132" s="229">
        <f t="shared" si="14"/>
        <v>4298.5552319999997</v>
      </c>
      <c r="H132" s="229">
        <f t="shared" si="14"/>
        <v>4525.949721</v>
      </c>
      <c r="I132" s="229">
        <f t="shared" si="14"/>
        <v>4319.0411860000004</v>
      </c>
      <c r="J132" s="229">
        <f t="shared" si="14"/>
        <v>5970.6598999999997</v>
      </c>
      <c r="K132" s="229">
        <f t="shared" si="14"/>
        <v>3646.4345840000001</v>
      </c>
      <c r="L132" s="229">
        <f t="shared" si="14"/>
        <v>4823.4316840000001</v>
      </c>
      <c r="M132" s="229">
        <f t="shared" si="14"/>
        <v>4594.9791249999998</v>
      </c>
      <c r="N132" s="229">
        <f t="shared" si="14"/>
        <v>4580.5968780000003</v>
      </c>
      <c r="O132" s="229">
        <f t="shared" si="14"/>
        <v>3212.2191229999999</v>
      </c>
    </row>
    <row r="133" spans="2:15">
      <c r="B133" s="228" t="s">
        <v>153</v>
      </c>
      <c r="C133" s="229">
        <f t="shared" si="14"/>
        <v>781.41990099999998</v>
      </c>
      <c r="D133" s="229">
        <f t="shared" si="14"/>
        <v>892.45500200000004</v>
      </c>
      <c r="E133" s="229">
        <f t="shared" si="14"/>
        <v>808.18866300000002</v>
      </c>
      <c r="F133" s="229">
        <f t="shared" si="14"/>
        <v>687.70805700000005</v>
      </c>
      <c r="G133" s="229">
        <f t="shared" si="14"/>
        <v>543.564031</v>
      </c>
      <c r="H133" s="229">
        <f t="shared" si="14"/>
        <v>354.028189</v>
      </c>
      <c r="I133" s="229">
        <f t="shared" si="14"/>
        <v>404.07867700000003</v>
      </c>
      <c r="J133" s="229">
        <f t="shared" si="14"/>
        <v>480.728812</v>
      </c>
      <c r="K133" s="229">
        <f t="shared" si="14"/>
        <v>601.892966</v>
      </c>
      <c r="L133" s="229">
        <f t="shared" si="14"/>
        <v>768.80490399999996</v>
      </c>
      <c r="M133" s="229">
        <f t="shared" si="14"/>
        <v>661.66676800000005</v>
      </c>
      <c r="N133" s="229">
        <f t="shared" si="14"/>
        <v>889.528772</v>
      </c>
      <c r="O133" s="229">
        <f t="shared" si="14"/>
        <v>891.40100299999995</v>
      </c>
    </row>
    <row r="134" spans="2:15">
      <c r="B134" s="228" t="s">
        <v>154</v>
      </c>
      <c r="C134" s="229">
        <f t="shared" si="14"/>
        <v>551.29260299999999</v>
      </c>
      <c r="D134" s="229">
        <f t="shared" si="14"/>
        <v>858.89832999999999</v>
      </c>
      <c r="E134" s="229">
        <f t="shared" si="14"/>
        <v>688.557997</v>
      </c>
      <c r="F134" s="229">
        <f t="shared" si="14"/>
        <v>465.63698499999998</v>
      </c>
      <c r="G134" s="229">
        <f t="shared" si="14"/>
        <v>292.49343099999999</v>
      </c>
      <c r="H134" s="229">
        <f t="shared" si="14"/>
        <v>78.576116999999996</v>
      </c>
      <c r="I134" s="229">
        <f t="shared" si="14"/>
        <v>109.57487399999999</v>
      </c>
      <c r="J134" s="229">
        <f t="shared" si="14"/>
        <v>166.15012899999999</v>
      </c>
      <c r="K134" s="229">
        <f t="shared" si="14"/>
        <v>261.97860300000002</v>
      </c>
      <c r="L134" s="229">
        <f t="shared" si="14"/>
        <v>477.92322799999999</v>
      </c>
      <c r="M134" s="229">
        <f t="shared" si="14"/>
        <v>379.26881700000001</v>
      </c>
      <c r="N134" s="229">
        <f t="shared" si="14"/>
        <v>740.99772700000005</v>
      </c>
      <c r="O134" s="229">
        <f t="shared" si="14"/>
        <v>775.05758100000003</v>
      </c>
    </row>
    <row r="135" spans="2:15">
      <c r="B135" s="228" t="s">
        <v>9</v>
      </c>
      <c r="C135" s="229">
        <f t="shared" si="14"/>
        <v>2403.6677800000002</v>
      </c>
      <c r="D135" s="229">
        <f t="shared" si="14"/>
        <v>2436.601287</v>
      </c>
      <c r="E135" s="229">
        <f t="shared" si="14"/>
        <v>2361.294789</v>
      </c>
      <c r="F135" s="229">
        <f t="shared" si="14"/>
        <v>2408.3039490000001</v>
      </c>
      <c r="G135" s="229">
        <f t="shared" si="14"/>
        <v>2520.0659270000001</v>
      </c>
      <c r="H135" s="229">
        <f t="shared" si="14"/>
        <v>2472.0083749999999</v>
      </c>
      <c r="I135" s="229">
        <f t="shared" si="14"/>
        <v>2529.9647150000001</v>
      </c>
      <c r="J135" s="229">
        <f t="shared" si="14"/>
        <v>2656.3842519999998</v>
      </c>
      <c r="K135" s="229">
        <f t="shared" si="14"/>
        <v>2391.1858710000001</v>
      </c>
      <c r="L135" s="229">
        <f t="shared" si="14"/>
        <v>2588.9622680000002</v>
      </c>
      <c r="M135" s="229">
        <f t="shared" si="14"/>
        <v>2488.363464</v>
      </c>
      <c r="N135" s="229">
        <f t="shared" si="14"/>
        <v>2544.1971939999999</v>
      </c>
      <c r="O135" s="229">
        <f t="shared" si="14"/>
        <v>2417.8764569999998</v>
      </c>
    </row>
    <row r="136" spans="2:15">
      <c r="B136" s="228" t="s">
        <v>155</v>
      </c>
      <c r="C136" s="229">
        <f t="shared" si="14"/>
        <v>175.41279499999999</v>
      </c>
      <c r="D136" s="229">
        <f t="shared" si="14"/>
        <v>199.57543200000001</v>
      </c>
      <c r="E136" s="229">
        <f t="shared" si="14"/>
        <v>194.6585925</v>
      </c>
      <c r="F136" s="229">
        <f t="shared" si="14"/>
        <v>189.02059499999999</v>
      </c>
      <c r="G136" s="229">
        <f t="shared" si="14"/>
        <v>201.64528799999999</v>
      </c>
      <c r="H136" s="229">
        <f t="shared" si="14"/>
        <v>191.94905</v>
      </c>
      <c r="I136" s="229">
        <f t="shared" si="14"/>
        <v>190.76081500000001</v>
      </c>
      <c r="J136" s="229">
        <f t="shared" si="14"/>
        <v>196.595054</v>
      </c>
      <c r="K136" s="229">
        <f t="shared" si="14"/>
        <v>180.749244</v>
      </c>
      <c r="L136" s="229">
        <f t="shared" si="14"/>
        <v>200.77886749999999</v>
      </c>
      <c r="M136" s="229">
        <f t="shared" si="14"/>
        <v>175.342614</v>
      </c>
      <c r="N136" s="229">
        <f t="shared" si="14"/>
        <v>154.68218999999999</v>
      </c>
      <c r="O136" s="229">
        <f t="shared" si="14"/>
        <v>156.89686950000001</v>
      </c>
    </row>
    <row r="137" spans="2:15">
      <c r="B137" s="228" t="s">
        <v>156</v>
      </c>
      <c r="C137" s="229">
        <f t="shared" si="14"/>
        <v>50.806421</v>
      </c>
      <c r="D137" s="229">
        <f t="shared" si="14"/>
        <v>64.813796999999994</v>
      </c>
      <c r="E137" s="229">
        <f t="shared" si="14"/>
        <v>65.755174499999995</v>
      </c>
      <c r="F137" s="229">
        <f t="shared" si="14"/>
        <v>64.739834999999999</v>
      </c>
      <c r="G137" s="229">
        <f t="shared" si="14"/>
        <v>66.706254000000001</v>
      </c>
      <c r="H137" s="229">
        <f t="shared" si="14"/>
        <v>61.593868999999998</v>
      </c>
      <c r="I137" s="229">
        <f t="shared" si="14"/>
        <v>69.912847999999997</v>
      </c>
      <c r="J137" s="229">
        <f t="shared" si="14"/>
        <v>63.503646000000003</v>
      </c>
      <c r="K137" s="229">
        <f t="shared" si="14"/>
        <v>61.891773000000001</v>
      </c>
      <c r="L137" s="229">
        <f t="shared" si="14"/>
        <v>67.359962499999995</v>
      </c>
      <c r="M137" s="229">
        <f t="shared" si="14"/>
        <v>64.179035999999996</v>
      </c>
      <c r="N137" s="229">
        <f t="shared" si="14"/>
        <v>36.450611000000002</v>
      </c>
      <c r="O137" s="229">
        <f t="shared" si="14"/>
        <v>62.621202500000003</v>
      </c>
    </row>
    <row r="138" spans="2:15">
      <c r="B138" s="228" t="s">
        <v>157</v>
      </c>
      <c r="C138" s="229">
        <f t="shared" si="14"/>
        <v>304.160034</v>
      </c>
      <c r="D138" s="229">
        <f t="shared" si="14"/>
        <v>323.41282999999999</v>
      </c>
      <c r="E138" s="229">
        <f t="shared" si="14"/>
        <v>316.53357699999998</v>
      </c>
      <c r="F138" s="229">
        <f t="shared" si="14"/>
        <v>319.41097300000001</v>
      </c>
      <c r="G138" s="229">
        <f t="shared" si="14"/>
        <v>296.78157199999998</v>
      </c>
      <c r="H138" s="229">
        <f t="shared" si="14"/>
        <v>292.56813</v>
      </c>
      <c r="I138" s="229">
        <f t="shared" si="14"/>
        <v>299.14763599999998</v>
      </c>
      <c r="J138" s="229">
        <f t="shared" si="14"/>
        <v>303.393978</v>
      </c>
      <c r="K138" s="229">
        <f t="shared" si="14"/>
        <v>284.70844699999998</v>
      </c>
      <c r="L138" s="229">
        <f t="shared" si="14"/>
        <v>309.30230799999998</v>
      </c>
      <c r="M138" s="229">
        <f t="shared" si="14"/>
        <v>273.97149899999999</v>
      </c>
      <c r="N138" s="229">
        <f t="shared" si="14"/>
        <v>282.06007699999998</v>
      </c>
      <c r="O138" s="229">
        <f t="shared" si="14"/>
        <v>285.58842199999998</v>
      </c>
    </row>
    <row r="139" spans="2:15">
      <c r="B139" s="228" t="s">
        <v>158</v>
      </c>
      <c r="C139" s="229">
        <f t="shared" si="14"/>
        <v>18664.719179000003</v>
      </c>
      <c r="D139" s="229">
        <f t="shared" si="14"/>
        <v>20506.906053000002</v>
      </c>
      <c r="E139" s="229">
        <f t="shared" si="14"/>
        <v>20962.283114999998</v>
      </c>
      <c r="F139" s="229">
        <f t="shared" si="14"/>
        <v>19773.634934000009</v>
      </c>
      <c r="G139" s="229">
        <f t="shared" si="14"/>
        <v>20913.566978999999</v>
      </c>
      <c r="H139" s="229">
        <f t="shared" si="14"/>
        <v>21146.988289000001</v>
      </c>
      <c r="I139" s="229">
        <f t="shared" si="14"/>
        <v>20571.739999000005</v>
      </c>
      <c r="J139" s="229">
        <f t="shared" si="14"/>
        <v>23445.308578000004</v>
      </c>
      <c r="K139" s="229">
        <f t="shared" si="14"/>
        <v>19567.156166000001</v>
      </c>
      <c r="L139" s="229">
        <f t="shared" si="14"/>
        <v>19785.960112999997</v>
      </c>
      <c r="M139" s="229">
        <f t="shared" si="14"/>
        <v>18749.884407000005</v>
      </c>
      <c r="N139" s="229">
        <f t="shared" si="14"/>
        <v>19505.540204000001</v>
      </c>
      <c r="O139" s="229">
        <f t="shared" si="14"/>
        <v>19656.099269999999</v>
      </c>
    </row>
    <row r="140" spans="2:15">
      <c r="B140" s="228" t="s">
        <v>159</v>
      </c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  <c r="M140" s="229"/>
      <c r="N140" s="229"/>
      <c r="O140" s="229"/>
    </row>
    <row r="141" spans="2:15">
      <c r="B141" s="228" t="s">
        <v>160</v>
      </c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  <c r="M141" s="229"/>
      <c r="N141" s="229"/>
      <c r="O141" s="229"/>
    </row>
    <row r="142" spans="2:15">
      <c r="B142" s="228" t="s">
        <v>161</v>
      </c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  <c r="M142" s="229"/>
      <c r="N142" s="229"/>
      <c r="O142" s="229"/>
    </row>
    <row r="143" spans="2:15">
      <c r="B143" s="230" t="s">
        <v>162</v>
      </c>
      <c r="C143" s="231"/>
      <c r="D143" s="231"/>
      <c r="E143" s="231"/>
      <c r="F143" s="231"/>
      <c r="G143" s="231"/>
      <c r="H143" s="231"/>
      <c r="I143" s="231"/>
      <c r="J143" s="231"/>
      <c r="K143" s="231"/>
      <c r="L143" s="231"/>
      <c r="M143" s="231"/>
      <c r="N143" s="231"/>
      <c r="O143" s="231"/>
    </row>
    <row r="145" spans="2:15">
      <c r="B145" s="232" t="s">
        <v>17</v>
      </c>
      <c r="C145" s="233">
        <f>SUM(C126,C132:C134,C137:C138)</f>
        <v>7981.5723495840011</v>
      </c>
      <c r="D145" s="233">
        <f t="shared" ref="D145:N145" si="15">SUM(D126,D132:D134,D137:D138)</f>
        <v>7647.5676725859994</v>
      </c>
      <c r="E145" s="233">
        <f t="shared" si="15"/>
        <v>7051.7361073920001</v>
      </c>
      <c r="F145" s="233">
        <f t="shared" si="15"/>
        <v>5869.7489837620005</v>
      </c>
      <c r="G145" s="233">
        <f t="shared" si="15"/>
        <v>6960.0060223279988</v>
      </c>
      <c r="H145" s="233">
        <f t="shared" si="15"/>
        <v>7474.0680258139992</v>
      </c>
      <c r="I145" s="233">
        <f t="shared" si="15"/>
        <v>7687.6296716440002</v>
      </c>
      <c r="J145" s="233">
        <f t="shared" si="15"/>
        <v>9111.0704192559988</v>
      </c>
      <c r="K145" s="233">
        <f t="shared" si="15"/>
        <v>7339.6074415720013</v>
      </c>
      <c r="L145" s="233">
        <f t="shared" si="15"/>
        <v>8578.2462204520016</v>
      </c>
      <c r="M145" s="233">
        <f t="shared" si="15"/>
        <v>7897.0252881879996</v>
      </c>
      <c r="N145" s="233">
        <f t="shared" si="15"/>
        <v>8462.6613717759992</v>
      </c>
      <c r="O145" s="233">
        <f>SUM(O126,O132:O134,O137:O138)</f>
        <v>6852.53259841</v>
      </c>
    </row>
    <row r="146" spans="2:15">
      <c r="B146" s="230" t="s">
        <v>16</v>
      </c>
      <c r="C146" s="231">
        <f>SUM(C127:C131,C135:C136)</f>
        <v>10683.146829416</v>
      </c>
      <c r="D146" s="231">
        <f t="shared" ref="D146:O146" si="16">SUM(D127:D131,D135:D136)</f>
        <v>12859.338380413999</v>
      </c>
      <c r="E146" s="231">
        <f t="shared" si="16"/>
        <v>13910.547007607998</v>
      </c>
      <c r="F146" s="231">
        <f t="shared" si="16"/>
        <v>13903.885950238002</v>
      </c>
      <c r="G146" s="231">
        <f t="shared" si="16"/>
        <v>13953.560956672001</v>
      </c>
      <c r="H146" s="231">
        <f t="shared" si="16"/>
        <v>13672.920263185999</v>
      </c>
      <c r="I146" s="231">
        <f t="shared" si="16"/>
        <v>12884.110327356</v>
      </c>
      <c r="J146" s="231">
        <f t="shared" si="16"/>
        <v>14334.238158743998</v>
      </c>
      <c r="K146" s="231">
        <f t="shared" si="16"/>
        <v>12227.548724428001</v>
      </c>
      <c r="L146" s="231">
        <f t="shared" si="16"/>
        <v>11207.713892547998</v>
      </c>
      <c r="M146" s="231">
        <f t="shared" si="16"/>
        <v>10852.859118812001</v>
      </c>
      <c r="N146" s="231">
        <f t="shared" si="16"/>
        <v>11042.878832224</v>
      </c>
      <c r="O146" s="231">
        <f t="shared" si="16"/>
        <v>12803.566671590002</v>
      </c>
    </row>
    <row r="148" spans="2:15">
      <c r="B148" s="232" t="s">
        <v>17</v>
      </c>
      <c r="C148" s="234">
        <f t="shared" ref="C148:N148" si="17">SUM(ROUND(C126/SUM(C145:C146)*100,1),ROUND(C132/SUM(C145:C146)*100,1),ROUND(C133/SUM(C145:C146)*100,1),ROUND(C134/SUM(C145:C146)*100,1),ROUND(C137/SUM(C145:C146)*100,1),ROUND(C138/SUM(C145:C146)*100,1))</f>
        <v>42.800000000000004</v>
      </c>
      <c r="D148" s="234">
        <f t="shared" si="17"/>
        <v>37.4</v>
      </c>
      <c r="E148" s="234">
        <f t="shared" si="17"/>
        <v>33.6</v>
      </c>
      <c r="F148" s="234">
        <f t="shared" si="17"/>
        <v>29.7</v>
      </c>
      <c r="G148" s="234">
        <f t="shared" si="17"/>
        <v>33.300000000000004</v>
      </c>
      <c r="H148" s="234">
        <f t="shared" si="17"/>
        <v>35.399999999999991</v>
      </c>
      <c r="I148" s="234">
        <f t="shared" si="17"/>
        <v>37.4</v>
      </c>
      <c r="J148" s="234">
        <f t="shared" si="17"/>
        <v>39</v>
      </c>
      <c r="K148" s="234">
        <f t="shared" si="17"/>
        <v>37.499999999999993</v>
      </c>
      <c r="L148" s="234">
        <f t="shared" si="17"/>
        <v>43.4</v>
      </c>
      <c r="M148" s="234">
        <f t="shared" si="17"/>
        <v>42.099999999999994</v>
      </c>
      <c r="N148" s="234">
        <f t="shared" si="17"/>
        <v>43.4</v>
      </c>
      <c r="O148" s="234">
        <f>SUM(ROUND(O126/SUM(O145:O146)*100,1),ROUND(O132/SUM(O145:O146)*100,1),ROUND(O133/SUM(O145:O146)*100,1),ROUND(O134/SUM(O145:O146)*100,1),ROUND(O137/SUM(O145:O146)*100,1),ROUND(O138/SUM(O145:O146)*100,1))</f>
        <v>34.799999999999997</v>
      </c>
    </row>
    <row r="149" spans="2:15">
      <c r="B149" s="230" t="s">
        <v>16</v>
      </c>
      <c r="C149" s="235">
        <f t="shared" ref="C149:N149" si="18">100-C148</f>
        <v>57.199999999999996</v>
      </c>
      <c r="D149" s="235">
        <f t="shared" si="18"/>
        <v>62.6</v>
      </c>
      <c r="E149" s="235">
        <f t="shared" si="18"/>
        <v>66.400000000000006</v>
      </c>
      <c r="F149" s="235">
        <f t="shared" si="18"/>
        <v>70.3</v>
      </c>
      <c r="G149" s="235">
        <f t="shared" si="18"/>
        <v>66.699999999999989</v>
      </c>
      <c r="H149" s="235">
        <f t="shared" si="18"/>
        <v>64.600000000000009</v>
      </c>
      <c r="I149" s="235">
        <f t="shared" si="18"/>
        <v>62.6</v>
      </c>
      <c r="J149" s="235">
        <f t="shared" si="18"/>
        <v>61</v>
      </c>
      <c r="K149" s="235">
        <f t="shared" si="18"/>
        <v>62.500000000000007</v>
      </c>
      <c r="L149" s="235">
        <f t="shared" si="18"/>
        <v>56.6</v>
      </c>
      <c r="M149" s="235">
        <f t="shared" si="18"/>
        <v>57.900000000000006</v>
      </c>
      <c r="N149" s="235">
        <f t="shared" si="18"/>
        <v>56.6</v>
      </c>
      <c r="O149" s="235">
        <f t="shared" ref="O149" si="19">100-O148</f>
        <v>65.2</v>
      </c>
    </row>
    <row r="153" spans="2:15">
      <c r="B153" s="153" t="s">
        <v>24</v>
      </c>
    </row>
    <row r="154" spans="2:15">
      <c r="B154" s="232"/>
      <c r="C154" s="232"/>
      <c r="D154" s="307" t="s">
        <v>22</v>
      </c>
      <c r="E154" s="307" t="s">
        <v>23</v>
      </c>
    </row>
    <row r="155" spans="2:15">
      <c r="B155" s="230" t="s">
        <v>167</v>
      </c>
      <c r="C155" s="230" t="s">
        <v>168</v>
      </c>
      <c r="D155" s="308"/>
      <c r="E155" s="308"/>
    </row>
    <row r="156" spans="2:15">
      <c r="B156" s="239">
        <f>DATE(YEAR(Dat_01!B$2),MONTH(Dat_01!B$2),Dat_01!A180)</f>
        <v>43617</v>
      </c>
      <c r="C156" s="228">
        <f>Dat_01!A180</f>
        <v>1</v>
      </c>
      <c r="D156" s="240">
        <f>Dat_01!W180</f>
        <v>75.265467000000001</v>
      </c>
      <c r="E156" s="241">
        <f>Dat_01!V180</f>
        <v>12.574880576758488</v>
      </c>
    </row>
    <row r="157" spans="2:15">
      <c r="B157" s="239">
        <f>DATE(YEAR(Dat_01!B$2),MONTH(Dat_01!B$2),Dat_01!A181)</f>
        <v>43618</v>
      </c>
      <c r="C157" s="228">
        <f>Dat_01!A181</f>
        <v>2</v>
      </c>
      <c r="D157" s="240">
        <f>Dat_01!W181</f>
        <v>93.206227999999996</v>
      </c>
      <c r="E157" s="241">
        <f>Dat_01!V181</f>
        <v>15.601673337724623</v>
      </c>
    </row>
    <row r="158" spans="2:15">
      <c r="B158" s="239">
        <f>DATE(YEAR(Dat_01!B$2),MONTH(Dat_01!B$2),Dat_01!A182)</f>
        <v>43619</v>
      </c>
      <c r="C158" s="228">
        <f>Dat_01!A182</f>
        <v>3</v>
      </c>
      <c r="D158" s="240">
        <f>Dat_01!W182</f>
        <v>84.909931</v>
      </c>
      <c r="E158" s="241">
        <f>Dat_01!V182</f>
        <v>12.963349431757202</v>
      </c>
    </row>
    <row r="159" spans="2:15">
      <c r="B159" s="239">
        <f>DATE(YEAR(Dat_01!B$2),MONTH(Dat_01!B$2),Dat_01!A183)</f>
        <v>43620</v>
      </c>
      <c r="C159" s="228">
        <f>Dat_01!A183</f>
        <v>4</v>
      </c>
      <c r="D159" s="240">
        <f>Dat_01!W183</f>
        <v>167.34780499999999</v>
      </c>
      <c r="E159" s="241">
        <f>Dat_01!V183</f>
        <v>23.710130651518359</v>
      </c>
    </row>
    <row r="160" spans="2:15">
      <c r="B160" s="239">
        <f>DATE(YEAR(Dat_01!B$2),MONTH(Dat_01!B$2),Dat_01!A184)</f>
        <v>43621</v>
      </c>
      <c r="C160" s="228">
        <f>Dat_01!A184</f>
        <v>5</v>
      </c>
      <c r="D160" s="240">
        <f>Dat_01!W184</f>
        <v>180.36657</v>
      </c>
      <c r="E160" s="241">
        <f>Dat_01!V184</f>
        <v>25.982519115031682</v>
      </c>
    </row>
    <row r="161" spans="2:5">
      <c r="B161" s="239">
        <f>DATE(YEAR(Dat_01!B$2),MONTH(Dat_01!B$2),Dat_01!A185)</f>
        <v>43622</v>
      </c>
      <c r="C161" s="228">
        <f>Dat_01!A185</f>
        <v>6</v>
      </c>
      <c r="D161" s="240">
        <f>Dat_01!W185</f>
        <v>179.07876899999999</v>
      </c>
      <c r="E161" s="241">
        <f>Dat_01!V185</f>
        <v>26.234513566649781</v>
      </c>
    </row>
    <row r="162" spans="2:5">
      <c r="B162" s="239">
        <f>DATE(YEAR(Dat_01!B$2),MONTH(Dat_01!B$2),Dat_01!A186)</f>
        <v>43623</v>
      </c>
      <c r="C162" s="228">
        <f>Dat_01!A186</f>
        <v>7</v>
      </c>
      <c r="D162" s="240">
        <f>Dat_01!W186</f>
        <v>177.62349600000002</v>
      </c>
      <c r="E162" s="241">
        <f>Dat_01!V186</f>
        <v>25.78538640522412</v>
      </c>
    </row>
    <row r="163" spans="2:5">
      <c r="B163" s="239">
        <f>DATE(YEAR(Dat_01!B$2),MONTH(Dat_01!B$2),Dat_01!A187)</f>
        <v>43624</v>
      </c>
      <c r="C163" s="228">
        <f>Dat_01!A187</f>
        <v>8</v>
      </c>
      <c r="D163" s="240">
        <f>Dat_01!W187</f>
        <v>107.69737499999999</v>
      </c>
      <c r="E163" s="241">
        <f>Dat_01!V187</f>
        <v>17.541033696257752</v>
      </c>
    </row>
    <row r="164" spans="2:5">
      <c r="B164" s="239">
        <f>DATE(YEAR(Dat_01!B$2),MONTH(Dat_01!B$2),Dat_01!A188)</f>
        <v>43625</v>
      </c>
      <c r="C164" s="228">
        <f>Dat_01!A188</f>
        <v>9</v>
      </c>
      <c r="D164" s="240">
        <f>Dat_01!W188</f>
        <v>89.513770000000008</v>
      </c>
      <c r="E164" s="241">
        <f>Dat_01!V188</f>
        <v>15.500155685069169</v>
      </c>
    </row>
    <row r="165" spans="2:5">
      <c r="B165" s="239">
        <f>DATE(YEAR(Dat_01!B$2),MONTH(Dat_01!B$2),Dat_01!A189)</f>
        <v>43626</v>
      </c>
      <c r="C165" s="228">
        <f>Dat_01!A189</f>
        <v>10</v>
      </c>
      <c r="D165" s="240">
        <f>Dat_01!W189</f>
        <v>121.85668099999999</v>
      </c>
      <c r="E165" s="241">
        <f>Dat_01!V189</f>
        <v>19.349854708104921</v>
      </c>
    </row>
    <row r="166" spans="2:5">
      <c r="B166" s="239">
        <f>DATE(YEAR(Dat_01!B$2),MONTH(Dat_01!B$2),Dat_01!A190)</f>
        <v>43627</v>
      </c>
      <c r="C166" s="228">
        <f>Dat_01!A190</f>
        <v>11</v>
      </c>
      <c r="D166" s="240">
        <f>Dat_01!W190</f>
        <v>133.961681</v>
      </c>
      <c r="E166" s="241">
        <f>Dat_01!V190</f>
        <v>20.358478026393666</v>
      </c>
    </row>
    <row r="167" spans="2:5">
      <c r="B167" s="239">
        <f>DATE(YEAR(Dat_01!B$2),MONTH(Dat_01!B$2),Dat_01!A191)</f>
        <v>43628</v>
      </c>
      <c r="C167" s="228">
        <f>Dat_01!A191</f>
        <v>12</v>
      </c>
      <c r="D167" s="240">
        <f>Dat_01!W191</f>
        <v>79.767319000000001</v>
      </c>
      <c r="E167" s="241">
        <f>Dat_01!V191</f>
        <v>12.37489143312887</v>
      </c>
    </row>
    <row r="168" spans="2:5">
      <c r="B168" s="239">
        <f>DATE(YEAR(Dat_01!B$2),MONTH(Dat_01!B$2),Dat_01!A192)</f>
        <v>43629</v>
      </c>
      <c r="C168" s="228">
        <f>Dat_01!A192</f>
        <v>13</v>
      </c>
      <c r="D168" s="240">
        <f>Dat_01!W192</f>
        <v>120.392235</v>
      </c>
      <c r="E168" s="241">
        <f>Dat_01!V192</f>
        <v>18.305463487335157</v>
      </c>
    </row>
    <row r="169" spans="2:5">
      <c r="B169" s="239">
        <f>DATE(YEAR(Dat_01!B$2),MONTH(Dat_01!B$2),Dat_01!A193)</f>
        <v>43630</v>
      </c>
      <c r="C169" s="228">
        <f>Dat_01!A193</f>
        <v>14</v>
      </c>
      <c r="D169" s="240">
        <f>Dat_01!W193</f>
        <v>107.02940799999999</v>
      </c>
      <c r="E169" s="241">
        <f>Dat_01!V193</f>
        <v>16.329398017676706</v>
      </c>
    </row>
    <row r="170" spans="2:5">
      <c r="B170" s="239">
        <f>DATE(YEAR(Dat_01!B$2),MONTH(Dat_01!B$2),Dat_01!A194)</f>
        <v>43631</v>
      </c>
      <c r="C170" s="228">
        <f>Dat_01!A194</f>
        <v>15</v>
      </c>
      <c r="D170" s="240">
        <f>Dat_01!W194</f>
        <v>84.974675000000005</v>
      </c>
      <c r="E170" s="241">
        <f>Dat_01!V194</f>
        <v>13.925483287937777</v>
      </c>
    </row>
    <row r="171" spans="2:5">
      <c r="B171" s="239">
        <f>DATE(YEAR(Dat_01!B$2),MONTH(Dat_01!B$2),Dat_01!A195)</f>
        <v>43632</v>
      </c>
      <c r="C171" s="228">
        <f>Dat_01!A195</f>
        <v>16</v>
      </c>
      <c r="D171" s="240">
        <f>Dat_01!W195</f>
        <v>53.384023999999997</v>
      </c>
      <c r="E171" s="241">
        <f>Dat_01!V195</f>
        <v>9.5434305051864783</v>
      </c>
    </row>
    <row r="172" spans="2:5">
      <c r="B172" s="239">
        <f>DATE(YEAR(Dat_01!B$2),MONTH(Dat_01!B$2),Dat_01!A196)</f>
        <v>43633</v>
      </c>
      <c r="C172" s="228">
        <f>Dat_01!A196</f>
        <v>17</v>
      </c>
      <c r="D172" s="240">
        <f>Dat_01!W196</f>
        <v>52.657821000000006</v>
      </c>
      <c r="E172" s="241">
        <f>Dat_01!V196</f>
        <v>8.0014943568599879</v>
      </c>
    </row>
    <row r="173" spans="2:5">
      <c r="B173" s="239">
        <f>DATE(YEAR(Dat_01!B$2),MONTH(Dat_01!B$2),Dat_01!A197)</f>
        <v>43634</v>
      </c>
      <c r="C173" s="228">
        <f>Dat_01!A197</f>
        <v>18</v>
      </c>
      <c r="D173" s="240">
        <f>Dat_01!W197</f>
        <v>157.68763300000001</v>
      </c>
      <c r="E173" s="241">
        <f>Dat_01!V197</f>
        <v>22.954043873255817</v>
      </c>
    </row>
    <row r="174" spans="2:5">
      <c r="B174" s="239">
        <f>DATE(YEAR(Dat_01!B$2),MONTH(Dat_01!B$2),Dat_01!A198)</f>
        <v>43635</v>
      </c>
      <c r="C174" s="228">
        <f>Dat_01!A198</f>
        <v>19</v>
      </c>
      <c r="D174" s="240">
        <f>Dat_01!W198</f>
        <v>89.913592000000008</v>
      </c>
      <c r="E174" s="241">
        <f>Dat_01!V198</f>
        <v>13.202894785922153</v>
      </c>
    </row>
    <row r="175" spans="2:5">
      <c r="B175" s="239">
        <f>DATE(YEAR(Dat_01!B$2),MONTH(Dat_01!B$2),Dat_01!A199)</f>
        <v>43636</v>
      </c>
      <c r="C175" s="228">
        <f>Dat_01!A199</f>
        <v>20</v>
      </c>
      <c r="D175" s="240">
        <f>Dat_01!W199</f>
        <v>90.847048000000001</v>
      </c>
      <c r="E175" s="241">
        <f>Dat_01!V199</f>
        <v>13.595139727320493</v>
      </c>
    </row>
    <row r="176" spans="2:5">
      <c r="B176" s="239">
        <f>DATE(YEAR(Dat_01!B$2),MONTH(Dat_01!B$2),Dat_01!A200)</f>
        <v>43637</v>
      </c>
      <c r="C176" s="228">
        <f>Dat_01!A200</f>
        <v>21</v>
      </c>
      <c r="D176" s="240">
        <f>Dat_01!W200</f>
        <v>83.859420999999998</v>
      </c>
      <c r="E176" s="241">
        <f>Dat_01!V200</f>
        <v>12.417373182961944</v>
      </c>
    </row>
    <row r="177" spans="2:27">
      <c r="B177" s="239">
        <f>DATE(YEAR(Dat_01!B$2),MONTH(Dat_01!B$2),Dat_01!A201)</f>
        <v>43638</v>
      </c>
      <c r="C177" s="228">
        <f>Dat_01!A201</f>
        <v>22</v>
      </c>
      <c r="D177" s="240">
        <f>Dat_01!W201</f>
        <v>82.499842999999998</v>
      </c>
      <c r="E177" s="241">
        <f>Dat_01!V201</f>
        <v>13.117665808656797</v>
      </c>
    </row>
    <row r="178" spans="2:27">
      <c r="B178" s="239">
        <f>DATE(YEAR(Dat_01!B$2),MONTH(Dat_01!B$2),Dat_01!A202)</f>
        <v>43639</v>
      </c>
      <c r="C178" s="228">
        <f>Dat_01!A202</f>
        <v>23</v>
      </c>
      <c r="D178" s="240">
        <f>Dat_01!W202</f>
        <v>112.38502899999999</v>
      </c>
      <c r="E178" s="241">
        <f>Dat_01!V202</f>
        <v>18.804794949237351</v>
      </c>
    </row>
    <row r="179" spans="2:27">
      <c r="B179" s="239">
        <f>DATE(YEAR(Dat_01!B$2),MONTH(Dat_01!B$2),Dat_01!A203)</f>
        <v>43640</v>
      </c>
      <c r="C179" s="228">
        <f>Dat_01!A203</f>
        <v>24</v>
      </c>
      <c r="D179" s="240">
        <f>Dat_01!W203</f>
        <v>79.971187</v>
      </c>
      <c r="E179" s="241">
        <f>Dat_01!V203</f>
        <v>12.497151986342192</v>
      </c>
    </row>
    <row r="180" spans="2:27">
      <c r="B180" s="239">
        <f>DATE(YEAR(Dat_01!B$2),MONTH(Dat_01!B$2),Dat_01!A204)</f>
        <v>43641</v>
      </c>
      <c r="C180" s="228">
        <f>Dat_01!A204</f>
        <v>25</v>
      </c>
      <c r="D180" s="240">
        <f>Dat_01!W204</f>
        <v>60.699669</v>
      </c>
      <c r="E180" s="241">
        <f>Dat_01!V204</f>
        <v>8.7651218218868596</v>
      </c>
    </row>
    <row r="181" spans="2:27">
      <c r="B181" s="239">
        <f>DATE(YEAR(Dat_01!B$2),MONTH(Dat_01!B$2),Dat_01!A205)</f>
        <v>43642</v>
      </c>
      <c r="C181" s="228">
        <f>Dat_01!A205</f>
        <v>26</v>
      </c>
      <c r="D181" s="240">
        <f>Dat_01!W205</f>
        <v>140.38457600000001</v>
      </c>
      <c r="E181" s="241">
        <f>Dat_01!V205</f>
        <v>19.212872124799748</v>
      </c>
    </row>
    <row r="182" spans="2:27">
      <c r="B182" s="239">
        <f>DATE(YEAR(Dat_01!B$2),MONTH(Dat_01!B$2),Dat_01!A206)</f>
        <v>43643</v>
      </c>
      <c r="C182" s="228">
        <f>Dat_01!A206</f>
        <v>27</v>
      </c>
      <c r="D182" s="240">
        <f>Dat_01!W206</f>
        <v>168.331816</v>
      </c>
      <c r="E182" s="241">
        <f>Dat_01!V206</f>
        <v>22.587567264832927</v>
      </c>
    </row>
    <row r="183" spans="2:27">
      <c r="B183" s="239">
        <f>DATE(YEAR(Dat_01!B$2),MONTH(Dat_01!B$2),Dat_01!A207)</f>
        <v>43644</v>
      </c>
      <c r="C183" s="228">
        <f>Dat_01!A207</f>
        <v>28</v>
      </c>
      <c r="D183" s="240">
        <f>Dat_01!W207</f>
        <v>83.910345000000007</v>
      </c>
      <c r="E183" s="241">
        <f>Dat_01!V207</f>
        <v>11.5424423647925</v>
      </c>
    </row>
    <row r="184" spans="2:27">
      <c r="B184" s="239">
        <f>DATE(YEAR(Dat_01!B$2),MONTH(Dat_01!B$2),Dat_01!A208)</f>
        <v>43645</v>
      </c>
      <c r="C184" s="228">
        <f>Dat_01!A208</f>
        <v>29</v>
      </c>
      <c r="D184" s="240">
        <f>Dat_01!W208</f>
        <v>63.874724999999998</v>
      </c>
      <c r="E184" s="241">
        <f>Dat_01!V208</f>
        <v>9.6371025425483605</v>
      </c>
    </row>
    <row r="185" spans="2:27">
      <c r="B185" s="239">
        <f>DATE(YEAR(Dat_01!B$2),MONTH(Dat_01!B$2),Dat_01!A209)</f>
        <v>43646</v>
      </c>
      <c r="C185" s="228">
        <f>Dat_01!A209</f>
        <v>30</v>
      </c>
      <c r="D185" s="240">
        <f>Dat_01!W209</f>
        <v>88.820983999999996</v>
      </c>
      <c r="E185" s="241">
        <f>Dat_01!V209</f>
        <v>14.036040600515404</v>
      </c>
    </row>
    <row r="186" spans="2:27">
      <c r="B186" s="276">
        <f>DATE(YEAR(Dat_01!B$2),MONTH(Dat_01!B$2),Dat_01!A210)</f>
        <v>43616</v>
      </c>
      <c r="C186" s="277">
        <f>Dat_01!A210</f>
        <v>0</v>
      </c>
      <c r="D186" s="278" t="str">
        <f>Dat_01!W210</f>
        <v/>
      </c>
      <c r="E186" s="279" t="str">
        <f>Dat_01!V210</f>
        <v/>
      </c>
    </row>
    <row r="187" spans="2:27">
      <c r="B187" s="242"/>
      <c r="C187" s="228"/>
      <c r="D187" s="240"/>
      <c r="E187" s="240"/>
    </row>
    <row r="188" spans="2:27">
      <c r="B188" s="228"/>
      <c r="C188" s="228"/>
      <c r="D188" s="228"/>
      <c r="E188" s="228"/>
    </row>
    <row r="189" spans="2:27">
      <c r="B189" s="230" t="s">
        <v>169</v>
      </c>
      <c r="C189" s="230"/>
      <c r="D189" s="243">
        <f>MAX(D156:D186)</f>
        <v>180.36657</v>
      </c>
      <c r="E189" s="244">
        <f>VLOOKUP(D189,D156:E186,2)</f>
        <v>14.036040600515404</v>
      </c>
    </row>
    <row r="191" spans="2:27">
      <c r="B191" s="153" t="s">
        <v>170</v>
      </c>
    </row>
    <row r="192" spans="2:27">
      <c r="B192" s="245"/>
      <c r="C192" s="246">
        <v>1</v>
      </c>
      <c r="D192" s="246">
        <v>2</v>
      </c>
      <c r="E192" s="246">
        <v>3</v>
      </c>
      <c r="F192" s="246">
        <v>4</v>
      </c>
      <c r="G192" s="246">
        <v>5</v>
      </c>
      <c r="H192" s="246">
        <v>6</v>
      </c>
      <c r="I192" s="246">
        <v>7</v>
      </c>
      <c r="J192" s="246">
        <v>8</v>
      </c>
      <c r="K192" s="246">
        <v>9</v>
      </c>
      <c r="L192" s="246">
        <v>10</v>
      </c>
      <c r="M192" s="246">
        <v>11</v>
      </c>
      <c r="N192" s="246">
        <v>12</v>
      </c>
      <c r="O192" s="246">
        <v>13</v>
      </c>
      <c r="P192" s="246">
        <v>14</v>
      </c>
      <c r="Q192" s="246">
        <v>15</v>
      </c>
      <c r="R192" s="246">
        <v>16</v>
      </c>
      <c r="S192" s="246">
        <v>17</v>
      </c>
      <c r="T192" s="246">
        <v>18</v>
      </c>
      <c r="U192" s="246">
        <v>19</v>
      </c>
      <c r="V192" s="246">
        <v>20</v>
      </c>
      <c r="W192" s="246">
        <v>21</v>
      </c>
      <c r="X192" s="246">
        <v>22</v>
      </c>
      <c r="Y192" s="246">
        <v>23</v>
      </c>
      <c r="Z192" s="246">
        <v>24</v>
      </c>
      <c r="AA192" s="247" t="s">
        <v>15</v>
      </c>
    </row>
    <row r="193" spans="2:27">
      <c r="B193" s="228" t="s">
        <v>5</v>
      </c>
      <c r="C193" s="229">
        <v>9.1643000000000008</v>
      </c>
      <c r="D193" s="229">
        <v>8.7952999999999992</v>
      </c>
      <c r="E193" s="229">
        <v>8.8308</v>
      </c>
      <c r="F193" s="229">
        <v>8.5412999999999997</v>
      </c>
      <c r="G193" s="229">
        <v>8.3774999999999995</v>
      </c>
      <c r="H193" s="229">
        <v>8.2622</v>
      </c>
      <c r="I193" s="229">
        <v>8.3582999999999998</v>
      </c>
      <c r="J193" s="229">
        <v>8.2825000000000006</v>
      </c>
      <c r="K193" s="229">
        <v>7.7236000000000002</v>
      </c>
      <c r="L193" s="229">
        <v>7.4927000000000001</v>
      </c>
      <c r="M193" s="229">
        <v>7.0507</v>
      </c>
      <c r="N193" s="229">
        <v>6.7298999999999998</v>
      </c>
      <c r="O193" s="229">
        <v>5.7401</v>
      </c>
      <c r="P193" s="229">
        <v>5.3799000000000001</v>
      </c>
      <c r="Q193" s="229">
        <v>4.9191000000000003</v>
      </c>
      <c r="R193" s="229">
        <v>5.3954000000000004</v>
      </c>
      <c r="S193" s="229">
        <v>5.3757000000000001</v>
      </c>
      <c r="T193" s="229">
        <v>5.6306000000000003</v>
      </c>
      <c r="U193" s="229">
        <v>5.8331</v>
      </c>
      <c r="V193" s="229">
        <v>6.3666999999999998</v>
      </c>
      <c r="W193" s="229">
        <v>6.7653999999999996</v>
      </c>
      <c r="X193" s="229">
        <v>6.9931999999999999</v>
      </c>
      <c r="Y193" s="229">
        <v>7.2034000000000002</v>
      </c>
      <c r="Z193" s="229">
        <v>7.3064</v>
      </c>
      <c r="AA193" s="229">
        <f t="shared" ref="AA193:AA194" si="20">SUM(C193:Z193)</f>
        <v>170.5181</v>
      </c>
    </row>
    <row r="194" spans="2:27">
      <c r="B194" s="228" t="s">
        <v>10</v>
      </c>
      <c r="C194" s="229">
        <v>25.1279</v>
      </c>
      <c r="D194" s="229">
        <v>24.4297</v>
      </c>
      <c r="E194" s="229">
        <v>23.810600000000001</v>
      </c>
      <c r="F194" s="229">
        <v>23.1861</v>
      </c>
      <c r="G194" s="229">
        <v>22.812899999999999</v>
      </c>
      <c r="H194" s="229">
        <v>22.671399999999998</v>
      </c>
      <c r="I194" s="229">
        <v>22.881699999999999</v>
      </c>
      <c r="J194" s="229">
        <v>22.9634</v>
      </c>
      <c r="K194" s="229">
        <v>23.478000000000002</v>
      </c>
      <c r="L194" s="229">
        <v>24.83</v>
      </c>
      <c r="M194" s="229">
        <v>25.264600000000002</v>
      </c>
      <c r="N194" s="229">
        <v>26.226400000000002</v>
      </c>
      <c r="O194" s="229">
        <v>26.419699999999999</v>
      </c>
      <c r="P194" s="229">
        <v>26.6785</v>
      </c>
      <c r="Q194" s="229">
        <v>26.776900000000001</v>
      </c>
      <c r="R194" s="229">
        <v>26.777999999999999</v>
      </c>
      <c r="S194" s="229">
        <v>26.0596</v>
      </c>
      <c r="T194" s="229">
        <v>25.779599999999999</v>
      </c>
      <c r="U194" s="229">
        <v>26.1708</v>
      </c>
      <c r="V194" s="229">
        <v>27.240100000000002</v>
      </c>
      <c r="W194" s="229">
        <v>27.512499999999999</v>
      </c>
      <c r="X194" s="229">
        <v>27.726400000000002</v>
      </c>
      <c r="Y194" s="229">
        <v>27.232600000000001</v>
      </c>
      <c r="Z194" s="229">
        <v>25.386600000000001</v>
      </c>
      <c r="AA194" s="229">
        <f t="shared" si="20"/>
        <v>607.44400000000019</v>
      </c>
    </row>
    <row r="195" spans="2:27"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  <c r="AA195" s="228"/>
    </row>
    <row r="196" spans="2:27"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28"/>
    </row>
    <row r="197" spans="2:27">
      <c r="B197" s="230" t="s">
        <v>146</v>
      </c>
      <c r="C197" s="248">
        <f>C193/C194*100</f>
        <v>36.470616326871728</v>
      </c>
      <c r="D197" s="248">
        <f t="shared" ref="D197:AA197" si="21">D193/D194*100</f>
        <v>36.002488773910443</v>
      </c>
      <c r="E197" s="248">
        <f t="shared" si="21"/>
        <v>37.087683636699623</v>
      </c>
      <c r="F197" s="248">
        <f t="shared" si="21"/>
        <v>36.838019330547176</v>
      </c>
      <c r="G197" s="248">
        <f t="shared" si="21"/>
        <v>36.722643767342163</v>
      </c>
      <c r="H197" s="248">
        <f t="shared" si="21"/>
        <v>36.443272140229546</v>
      </c>
      <c r="I197" s="248">
        <f t="shared" si="21"/>
        <v>36.528317389005188</v>
      </c>
      <c r="J197" s="248">
        <f t="shared" si="21"/>
        <v>36.068265152372909</v>
      </c>
      <c r="K197" s="248">
        <f t="shared" si="21"/>
        <v>32.897180339040801</v>
      </c>
      <c r="L197" s="248">
        <f t="shared" si="21"/>
        <v>30.175996778091026</v>
      </c>
      <c r="M197" s="248">
        <f t="shared" si="21"/>
        <v>27.90742778433064</v>
      </c>
      <c r="N197" s="248">
        <f t="shared" si="21"/>
        <v>25.660784552969524</v>
      </c>
      <c r="O197" s="248">
        <f t="shared" si="21"/>
        <v>21.726590385204979</v>
      </c>
      <c r="P197" s="248">
        <f t="shared" si="21"/>
        <v>20.165676481061528</v>
      </c>
      <c r="Q197" s="248">
        <f t="shared" si="21"/>
        <v>18.370685180136611</v>
      </c>
      <c r="R197" s="248">
        <f t="shared" si="21"/>
        <v>20.148629471954592</v>
      </c>
      <c r="S197" s="248">
        <f t="shared" si="21"/>
        <v>20.62848240187877</v>
      </c>
      <c r="T197" s="248">
        <f t="shared" si="21"/>
        <v>21.841300873558943</v>
      </c>
      <c r="U197" s="248">
        <f t="shared" si="21"/>
        <v>22.288581166796583</v>
      </c>
      <c r="V197" s="248">
        <f t="shared" si="21"/>
        <v>23.372528000998528</v>
      </c>
      <c r="W197" s="248">
        <f t="shared" si="21"/>
        <v>24.590277146751475</v>
      </c>
      <c r="X197" s="248">
        <f t="shared" si="21"/>
        <v>25.222170927347221</v>
      </c>
      <c r="Y197" s="248">
        <f t="shared" si="21"/>
        <v>26.451385471824214</v>
      </c>
      <c r="Z197" s="248">
        <f t="shared" si="21"/>
        <v>28.780537764017232</v>
      </c>
      <c r="AA197" s="248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6"/>
  <dimension ref="A1:Z251"/>
  <sheetViews>
    <sheetView showGridLines="0" showRowColHeaders="0" topLeftCell="J169" zoomScale="80" zoomScaleNormal="80" workbookViewId="0">
      <selection activeCell="D22" sqref="D22"/>
    </sheetView>
  </sheetViews>
  <sheetFormatPr baseColWidth="10" defaultRowHeight="12.75"/>
  <cols>
    <col min="1" max="1" width="26" customWidth="1"/>
    <col min="2" max="11" width="14.7109375" customWidth="1"/>
    <col min="12" max="12" width="26" customWidth="1"/>
    <col min="13" max="13" width="19" customWidth="1"/>
    <col min="14" max="19" width="14.7109375" customWidth="1"/>
    <col min="20" max="26" width="17.5703125" customWidth="1"/>
  </cols>
  <sheetData>
    <row r="1" spans="1:13">
      <c r="A1" s="191" t="s">
        <v>30</v>
      </c>
      <c r="B1" s="191" t="s">
        <v>113</v>
      </c>
    </row>
    <row r="2" spans="1:13">
      <c r="A2" s="185" t="s">
        <v>601</v>
      </c>
      <c r="B2" s="185" t="s">
        <v>608</v>
      </c>
    </row>
    <row r="4" spans="1:13">
      <c r="A4" s="182" t="s">
        <v>30</v>
      </c>
      <c r="B4" s="309" t="s">
        <v>601</v>
      </c>
      <c r="C4" s="310"/>
      <c r="D4" s="310"/>
      <c r="E4" s="310"/>
      <c r="F4" s="310"/>
      <c r="G4" s="310"/>
      <c r="H4" s="310"/>
      <c r="I4" s="310"/>
      <c r="J4" s="310"/>
      <c r="L4" s="182" t="s">
        <v>30</v>
      </c>
      <c r="M4" s="293" t="s">
        <v>601</v>
      </c>
    </row>
    <row r="5" spans="1:13">
      <c r="A5" s="182" t="s">
        <v>110</v>
      </c>
      <c r="B5" s="313" t="s">
        <v>103</v>
      </c>
      <c r="C5" s="314"/>
      <c r="D5" s="314"/>
      <c r="E5" s="314"/>
      <c r="F5" s="314"/>
      <c r="G5" s="314"/>
      <c r="H5" s="314"/>
      <c r="I5" s="314"/>
      <c r="J5" s="314"/>
      <c r="L5" s="191" t="s">
        <v>110</v>
      </c>
      <c r="M5" s="183" t="s">
        <v>103</v>
      </c>
    </row>
    <row r="6" spans="1:13">
      <c r="A6" s="182" t="s">
        <v>111</v>
      </c>
      <c r="B6" s="183" t="s">
        <v>104</v>
      </c>
      <c r="C6" s="183" t="s">
        <v>602</v>
      </c>
      <c r="D6" s="183" t="s">
        <v>105</v>
      </c>
      <c r="E6" s="183" t="s">
        <v>106</v>
      </c>
      <c r="F6" s="183" t="s">
        <v>600</v>
      </c>
      <c r="G6" s="183" t="s">
        <v>107</v>
      </c>
      <c r="H6" s="183" t="s">
        <v>108</v>
      </c>
      <c r="I6" s="183" t="s">
        <v>603</v>
      </c>
      <c r="J6" s="183" t="s">
        <v>109</v>
      </c>
      <c r="L6" s="182" t="s">
        <v>111</v>
      </c>
      <c r="M6" s="183" t="s">
        <v>114</v>
      </c>
    </row>
    <row r="7" spans="1:13">
      <c r="A7" s="182" t="s">
        <v>112</v>
      </c>
      <c r="B7" s="184"/>
      <c r="C7" s="184"/>
      <c r="D7" s="184"/>
      <c r="E7" s="184"/>
      <c r="F7" s="184"/>
      <c r="G7" s="184"/>
      <c r="H7" s="184"/>
      <c r="I7" s="184"/>
      <c r="J7" s="184"/>
      <c r="L7" s="182" t="s">
        <v>112</v>
      </c>
      <c r="M7" s="184"/>
    </row>
    <row r="8" spans="1:13">
      <c r="A8" s="185" t="s">
        <v>2</v>
      </c>
      <c r="B8" s="217">
        <v>1625645.26691</v>
      </c>
      <c r="C8" s="217">
        <v>3717782.1305840001</v>
      </c>
      <c r="D8" s="187">
        <v>-0.56273788790000001</v>
      </c>
      <c r="E8" s="217">
        <v>12222391.773654001</v>
      </c>
      <c r="F8" s="217">
        <v>20944403.082846001</v>
      </c>
      <c r="G8" s="187">
        <v>-0.41643637560000002</v>
      </c>
      <c r="H8" s="217">
        <v>25390370.33168</v>
      </c>
      <c r="I8" s="217">
        <v>27223570.741174001</v>
      </c>
      <c r="J8" s="187">
        <v>-6.7338720099999999E-2</v>
      </c>
      <c r="L8" s="185" t="s">
        <v>2</v>
      </c>
      <c r="M8" s="186">
        <v>17046.821230000001</v>
      </c>
    </row>
    <row r="9" spans="1:13">
      <c r="A9" s="185" t="s">
        <v>83</v>
      </c>
      <c r="B9" s="217">
        <v>56646.829089999999</v>
      </c>
      <c r="C9" s="217">
        <v>58722.846416</v>
      </c>
      <c r="D9" s="187">
        <v>-3.5352804799999998E-2</v>
      </c>
      <c r="E9" s="217">
        <v>858621.23734600004</v>
      </c>
      <c r="F9" s="217">
        <v>1381471.7661540001</v>
      </c>
      <c r="G9" s="187">
        <v>-0.37847355379999997</v>
      </c>
      <c r="H9" s="217">
        <v>1486511.0273200001</v>
      </c>
      <c r="I9" s="217">
        <v>2376473.8308259998</v>
      </c>
      <c r="J9" s="187">
        <v>-0.37448878749999998</v>
      </c>
      <c r="L9" s="185" t="s">
        <v>83</v>
      </c>
      <c r="M9" s="186">
        <v>3328.8900000000003</v>
      </c>
    </row>
    <row r="10" spans="1:13">
      <c r="A10" s="185" t="s">
        <v>3</v>
      </c>
      <c r="B10" s="217">
        <v>4647876.9560000002</v>
      </c>
      <c r="C10" s="217">
        <v>3591591.3509999998</v>
      </c>
      <c r="D10" s="187">
        <v>0.29409960699999999</v>
      </c>
      <c r="E10" s="217">
        <v>28329357.265000001</v>
      </c>
      <c r="F10" s="217">
        <v>25310418.004000001</v>
      </c>
      <c r="G10" s="187">
        <v>0.1192765469</v>
      </c>
      <c r="H10" s="217">
        <v>56216556.691</v>
      </c>
      <c r="I10" s="217">
        <v>52439150.862999998</v>
      </c>
      <c r="J10" s="187">
        <v>7.2034076899999994E-2</v>
      </c>
      <c r="L10" s="185" t="s">
        <v>3</v>
      </c>
      <c r="M10" s="186">
        <v>7117.29</v>
      </c>
    </row>
    <row r="11" spans="1:13">
      <c r="A11" s="185" t="s">
        <v>4</v>
      </c>
      <c r="B11" s="217">
        <v>416814.27100000001</v>
      </c>
      <c r="C11" s="217">
        <v>2273625.3509999998</v>
      </c>
      <c r="D11" s="187">
        <v>-0.81667416280000005</v>
      </c>
      <c r="E11" s="217">
        <v>7629333.0530000003</v>
      </c>
      <c r="F11" s="217">
        <v>13707972.482999999</v>
      </c>
      <c r="G11" s="187">
        <v>-0.44343825739999998</v>
      </c>
      <c r="H11" s="217">
        <v>28802444.971000001</v>
      </c>
      <c r="I11" s="217">
        <v>36217008.560000002</v>
      </c>
      <c r="J11" s="187">
        <v>-0.2047260081</v>
      </c>
      <c r="L11" s="185" t="s">
        <v>4</v>
      </c>
      <c r="M11" s="186">
        <v>9215.0450000000001</v>
      </c>
    </row>
    <row r="12" spans="1:13">
      <c r="A12" s="185" t="s">
        <v>100</v>
      </c>
      <c r="B12" s="217">
        <v>0</v>
      </c>
      <c r="C12" s="217">
        <v>0</v>
      </c>
      <c r="D12" s="187">
        <v>0</v>
      </c>
      <c r="E12" s="217">
        <v>0</v>
      </c>
      <c r="F12" s="217">
        <v>-1E-3</v>
      </c>
      <c r="G12" s="187">
        <v>-1</v>
      </c>
      <c r="H12" s="217">
        <v>0</v>
      </c>
      <c r="I12" s="217">
        <v>-2E-3</v>
      </c>
      <c r="J12" s="187">
        <v>-1</v>
      </c>
      <c r="L12" s="185" t="s">
        <v>100</v>
      </c>
      <c r="M12" s="186"/>
    </row>
    <row r="13" spans="1:13">
      <c r="A13" s="185" t="s">
        <v>11</v>
      </c>
      <c r="B13" s="217">
        <v>5107455.2889999999</v>
      </c>
      <c r="C13" s="217">
        <v>2180126.7059999998</v>
      </c>
      <c r="D13" s="187">
        <v>1.3427332342</v>
      </c>
      <c r="E13" s="217">
        <v>19499479.498</v>
      </c>
      <c r="F13" s="217">
        <v>10802610.408</v>
      </c>
      <c r="G13" s="187">
        <v>0.80507106719999999</v>
      </c>
      <c r="H13" s="217">
        <v>35099792.435000002</v>
      </c>
      <c r="I13" s="217">
        <v>32614087.668000001</v>
      </c>
      <c r="J13" s="187">
        <v>7.6215676900000001E-2</v>
      </c>
      <c r="L13" s="185" t="s">
        <v>11</v>
      </c>
      <c r="M13" s="186">
        <v>24561.86</v>
      </c>
    </row>
    <row r="14" spans="1:13">
      <c r="A14" s="185" t="s">
        <v>5</v>
      </c>
      <c r="B14" s="217">
        <v>3212219.1230000001</v>
      </c>
      <c r="C14" s="217">
        <v>2576111.2599999998</v>
      </c>
      <c r="D14" s="187">
        <v>0.24692561730000001</v>
      </c>
      <c r="E14" s="217">
        <v>26828321.294</v>
      </c>
      <c r="F14" s="217">
        <v>27856749.070999999</v>
      </c>
      <c r="G14" s="187">
        <v>-3.6918442099999997E-2</v>
      </c>
      <c r="H14" s="217">
        <v>47925962.370999999</v>
      </c>
      <c r="I14" s="217">
        <v>50204745.998999998</v>
      </c>
      <c r="J14" s="187">
        <v>-4.5389804899999997E-2</v>
      </c>
      <c r="L14" s="185" t="s">
        <v>5</v>
      </c>
      <c r="M14" s="186">
        <v>23230.076000000001</v>
      </c>
    </row>
    <row r="15" spans="1:13">
      <c r="A15" s="185" t="s">
        <v>6</v>
      </c>
      <c r="B15" s="217">
        <v>891401.00300000003</v>
      </c>
      <c r="C15" s="217">
        <v>781419.90099999995</v>
      </c>
      <c r="D15" s="187">
        <v>0.1407452022</v>
      </c>
      <c r="E15" s="217">
        <v>4294023.2249999996</v>
      </c>
      <c r="F15" s="217">
        <v>3687795.5580000002</v>
      </c>
      <c r="G15" s="187">
        <v>0.1643875474</v>
      </c>
      <c r="H15" s="217">
        <v>7984045.8439999996</v>
      </c>
      <c r="I15" s="217">
        <v>7664118.4709999999</v>
      </c>
      <c r="J15" s="187">
        <v>4.1743531799999997E-2</v>
      </c>
      <c r="L15" s="185" t="s">
        <v>6</v>
      </c>
      <c r="M15" s="186">
        <v>5125.5926000001282</v>
      </c>
    </row>
    <row r="16" spans="1:13">
      <c r="A16" s="185" t="s">
        <v>7</v>
      </c>
      <c r="B16" s="217">
        <v>775057.58100000001</v>
      </c>
      <c r="C16" s="217">
        <v>551292.603</v>
      </c>
      <c r="D16" s="187">
        <v>0.40589149349999998</v>
      </c>
      <c r="E16" s="217">
        <v>2801376.085</v>
      </c>
      <c r="F16" s="217">
        <v>1930588.94</v>
      </c>
      <c r="G16" s="187">
        <v>0.45104741199999998</v>
      </c>
      <c r="H16" s="217">
        <v>5295113.8190000001</v>
      </c>
      <c r="I16" s="217">
        <v>4794687.9289999995</v>
      </c>
      <c r="J16" s="187">
        <v>0.1043708991</v>
      </c>
      <c r="L16" s="185" t="s">
        <v>7</v>
      </c>
      <c r="M16" s="186">
        <v>2304.1129999999998</v>
      </c>
    </row>
    <row r="17" spans="1:13">
      <c r="A17" s="185" t="s">
        <v>8</v>
      </c>
      <c r="B17" s="217">
        <v>285588.42200000002</v>
      </c>
      <c r="C17" s="217">
        <v>304160.03399999999</v>
      </c>
      <c r="D17" s="187">
        <v>-6.1058686000000001E-2</v>
      </c>
      <c r="E17" s="217">
        <v>1739024.7309999999</v>
      </c>
      <c r="F17" s="217">
        <v>1698915.3330000001</v>
      </c>
      <c r="G17" s="187">
        <v>2.3608826900000001E-2</v>
      </c>
      <c r="H17" s="217">
        <v>3586879.449</v>
      </c>
      <c r="I17" s="217">
        <v>3582984.2620000001</v>
      </c>
      <c r="J17" s="187">
        <v>1.0871348000000001E-3</v>
      </c>
      <c r="L17" s="185" t="s">
        <v>8</v>
      </c>
      <c r="M17" s="186">
        <v>869.90099999999995</v>
      </c>
    </row>
    <row r="18" spans="1:13">
      <c r="A18" s="185" t="s">
        <v>9</v>
      </c>
      <c r="B18" s="217">
        <v>2417876.4569999999</v>
      </c>
      <c r="C18" s="217">
        <v>2403667.7799999998</v>
      </c>
      <c r="D18" s="187">
        <v>5.9112482999999997E-3</v>
      </c>
      <c r="E18" s="217">
        <v>15086969.505999999</v>
      </c>
      <c r="F18" s="217">
        <v>14243356.841</v>
      </c>
      <c r="G18" s="187">
        <v>5.92285003E-2</v>
      </c>
      <c r="H18" s="217">
        <v>29815208.548</v>
      </c>
      <c r="I18" s="217">
        <v>28495823.945999999</v>
      </c>
      <c r="J18" s="187">
        <v>4.6300980999999998E-2</v>
      </c>
      <c r="L18" s="185" t="s">
        <v>9</v>
      </c>
      <c r="M18" s="186">
        <v>5690.5279</v>
      </c>
    </row>
    <row r="19" spans="1:13">
      <c r="A19" s="185" t="s">
        <v>71</v>
      </c>
      <c r="B19" s="217">
        <v>62621.202499999999</v>
      </c>
      <c r="C19" s="217">
        <v>50806.421000000002</v>
      </c>
      <c r="D19" s="187">
        <v>0.23254504579999999</v>
      </c>
      <c r="E19" s="217">
        <v>356006.23100000003</v>
      </c>
      <c r="F19" s="217">
        <v>339448.88400000002</v>
      </c>
      <c r="G19" s="187">
        <v>4.8777143699999997E-2</v>
      </c>
      <c r="H19" s="217">
        <v>749528.0085</v>
      </c>
      <c r="I19" s="217">
        <v>739127.83750000002</v>
      </c>
      <c r="J19" s="187">
        <v>1.4070869E-2</v>
      </c>
      <c r="L19" s="185" t="s">
        <v>71</v>
      </c>
      <c r="M19" s="186">
        <v>123.0415</v>
      </c>
    </row>
    <row r="20" spans="1:13">
      <c r="A20" s="185" t="s">
        <v>72</v>
      </c>
      <c r="B20" s="217">
        <v>156896.8695</v>
      </c>
      <c r="C20" s="217">
        <v>175412.79500000001</v>
      </c>
      <c r="D20" s="187">
        <v>-0.1055562994</v>
      </c>
      <c r="E20" s="217">
        <v>1065044.8389999999</v>
      </c>
      <c r="F20" s="217">
        <v>1126248.43</v>
      </c>
      <c r="G20" s="187">
        <v>-5.4342886899999998E-2</v>
      </c>
      <c r="H20" s="217">
        <v>2232654.6115000001</v>
      </c>
      <c r="I20" s="217">
        <v>2408891.0945000001</v>
      </c>
      <c r="J20" s="187">
        <v>-7.3160834600000002E-2</v>
      </c>
      <c r="L20" s="185" t="s">
        <v>72</v>
      </c>
      <c r="M20" s="186">
        <v>452.3775</v>
      </c>
    </row>
    <row r="21" spans="1:13">
      <c r="A21" s="188" t="s">
        <v>10</v>
      </c>
      <c r="B21" s="218">
        <v>19656099.27</v>
      </c>
      <c r="C21" s="218">
        <v>18664719.179000001</v>
      </c>
      <c r="D21" s="190">
        <v>5.3115189200000003E-2</v>
      </c>
      <c r="E21" s="218">
        <v>120709948.73800001</v>
      </c>
      <c r="F21" s="218">
        <v>123029978.8</v>
      </c>
      <c r="G21" s="190">
        <v>-1.88574369E-2</v>
      </c>
      <c r="H21" s="218">
        <v>244585068.10699999</v>
      </c>
      <c r="I21" s="218">
        <v>248760671.19999999</v>
      </c>
      <c r="J21" s="190">
        <v>-1.6785623999999999E-2</v>
      </c>
      <c r="L21" s="188" t="s">
        <v>10</v>
      </c>
      <c r="M21" s="189">
        <f>SUM(M8:M20)</f>
        <v>99065.535730000134</v>
      </c>
    </row>
    <row r="22" spans="1:13">
      <c r="A22" s="185" t="s">
        <v>139</v>
      </c>
      <c r="B22" s="217">
        <v>-83620.232999999993</v>
      </c>
      <c r="C22" s="217">
        <v>-83652.090872000001</v>
      </c>
      <c r="D22" s="187">
        <v>-3.8083769999999999E-4</v>
      </c>
      <c r="E22" s="217">
        <v>-1403093.579226</v>
      </c>
      <c r="F22" s="217">
        <v>-2235779.5376849999</v>
      </c>
      <c r="G22" s="187">
        <v>-0.37243652360000001</v>
      </c>
      <c r="H22" s="217">
        <v>-2365746.4205140001</v>
      </c>
      <c r="I22" s="217">
        <v>-3826837.5136850001</v>
      </c>
      <c r="J22" s="187">
        <v>-0.38180118390000001</v>
      </c>
    </row>
    <row r="23" spans="1:13">
      <c r="A23" s="185" t="s">
        <v>102</v>
      </c>
      <c r="B23" s="217">
        <v>-159634.671</v>
      </c>
      <c r="C23" s="217">
        <v>-108623.63499999999</v>
      </c>
      <c r="D23" s="187">
        <v>0.46961267680000002</v>
      </c>
      <c r="E23" s="217">
        <v>-806030.69799999997</v>
      </c>
      <c r="F23" s="217">
        <v>-540850.34900000005</v>
      </c>
      <c r="G23" s="187">
        <v>0.49030263080000003</v>
      </c>
      <c r="H23" s="217">
        <v>-1498538.4909999999</v>
      </c>
      <c r="I23" s="217">
        <v>-1234257.7760000001</v>
      </c>
      <c r="J23" s="187">
        <v>0.2141211667</v>
      </c>
    </row>
    <row r="24" spans="1:13">
      <c r="A24" s="185" t="s">
        <v>140</v>
      </c>
      <c r="B24" s="217">
        <v>536874.45299999998</v>
      </c>
      <c r="C24" s="217">
        <v>1863964.3</v>
      </c>
      <c r="D24" s="187">
        <v>-0.71197170840000001</v>
      </c>
      <c r="E24" s="217">
        <v>5026101.9510000004</v>
      </c>
      <c r="F24" s="217">
        <v>6038702.9869999997</v>
      </c>
      <c r="G24" s="187">
        <v>-0.16768518639999999</v>
      </c>
      <c r="H24" s="217">
        <v>10089710.109999999</v>
      </c>
      <c r="I24" s="217">
        <v>10126209.089</v>
      </c>
      <c r="J24" s="187">
        <v>-3.604407E-3</v>
      </c>
    </row>
    <row r="25" spans="1:13">
      <c r="A25" s="188" t="s">
        <v>141</v>
      </c>
      <c r="B25" s="218">
        <v>19949718.818999998</v>
      </c>
      <c r="C25" s="218">
        <v>20336407.753128</v>
      </c>
      <c r="D25" s="190">
        <v>-1.9014613499999999E-2</v>
      </c>
      <c r="E25" s="218">
        <v>123526926.41177399</v>
      </c>
      <c r="F25" s="218">
        <v>126292051.900315</v>
      </c>
      <c r="G25" s="190">
        <v>-2.1894691300000001E-2</v>
      </c>
      <c r="H25" s="218">
        <v>250810493.30548599</v>
      </c>
      <c r="I25" s="218">
        <v>253825784.99931499</v>
      </c>
      <c r="J25" s="190">
        <v>-1.1879374999999999E-2</v>
      </c>
    </row>
    <row r="31" spans="1:13">
      <c r="A31" s="105" t="s">
        <v>56</v>
      </c>
      <c r="B31" s="172"/>
      <c r="C31" s="172"/>
      <c r="D31" s="172"/>
      <c r="E31" s="173"/>
      <c r="F31" s="173"/>
    </row>
    <row r="32" spans="1:13">
      <c r="A32" s="106"/>
      <c r="B32" s="89" t="s">
        <v>57</v>
      </c>
      <c r="C32" s="89" t="s">
        <v>14</v>
      </c>
      <c r="D32" s="107"/>
      <c r="E32" s="177"/>
      <c r="F32" s="178" t="s">
        <v>14</v>
      </c>
    </row>
    <row r="33" spans="1:6">
      <c r="A33" s="134" t="s">
        <v>83</v>
      </c>
      <c r="B33" s="130">
        <f t="shared" ref="B33:B44" si="0">VLOOKUP(A33,L$8:M$22,2,FALSE)</f>
        <v>3328.8900000000003</v>
      </c>
      <c r="C33" s="109">
        <f>ROUND(B33/$B$45*100,1)</f>
        <v>3.4</v>
      </c>
      <c r="D33" s="107"/>
      <c r="E33" s="175" t="s">
        <v>16</v>
      </c>
      <c r="F33" s="176">
        <f>SUM(C33:C38)</f>
        <v>50.899999999999991</v>
      </c>
    </row>
    <row r="34" spans="1:6">
      <c r="A34" s="108" t="s">
        <v>3</v>
      </c>
      <c r="B34" s="130">
        <f t="shared" si="0"/>
        <v>7117.29</v>
      </c>
      <c r="C34" s="109">
        <f t="shared" ref="C34:C36" si="1">ROUND(B34/$B$45*100,1)</f>
        <v>7.2</v>
      </c>
      <c r="D34" s="107"/>
      <c r="E34" s="179" t="s">
        <v>17</v>
      </c>
      <c r="F34" s="180">
        <f>SUM(C39:C44)</f>
        <v>49.1</v>
      </c>
    </row>
    <row r="35" spans="1:6">
      <c r="A35" s="108" t="s">
        <v>4</v>
      </c>
      <c r="B35" s="130">
        <f t="shared" si="0"/>
        <v>9215.0450000000001</v>
      </c>
      <c r="C35" s="109">
        <f t="shared" si="1"/>
        <v>9.3000000000000007</v>
      </c>
      <c r="D35" s="107"/>
      <c r="E35" s="173"/>
      <c r="F35" s="173"/>
    </row>
    <row r="36" spans="1:6">
      <c r="A36" s="108" t="s">
        <v>11</v>
      </c>
      <c r="B36" s="130">
        <f t="shared" si="0"/>
        <v>24561.86</v>
      </c>
      <c r="C36" s="109">
        <f t="shared" si="1"/>
        <v>24.8</v>
      </c>
      <c r="D36" s="107"/>
      <c r="E36" s="173"/>
      <c r="F36" s="173"/>
    </row>
    <row r="37" spans="1:6">
      <c r="A37" s="108" t="s">
        <v>9</v>
      </c>
      <c r="B37" s="130">
        <f t="shared" si="0"/>
        <v>5690.5279</v>
      </c>
      <c r="C37" s="109">
        <f>100-SUM(C33:C36,C38:C44)</f>
        <v>5.6999999999999886</v>
      </c>
      <c r="D37" s="107"/>
      <c r="E37" s="173"/>
      <c r="F37" s="173"/>
    </row>
    <row r="38" spans="1:6">
      <c r="A38" s="108" t="s">
        <v>72</v>
      </c>
      <c r="B38" s="130">
        <f t="shared" si="0"/>
        <v>452.3775</v>
      </c>
      <c r="C38" s="109">
        <f t="shared" ref="C38:C44" si="2">ROUND(B38/$B$45*100,1)</f>
        <v>0.5</v>
      </c>
      <c r="D38" s="107"/>
      <c r="E38" s="173"/>
      <c r="F38" s="173"/>
    </row>
    <row r="39" spans="1:6">
      <c r="A39" s="108" t="s">
        <v>71</v>
      </c>
      <c r="B39" s="130">
        <f t="shared" si="0"/>
        <v>123.0415</v>
      </c>
      <c r="C39" s="109">
        <f t="shared" si="2"/>
        <v>0.1</v>
      </c>
      <c r="D39" s="107"/>
      <c r="E39" s="173"/>
      <c r="F39" s="173"/>
    </row>
    <row r="40" spans="1:6">
      <c r="A40" s="108" t="s">
        <v>5</v>
      </c>
      <c r="B40" s="130">
        <f t="shared" si="0"/>
        <v>23230.076000000001</v>
      </c>
      <c r="C40" s="109">
        <f t="shared" si="2"/>
        <v>23.4</v>
      </c>
      <c r="D40" s="107"/>
      <c r="E40" s="173"/>
      <c r="F40" s="173"/>
    </row>
    <row r="41" spans="1:6">
      <c r="A41" s="108" t="s">
        <v>2</v>
      </c>
      <c r="B41" s="130">
        <f t="shared" si="0"/>
        <v>17046.821230000001</v>
      </c>
      <c r="C41" s="109">
        <f t="shared" si="2"/>
        <v>17.2</v>
      </c>
      <c r="D41" s="107"/>
      <c r="E41" s="173"/>
      <c r="F41" s="173"/>
    </row>
    <row r="42" spans="1:6">
      <c r="A42" s="108" t="s">
        <v>6</v>
      </c>
      <c r="B42" s="130">
        <f t="shared" si="0"/>
        <v>5125.5926000001282</v>
      </c>
      <c r="C42" s="109">
        <f t="shared" si="2"/>
        <v>5.2</v>
      </c>
      <c r="D42" s="107"/>
      <c r="E42" s="173"/>
      <c r="F42" s="173"/>
    </row>
    <row r="43" spans="1:6">
      <c r="A43" s="108" t="s">
        <v>7</v>
      </c>
      <c r="B43" s="130">
        <f t="shared" si="0"/>
        <v>2304.1129999999998</v>
      </c>
      <c r="C43" s="109">
        <f t="shared" si="2"/>
        <v>2.2999999999999998</v>
      </c>
      <c r="D43" s="107"/>
      <c r="E43" s="173"/>
      <c r="F43" s="173"/>
    </row>
    <row r="44" spans="1:6">
      <c r="A44" s="108" t="s">
        <v>8</v>
      </c>
      <c r="B44" s="130">
        <f t="shared" si="0"/>
        <v>869.90099999999995</v>
      </c>
      <c r="C44" s="109">
        <f t="shared" si="2"/>
        <v>0.9</v>
      </c>
      <c r="D44" s="107"/>
      <c r="E44" s="173"/>
      <c r="F44" s="173"/>
    </row>
    <row r="45" spans="1:6">
      <c r="A45" s="110" t="s">
        <v>15</v>
      </c>
      <c r="B45" s="131">
        <f>SUM(B33:B44)</f>
        <v>99065.535730000134</v>
      </c>
      <c r="C45" s="111">
        <f>SUM(C33:C44)</f>
        <v>100</v>
      </c>
      <c r="D45" s="107" t="str">
        <f>CONCATENATE(TEXT(B45,"#.##0")," MW")</f>
        <v>99.066 MW</v>
      </c>
      <c r="E45" s="173"/>
      <c r="F45" s="173"/>
    </row>
    <row r="48" spans="1:6">
      <c r="A48" s="105" t="s">
        <v>59</v>
      </c>
      <c r="B48" s="172"/>
      <c r="C48" s="172"/>
      <c r="D48" s="172"/>
      <c r="E48" s="173"/>
      <c r="F48" s="173"/>
    </row>
    <row r="49" spans="1:6">
      <c r="A49" s="106"/>
      <c r="B49" s="89" t="s">
        <v>0</v>
      </c>
      <c r="C49" s="89" t="s">
        <v>14</v>
      </c>
      <c r="D49" s="107"/>
      <c r="E49" s="177"/>
      <c r="F49" s="178" t="s">
        <v>14</v>
      </c>
    </row>
    <row r="50" spans="1:6">
      <c r="A50" s="134" t="s">
        <v>83</v>
      </c>
      <c r="B50" s="181">
        <f>VLOOKUP(A33,A$8:B$22,2,FALSE)/1000</f>
        <v>56.646829089999997</v>
      </c>
      <c r="C50" s="109">
        <f>ROUND(B50/$B$62*100,1)</f>
        <v>0.3</v>
      </c>
      <c r="D50" s="107"/>
      <c r="E50" s="175" t="s">
        <v>16</v>
      </c>
      <c r="F50" s="176">
        <f>SUM(C50:C55)</f>
        <v>65.247074787946985</v>
      </c>
    </row>
    <row r="51" spans="1:6">
      <c r="A51" s="108" t="s">
        <v>3</v>
      </c>
      <c r="B51" s="181">
        <f t="shared" ref="B51:B61" si="3">VLOOKUP(A34,A$8:B$22,2,FALSE)/1000</f>
        <v>4647.8769560000001</v>
      </c>
      <c r="C51" s="109">
        <f t="shared" ref="C51:C60" si="4">ROUND(B51/$B$62*100,1)</f>
        <v>23.6</v>
      </c>
      <c r="D51" s="132"/>
      <c r="E51" s="179" t="s">
        <v>17</v>
      </c>
      <c r="F51" s="180">
        <f>SUM(C56:C61)</f>
        <v>34.752925212053029</v>
      </c>
    </row>
    <row r="52" spans="1:6">
      <c r="A52" s="108" t="s">
        <v>4</v>
      </c>
      <c r="B52" s="181">
        <f t="shared" si="3"/>
        <v>416.81427100000002</v>
      </c>
      <c r="C52" s="109">
        <f t="shared" si="4"/>
        <v>2.1</v>
      </c>
      <c r="D52" s="132"/>
      <c r="E52" s="173"/>
      <c r="F52" s="173"/>
    </row>
    <row r="53" spans="1:6">
      <c r="A53" s="108" t="s">
        <v>11</v>
      </c>
      <c r="B53" s="181">
        <f t="shared" si="3"/>
        <v>5107.4552889999995</v>
      </c>
      <c r="C53" s="109">
        <f t="shared" si="4"/>
        <v>26</v>
      </c>
      <c r="D53" s="132"/>
      <c r="E53" s="173"/>
      <c r="F53" s="173"/>
    </row>
    <row r="54" spans="1:6">
      <c r="A54" s="108" t="s">
        <v>9</v>
      </c>
      <c r="B54" s="181">
        <f t="shared" si="3"/>
        <v>2417.8764569999998</v>
      </c>
      <c r="C54" s="109">
        <f>100-SUM(C50:C53,C55:C61)</f>
        <v>12.447074787946988</v>
      </c>
      <c r="D54" s="132"/>
      <c r="E54" s="173"/>
      <c r="F54" s="174"/>
    </row>
    <row r="55" spans="1:6">
      <c r="A55" s="108" t="s">
        <v>72</v>
      </c>
      <c r="B55" s="181">
        <f t="shared" si="3"/>
        <v>156.89686950000001</v>
      </c>
      <c r="C55" s="109">
        <f t="shared" si="4"/>
        <v>0.8</v>
      </c>
      <c r="D55" s="132"/>
      <c r="E55" s="173"/>
      <c r="F55" s="173"/>
    </row>
    <row r="56" spans="1:6">
      <c r="A56" s="108" t="s">
        <v>71</v>
      </c>
      <c r="B56" s="181">
        <f t="shared" si="3"/>
        <v>62.621202500000003</v>
      </c>
      <c r="C56" s="109">
        <f t="shared" si="4"/>
        <v>0.3</v>
      </c>
      <c r="D56" s="132"/>
      <c r="E56" s="173"/>
      <c r="F56" s="173"/>
    </row>
    <row r="57" spans="1:6">
      <c r="A57" s="108" t="s">
        <v>5</v>
      </c>
      <c r="B57" s="181">
        <f t="shared" si="3"/>
        <v>3212.2191230000003</v>
      </c>
      <c r="C57" s="109">
        <f t="shared" si="4"/>
        <v>16.3</v>
      </c>
      <c r="D57" s="132"/>
      <c r="E57" s="173"/>
      <c r="F57" s="173"/>
    </row>
    <row r="58" spans="1:6">
      <c r="A58" s="108" t="s">
        <v>2</v>
      </c>
      <c r="B58" s="181">
        <f t="shared" si="3"/>
        <v>1625.6452669099999</v>
      </c>
      <c r="C58" s="109">
        <f t="shared" si="4"/>
        <v>8.3000000000000007</v>
      </c>
      <c r="D58" s="132"/>
      <c r="E58" s="173"/>
      <c r="F58" s="173"/>
    </row>
    <row r="59" spans="1:6">
      <c r="A59" s="108" t="s">
        <v>6</v>
      </c>
      <c r="B59" s="181">
        <f t="shared" si="3"/>
        <v>891.40100300000006</v>
      </c>
      <c r="C59" s="109">
        <f t="shared" si="4"/>
        <v>4.5</v>
      </c>
      <c r="D59" s="132"/>
      <c r="E59" s="173"/>
      <c r="F59" s="173"/>
    </row>
    <row r="60" spans="1:6">
      <c r="A60" s="108" t="s">
        <v>7</v>
      </c>
      <c r="B60" s="181">
        <f t="shared" si="3"/>
        <v>775.05758100000003</v>
      </c>
      <c r="C60" s="109">
        <f t="shared" si="4"/>
        <v>3.9</v>
      </c>
      <c r="D60" s="132"/>
      <c r="E60" s="173"/>
      <c r="F60" s="173"/>
    </row>
    <row r="61" spans="1:6">
      <c r="A61" s="108" t="s">
        <v>8</v>
      </c>
      <c r="B61" s="181">
        <f t="shared" si="3"/>
        <v>285.58842200000004</v>
      </c>
      <c r="C61" s="109">
        <f t="shared" ref="C61" si="5">B61/$B$62*100</f>
        <v>1.4529252120530218</v>
      </c>
      <c r="D61" s="132"/>
      <c r="E61" s="173"/>
      <c r="F61" s="173"/>
    </row>
    <row r="62" spans="1:6">
      <c r="A62" s="110" t="s">
        <v>15</v>
      </c>
      <c r="B62" s="131">
        <f>SUM(B50:B61)</f>
        <v>19656.099270000002</v>
      </c>
      <c r="C62" s="111">
        <f>SUM(C50:C61)</f>
        <v>100</v>
      </c>
      <c r="D62" s="173"/>
      <c r="E62" s="173"/>
      <c r="F62" s="173"/>
    </row>
    <row r="66" spans="1:8">
      <c r="A66" s="182" t="s">
        <v>31</v>
      </c>
      <c r="B66" s="293" t="s">
        <v>604</v>
      </c>
      <c r="G66" s="182" t="s">
        <v>31</v>
      </c>
      <c r="H66" s="293" t="s">
        <v>138</v>
      </c>
    </row>
    <row r="67" spans="1:8">
      <c r="A67" s="182" t="s">
        <v>111</v>
      </c>
      <c r="B67" s="183" t="s">
        <v>115</v>
      </c>
      <c r="G67" s="182" t="s">
        <v>111</v>
      </c>
      <c r="H67" s="183" t="s">
        <v>115</v>
      </c>
    </row>
    <row r="68" spans="1:8">
      <c r="A68" s="182" t="s">
        <v>116</v>
      </c>
      <c r="B68" s="184"/>
      <c r="G68" s="182" t="s">
        <v>117</v>
      </c>
      <c r="H68" s="184"/>
    </row>
    <row r="69" spans="1:8">
      <c r="A69" s="185" t="s">
        <v>2</v>
      </c>
      <c r="B69" s="186">
        <v>60.426964583999997</v>
      </c>
      <c r="G69" s="185" t="s">
        <v>2</v>
      </c>
      <c r="H69" s="186">
        <v>171.761425718</v>
      </c>
    </row>
    <row r="70" spans="1:8">
      <c r="A70" s="185" t="s">
        <v>83</v>
      </c>
      <c r="B70" s="186">
        <v>4.6941384160000004</v>
      </c>
      <c r="G70" s="185" t="s">
        <v>83</v>
      </c>
      <c r="H70" s="186">
        <v>11.144527282</v>
      </c>
    </row>
    <row r="71" spans="1:8">
      <c r="A71" s="185" t="s">
        <v>3</v>
      </c>
      <c r="B71" s="186">
        <v>132.28145699999999</v>
      </c>
      <c r="G71" s="185" t="s">
        <v>3</v>
      </c>
      <c r="H71" s="186">
        <v>145.826773</v>
      </c>
    </row>
    <row r="72" spans="1:8">
      <c r="A72" s="185" t="s">
        <v>4</v>
      </c>
      <c r="B72" s="186">
        <v>13.841775999999999</v>
      </c>
      <c r="G72" s="185" t="s">
        <v>4</v>
      </c>
      <c r="H72" s="186">
        <v>36.112304999999999</v>
      </c>
    </row>
    <row r="73" spans="1:8">
      <c r="A73" s="185" t="s">
        <v>100</v>
      </c>
      <c r="B73" s="186">
        <v>0</v>
      </c>
      <c r="G73" s="185" t="s">
        <v>100</v>
      </c>
      <c r="H73" s="186">
        <v>0</v>
      </c>
    </row>
    <row r="74" spans="1:8">
      <c r="A74" s="185" t="s">
        <v>11</v>
      </c>
      <c r="B74" s="186">
        <v>139.39908399999999</v>
      </c>
      <c r="G74" s="185" t="s">
        <v>11</v>
      </c>
      <c r="H74" s="186">
        <v>35.756722000000003</v>
      </c>
    </row>
    <row r="75" spans="1:8">
      <c r="A75" s="185" t="s">
        <v>5</v>
      </c>
      <c r="B75" s="186">
        <v>177.62349599999999</v>
      </c>
      <c r="G75" s="185" t="s">
        <v>5</v>
      </c>
      <c r="H75" s="186">
        <v>326.92698000000001</v>
      </c>
    </row>
    <row r="76" spans="1:8">
      <c r="A76" s="185" t="s">
        <v>6</v>
      </c>
      <c r="B76" s="186">
        <v>31.524985000000001</v>
      </c>
      <c r="G76" s="185" t="s">
        <v>6</v>
      </c>
      <c r="H76" s="186">
        <v>19.805879000000001</v>
      </c>
    </row>
    <row r="77" spans="1:8">
      <c r="A77" s="185" t="s">
        <v>7</v>
      </c>
      <c r="B77" s="186">
        <v>28.477979000000001</v>
      </c>
      <c r="G77" s="185" t="s">
        <v>7</v>
      </c>
      <c r="H77" s="186">
        <v>11.256307</v>
      </c>
    </row>
    <row r="78" spans="1:8">
      <c r="A78" s="185" t="s">
        <v>8</v>
      </c>
      <c r="B78" s="186">
        <v>9.5825440000000004</v>
      </c>
      <c r="G78" s="185" t="s">
        <v>8</v>
      </c>
      <c r="H78" s="186">
        <v>8.0477620000000005</v>
      </c>
    </row>
    <row r="79" spans="1:8">
      <c r="A79" s="185" t="s">
        <v>9</v>
      </c>
      <c r="B79" s="186">
        <v>84.083751000000007</v>
      </c>
      <c r="G79" s="185" t="s">
        <v>9</v>
      </c>
      <c r="H79" s="186">
        <v>79.388705999999999</v>
      </c>
    </row>
    <row r="80" spans="1:8">
      <c r="A80" s="185" t="s">
        <v>71</v>
      </c>
      <c r="B80" s="186">
        <v>2.2864230000000001</v>
      </c>
      <c r="G80" s="185" t="s">
        <v>71</v>
      </c>
      <c r="H80" s="186">
        <v>2.128638</v>
      </c>
    </row>
    <row r="81" spans="1:11">
      <c r="A81" s="185" t="s">
        <v>72</v>
      </c>
      <c r="B81" s="186">
        <v>4.630744</v>
      </c>
      <c r="G81" s="185" t="s">
        <v>72</v>
      </c>
      <c r="H81" s="186">
        <v>7.1086039999999997</v>
      </c>
    </row>
    <row r="82" spans="1:11">
      <c r="A82" s="188" t="s">
        <v>10</v>
      </c>
      <c r="B82" s="189">
        <v>688.853342</v>
      </c>
      <c r="G82" s="188" t="s">
        <v>10</v>
      </c>
      <c r="H82" s="189">
        <v>855.26462900000001</v>
      </c>
    </row>
    <row r="83" spans="1:11">
      <c r="A83" s="185" t="s">
        <v>139</v>
      </c>
      <c r="B83" s="186">
        <v>-12.041458</v>
      </c>
      <c r="G83" s="185" t="s">
        <v>139</v>
      </c>
      <c r="H83" s="186">
        <v>-16.683171999999999</v>
      </c>
    </row>
    <row r="84" spans="1:11">
      <c r="A84" s="185" t="s">
        <v>102</v>
      </c>
      <c r="B84" s="186">
        <v>-5.0855040000000002</v>
      </c>
      <c r="G84" s="185" t="s">
        <v>102</v>
      </c>
      <c r="H84" s="186">
        <v>-2.1485099999999999</v>
      </c>
    </row>
    <row r="85" spans="1:11">
      <c r="A85" s="185" t="s">
        <v>140</v>
      </c>
      <c r="B85" s="186">
        <v>0.44254300000000002</v>
      </c>
      <c r="G85" s="185" t="s">
        <v>140</v>
      </c>
      <c r="H85" s="186">
        <v>-47.434305999999999</v>
      </c>
    </row>
    <row r="86" spans="1:11">
      <c r="A86" s="188" t="s">
        <v>141</v>
      </c>
      <c r="B86" s="189">
        <v>672.16892299999995</v>
      </c>
      <c r="G86" s="188" t="s">
        <v>141</v>
      </c>
      <c r="H86" s="189">
        <v>788.99864100000002</v>
      </c>
    </row>
    <row r="91" spans="1:11">
      <c r="B91" s="196" t="str">
        <f>"Mes " &amp;B66</f>
        <v>Mes 07/06/2019</v>
      </c>
      <c r="H91" s="196" t="str">
        <f>"Histórico " &amp;H66</f>
        <v>Histórico 20/03/2018</v>
      </c>
    </row>
    <row r="92" spans="1:11">
      <c r="A92" s="153" t="str">
        <f>"Estructura de generacion mensual de energía eléctrica peninsular " &amp; B66</f>
        <v>Estructura de generacion mensual de energía eléctrica peninsular 07/06/2019</v>
      </c>
      <c r="B92" s="172"/>
      <c r="C92" s="172"/>
      <c r="D92" s="172"/>
      <c r="E92" s="195" t="str">
        <f>CONCATENATE("Mes",CHAR(13),MID(A92,66,10))</f>
        <v>Mes_x000D_07/06/2019</v>
      </c>
      <c r="G92" s="153" t="str">
        <f>"Estructura de generacion mensual de energía eléctrica peninsular " &amp; H66</f>
        <v>Estructura de generacion mensual de energía eléctrica peninsular 20/03/2018</v>
      </c>
      <c r="H92" s="172"/>
      <c r="I92" s="172"/>
      <c r="J92" s="172"/>
      <c r="K92" s="172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83</v>
      </c>
      <c r="B94" s="194">
        <f>ROUND(VLOOKUP(A94,A$69:B$84,2,FALSE)/VLOOKUP("Generación",A$69:B$84,2,FALSE)*100,1)</f>
        <v>0.7</v>
      </c>
      <c r="C94" s="107"/>
      <c r="G94" s="108" t="s">
        <v>83</v>
      </c>
      <c r="H94" s="194">
        <f>ROUND(VLOOKUP(G94,G$69:H$84,2,FALSE)/VLOOKUP("Generación",G$69:H$84,2,FALSE)*100,1)</f>
        <v>1.3</v>
      </c>
      <c r="I94" s="107"/>
    </row>
    <row r="95" spans="1:11">
      <c r="A95" s="108" t="s">
        <v>3</v>
      </c>
      <c r="B95" s="194">
        <f>ROUND(VLOOKUP(A95,A$69:B$84,2,FALSE)/VLOOKUP("Generación",A$69:B$84,2,FALSE)*100,1)</f>
        <v>19.2</v>
      </c>
      <c r="C95" s="107"/>
      <c r="G95" s="108" t="s">
        <v>3</v>
      </c>
      <c r="H95" s="194">
        <f>ROUND(VLOOKUP(G95,G$69:H$84,2,FALSE)/VLOOKUP("Generación",G$69:H$84,2,FALSE)*100,1)</f>
        <v>17.100000000000001</v>
      </c>
      <c r="I95" s="107"/>
    </row>
    <row r="96" spans="1:11">
      <c r="A96" s="108" t="s">
        <v>4</v>
      </c>
      <c r="B96" s="194">
        <f>ROUND(VLOOKUP(A96,A$69:B$84,2,FALSE)/VLOOKUP("Generación",A$69:B$84,2,FALSE)*100,1)</f>
        <v>2</v>
      </c>
      <c r="C96" s="107"/>
      <c r="D96" s="173"/>
      <c r="E96" s="173"/>
      <c r="G96" s="108" t="s">
        <v>4</v>
      </c>
      <c r="H96" s="194">
        <f>ROUND(VLOOKUP(G96,G$69:H$84,2,FALSE)/VLOOKUP("Generación",G$69:H$84,2,FALSE)*100,1)</f>
        <v>4.2</v>
      </c>
      <c r="I96" s="107"/>
      <c r="J96" s="173"/>
      <c r="K96" s="173"/>
    </row>
    <row r="97" spans="1:11">
      <c r="A97" s="108" t="s">
        <v>11</v>
      </c>
      <c r="B97" s="194">
        <f>ROUND(VLOOKUP(A97,A$69:B$84,2,FALSE)/VLOOKUP("Generación",A$69:B$84,2,FALSE)*100,1)</f>
        <v>20.2</v>
      </c>
      <c r="C97" s="107"/>
      <c r="D97" s="173"/>
      <c r="E97" s="173"/>
      <c r="G97" s="108" t="s">
        <v>11</v>
      </c>
      <c r="H97" s="194">
        <f>ROUND(VLOOKUP(G97,G$69:H$84,2,FALSE)/VLOOKUP("Generación",G$69:H$84,2,FALSE)*100,1)</f>
        <v>4.2</v>
      </c>
      <c r="I97" s="107"/>
      <c r="J97" s="173"/>
      <c r="K97" s="173"/>
    </row>
    <row r="98" spans="1:11">
      <c r="A98" s="108" t="s">
        <v>9</v>
      </c>
      <c r="B98" s="194">
        <f>100-SUM(B94:B97,B99:B105)</f>
        <v>12.200000000000017</v>
      </c>
      <c r="C98" s="107"/>
      <c r="D98" s="107"/>
      <c r="E98" s="107"/>
      <c r="G98" s="108" t="s">
        <v>9</v>
      </c>
      <c r="H98" s="194">
        <f>100-SUM(H94:H97,H99:H105)</f>
        <v>9.4000000000000057</v>
      </c>
      <c r="I98" s="107"/>
      <c r="J98" s="107"/>
      <c r="K98" s="107"/>
    </row>
    <row r="99" spans="1:11">
      <c r="A99" s="108" t="s">
        <v>72</v>
      </c>
      <c r="B99" s="194">
        <f t="shared" ref="B99:B105" si="6">ROUND(VLOOKUP(A99,A$69:B$84,2,FALSE)/VLOOKUP("Generación",A$69:B$84,2,FALSE)*100,1)</f>
        <v>0.7</v>
      </c>
      <c r="C99" s="107"/>
      <c r="D99" s="107"/>
      <c r="E99" s="107"/>
      <c r="G99" s="108" t="s">
        <v>72</v>
      </c>
      <c r="H99" s="194">
        <f t="shared" ref="H99:H105" si="7">ROUND(VLOOKUP(G99,G$69:H$84,2,FALSE)/VLOOKUP("Generación",G$69:H$84,2,FALSE)*100,1)</f>
        <v>0.8</v>
      </c>
      <c r="I99" s="107"/>
      <c r="J99" s="107"/>
      <c r="K99" s="107"/>
    </row>
    <row r="100" spans="1:11">
      <c r="A100" s="108" t="s">
        <v>71</v>
      </c>
      <c r="B100" s="194">
        <f>ROUND(VLOOKUP(A100,A$69:B$84,2,FALSE)/VLOOKUP("Generación",A$69:B$84,2,FALSE)*100,1)</f>
        <v>0.3</v>
      </c>
      <c r="C100" s="107"/>
      <c r="D100" s="107"/>
      <c r="E100" s="107"/>
      <c r="G100" s="108" t="s">
        <v>71</v>
      </c>
      <c r="H100" s="194">
        <f t="shared" si="7"/>
        <v>0.2</v>
      </c>
      <c r="I100" s="107"/>
      <c r="J100" s="107"/>
      <c r="K100" s="107"/>
    </row>
    <row r="101" spans="1:11">
      <c r="A101" s="108" t="s">
        <v>5</v>
      </c>
      <c r="B101" s="194">
        <f t="shared" si="6"/>
        <v>25.8</v>
      </c>
      <c r="C101" s="107"/>
      <c r="D101" s="107"/>
      <c r="E101" s="107"/>
      <c r="G101" s="108" t="s">
        <v>5</v>
      </c>
      <c r="H101" s="194">
        <f t="shared" si="7"/>
        <v>38.200000000000003</v>
      </c>
      <c r="I101" s="107"/>
      <c r="J101" s="107"/>
      <c r="K101" s="107"/>
    </row>
    <row r="102" spans="1:11">
      <c r="A102" s="108" t="s">
        <v>2</v>
      </c>
      <c r="B102" s="194">
        <f t="shared" si="6"/>
        <v>8.8000000000000007</v>
      </c>
      <c r="C102" s="107"/>
      <c r="D102" s="107"/>
      <c r="E102" s="107"/>
      <c r="G102" s="108" t="s">
        <v>2</v>
      </c>
      <c r="H102" s="194">
        <f t="shared" si="7"/>
        <v>20.100000000000001</v>
      </c>
      <c r="I102" s="107"/>
      <c r="J102" s="107"/>
      <c r="K102" s="107"/>
    </row>
    <row r="103" spans="1:11">
      <c r="A103" s="108" t="s">
        <v>6</v>
      </c>
      <c r="B103" s="194">
        <f t="shared" si="6"/>
        <v>4.5999999999999996</v>
      </c>
      <c r="C103" s="107"/>
      <c r="D103" s="107"/>
      <c r="E103" s="107"/>
      <c r="G103" s="108" t="s">
        <v>6</v>
      </c>
      <c r="H103" s="194">
        <f t="shared" si="7"/>
        <v>2.2999999999999998</v>
      </c>
      <c r="I103" s="107"/>
      <c r="J103" s="107"/>
      <c r="K103" s="107"/>
    </row>
    <row r="104" spans="1:11">
      <c r="A104" s="108" t="s">
        <v>7</v>
      </c>
      <c r="B104" s="194">
        <f t="shared" si="6"/>
        <v>4.0999999999999996</v>
      </c>
      <c r="C104" s="107"/>
      <c r="D104" s="107"/>
      <c r="E104" s="107"/>
      <c r="G104" s="108" t="s">
        <v>7</v>
      </c>
      <c r="H104" s="194">
        <f t="shared" si="7"/>
        <v>1.3</v>
      </c>
      <c r="I104" s="107"/>
      <c r="J104" s="107"/>
      <c r="K104" s="107"/>
    </row>
    <row r="105" spans="1:11">
      <c r="A105" s="108" t="s">
        <v>8</v>
      </c>
      <c r="B105" s="194">
        <f t="shared" si="6"/>
        <v>1.4</v>
      </c>
      <c r="C105" s="172"/>
      <c r="D105" s="172"/>
      <c r="E105" s="172"/>
      <c r="G105" s="108" t="s">
        <v>8</v>
      </c>
      <c r="H105" s="194">
        <f t="shared" si="7"/>
        <v>0.9</v>
      </c>
      <c r="I105" s="173"/>
      <c r="J105" s="173"/>
      <c r="K105" s="173"/>
    </row>
    <row r="106" spans="1:11">
      <c r="A106" s="110" t="s">
        <v>15</v>
      </c>
      <c r="B106" s="111">
        <f>SUM(B94:B105)</f>
        <v>100</v>
      </c>
      <c r="C106" s="172"/>
      <c r="D106" s="172"/>
      <c r="E106" s="172"/>
      <c r="G106" s="110" t="s">
        <v>15</v>
      </c>
      <c r="H106" s="111">
        <f>SUM(H94:H105)</f>
        <v>100</v>
      </c>
      <c r="I106" s="173"/>
      <c r="J106" s="173"/>
      <c r="K106" s="173"/>
    </row>
    <row r="108" spans="1:11">
      <c r="A108" s="177"/>
      <c r="B108" s="178" t="s">
        <v>14</v>
      </c>
      <c r="G108" s="177"/>
      <c r="H108" s="178" t="s">
        <v>14</v>
      </c>
    </row>
    <row r="109" spans="1:11">
      <c r="A109" s="175" t="s">
        <v>16</v>
      </c>
      <c r="B109" s="176">
        <f>SUM(B94:B99)</f>
        <v>55.000000000000014</v>
      </c>
      <c r="G109" s="175" t="s">
        <v>16</v>
      </c>
      <c r="H109" s="176">
        <f>SUM(H94:H99)</f>
        <v>37</v>
      </c>
    </row>
    <row r="110" spans="1:11">
      <c r="A110" s="179" t="s">
        <v>17</v>
      </c>
      <c r="B110" s="180">
        <f>SUM(B100:B105)</f>
        <v>45.000000000000007</v>
      </c>
      <c r="G110" s="179" t="s">
        <v>17</v>
      </c>
      <c r="H110" s="180">
        <f>SUM(H100:H105)</f>
        <v>63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82" t="s">
        <v>110</v>
      </c>
      <c r="B115" s="309" t="s">
        <v>103</v>
      </c>
      <c r="C115" s="310"/>
      <c r="D115" s="310"/>
      <c r="E115" s="310"/>
      <c r="F115" s="310"/>
      <c r="G115" s="310"/>
      <c r="H115" s="310"/>
      <c r="I115" s="310"/>
      <c r="J115" s="310"/>
      <c r="K115" s="310"/>
      <c r="L115" s="310"/>
      <c r="M115" s="310"/>
      <c r="N115" s="310"/>
      <c r="O115" s="310"/>
      <c r="P115" s="310"/>
      <c r="Q115" s="310"/>
      <c r="R115" s="310"/>
      <c r="S115" s="310"/>
      <c r="T115" s="310"/>
      <c r="U115" s="310"/>
      <c r="V115" s="310"/>
      <c r="W115" s="310"/>
      <c r="X115" s="310"/>
      <c r="Y115" s="310"/>
      <c r="Z115" s="310"/>
    </row>
    <row r="116" spans="1:26">
      <c r="A116" s="182" t="s">
        <v>111</v>
      </c>
      <c r="B116" s="311" t="s">
        <v>115</v>
      </c>
      <c r="C116" s="312"/>
      <c r="D116" s="312"/>
      <c r="E116" s="312"/>
      <c r="F116" s="312"/>
      <c r="G116" s="312"/>
      <c r="H116" s="312"/>
      <c r="I116" s="312"/>
      <c r="J116" s="312"/>
      <c r="K116" s="312"/>
      <c r="L116" s="312"/>
      <c r="M116" s="312"/>
      <c r="N116" s="312"/>
      <c r="O116" s="312"/>
      <c r="P116" s="312"/>
      <c r="Q116" s="312"/>
      <c r="R116" s="312"/>
      <c r="S116" s="312"/>
      <c r="T116" s="312"/>
      <c r="U116" s="312"/>
      <c r="V116" s="312"/>
      <c r="W116" s="312"/>
      <c r="X116" s="312"/>
      <c r="Y116" s="312"/>
      <c r="Z116" s="312"/>
    </row>
    <row r="117" spans="1:26">
      <c r="A117" s="191" t="s">
        <v>30</v>
      </c>
      <c r="B117" s="293" t="s">
        <v>118</v>
      </c>
      <c r="C117" s="293" t="s">
        <v>119</v>
      </c>
      <c r="D117" s="293" t="s">
        <v>120</v>
      </c>
      <c r="E117" s="293" t="s">
        <v>121</v>
      </c>
      <c r="F117" s="293" t="s">
        <v>122</v>
      </c>
      <c r="G117" s="293" t="s">
        <v>123</v>
      </c>
      <c r="H117" s="293" t="s">
        <v>124</v>
      </c>
      <c r="I117" s="293" t="s">
        <v>125</v>
      </c>
      <c r="J117" s="293" t="s">
        <v>90</v>
      </c>
      <c r="K117" s="293" t="s">
        <v>137</v>
      </c>
      <c r="L117" s="293" t="s">
        <v>136</v>
      </c>
      <c r="M117" s="293" t="s">
        <v>142</v>
      </c>
      <c r="N117" s="293" t="s">
        <v>143</v>
      </c>
      <c r="O117" s="293" t="s">
        <v>144</v>
      </c>
      <c r="P117" s="293" t="s">
        <v>145</v>
      </c>
      <c r="Q117" s="293" t="s">
        <v>581</v>
      </c>
      <c r="R117" s="293" t="s">
        <v>582</v>
      </c>
      <c r="S117" s="293" t="s">
        <v>583</v>
      </c>
      <c r="T117" s="293" t="s">
        <v>584</v>
      </c>
      <c r="U117" s="293" t="s">
        <v>585</v>
      </c>
      <c r="V117" s="293" t="s">
        <v>586</v>
      </c>
      <c r="W117" s="293" t="s">
        <v>587</v>
      </c>
      <c r="X117" s="293" t="s">
        <v>589</v>
      </c>
      <c r="Y117" s="293" t="s">
        <v>590</v>
      </c>
      <c r="Z117" s="293" t="s">
        <v>601</v>
      </c>
    </row>
    <row r="118" spans="1:26">
      <c r="A118" s="182" t="s">
        <v>112</v>
      </c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W118" s="197"/>
      <c r="X118" s="197"/>
      <c r="Y118" s="197"/>
      <c r="Z118" s="197"/>
    </row>
    <row r="119" spans="1:26">
      <c r="A119" s="185" t="s">
        <v>2</v>
      </c>
      <c r="B119" s="186">
        <v>1637.6011437760001</v>
      </c>
      <c r="C119" s="186">
        <v>1192.784178952</v>
      </c>
      <c r="D119" s="186">
        <v>1082.4397687339999</v>
      </c>
      <c r="E119" s="186">
        <v>1147.5808360619999</v>
      </c>
      <c r="F119" s="186">
        <v>773.35631237799998</v>
      </c>
      <c r="G119" s="186">
        <v>832.42263153199997</v>
      </c>
      <c r="H119" s="186">
        <v>1250.58393067</v>
      </c>
      <c r="I119" s="186">
        <v>2194.602565786</v>
      </c>
      <c r="J119" s="186">
        <v>2388.8610043499998</v>
      </c>
      <c r="K119" s="186">
        <v>4402.1243845560002</v>
      </c>
      <c r="L119" s="186">
        <v>4718.1728802460002</v>
      </c>
      <c r="M119" s="186">
        <v>3522.8601173239999</v>
      </c>
      <c r="N119" s="186">
        <v>3717.7821305839998</v>
      </c>
      <c r="O119" s="186">
        <v>3027.0962775859998</v>
      </c>
      <c r="P119" s="186">
        <v>2105.289042892</v>
      </c>
      <c r="Q119" s="186">
        <v>1926.4612847620001</v>
      </c>
      <c r="R119" s="186">
        <v>1461.905502328</v>
      </c>
      <c r="S119" s="186">
        <v>2161.351999814</v>
      </c>
      <c r="T119" s="186">
        <v>2485.8744506439998</v>
      </c>
      <c r="U119" s="186">
        <v>2126.6339542559999</v>
      </c>
      <c r="V119" s="186">
        <v>2482.7010685720002</v>
      </c>
      <c r="W119" s="186">
        <v>2131.4241339519999</v>
      </c>
      <c r="X119" s="186">
        <v>1922.9600431880001</v>
      </c>
      <c r="Y119" s="186">
        <v>1933.0273067759999</v>
      </c>
      <c r="Z119" s="186">
        <v>1625.6452669099999</v>
      </c>
    </row>
    <row r="120" spans="1:26">
      <c r="A120" s="185" t="s">
        <v>83</v>
      </c>
      <c r="B120" s="186">
        <v>91.897749223999995</v>
      </c>
      <c r="C120" s="186">
        <v>98.826694047999993</v>
      </c>
      <c r="D120" s="186">
        <v>112.205176266</v>
      </c>
      <c r="E120" s="186">
        <v>118.471554938</v>
      </c>
      <c r="F120" s="186">
        <v>133.820917622</v>
      </c>
      <c r="G120" s="186">
        <v>222.09125546800001</v>
      </c>
      <c r="H120" s="186">
        <v>309.58646633000001</v>
      </c>
      <c r="I120" s="186">
        <v>273.43649621399999</v>
      </c>
      <c r="J120" s="186">
        <v>180.62302364999999</v>
      </c>
      <c r="K120" s="186">
        <v>369.77771444400003</v>
      </c>
      <c r="L120" s="186">
        <v>345.63732475400002</v>
      </c>
      <c r="M120" s="186">
        <v>153.27436067599999</v>
      </c>
      <c r="N120" s="186">
        <v>58.722846416000003</v>
      </c>
      <c r="O120" s="186">
        <v>35.299306414</v>
      </c>
      <c r="P120" s="186">
        <v>59.999602107999998</v>
      </c>
      <c r="Q120" s="186">
        <v>40.026753237999998</v>
      </c>
      <c r="R120" s="186">
        <v>214.991378672</v>
      </c>
      <c r="S120" s="186">
        <v>142.90349618600001</v>
      </c>
      <c r="T120" s="186">
        <v>134.66925335600001</v>
      </c>
      <c r="U120" s="186">
        <v>166.107001744</v>
      </c>
      <c r="V120" s="186">
        <v>188.79902042800001</v>
      </c>
      <c r="W120" s="186">
        <v>189.243035048</v>
      </c>
      <c r="X120" s="186">
        <v>130.29129281199999</v>
      </c>
      <c r="Y120" s="186">
        <v>127.53405822400001</v>
      </c>
      <c r="Z120" s="186">
        <v>56.646829089999997</v>
      </c>
    </row>
    <row r="121" spans="1:26">
      <c r="A121" s="185" t="s">
        <v>3</v>
      </c>
      <c r="B121" s="186">
        <v>4034.3327380000001</v>
      </c>
      <c r="C121" s="186">
        <v>4385.200742</v>
      </c>
      <c r="D121" s="186">
        <v>5078.9521169999998</v>
      </c>
      <c r="E121" s="186">
        <v>4722.5735260000001</v>
      </c>
      <c r="F121" s="186">
        <v>4301.3254559999996</v>
      </c>
      <c r="G121" s="186">
        <v>3601.5724140000002</v>
      </c>
      <c r="H121" s="186">
        <v>5039.108604</v>
      </c>
      <c r="I121" s="186">
        <v>5096.3252270000003</v>
      </c>
      <c r="J121" s="186">
        <v>4592.3205680000001</v>
      </c>
      <c r="K121" s="186">
        <v>4488.9170219999996</v>
      </c>
      <c r="L121" s="186">
        <v>3812.588835</v>
      </c>
      <c r="M121" s="186">
        <v>3728.6750010000001</v>
      </c>
      <c r="N121" s="186">
        <v>3591.591351</v>
      </c>
      <c r="O121" s="186">
        <v>4471.0236880000002</v>
      </c>
      <c r="P121" s="186">
        <v>5135.7248909999998</v>
      </c>
      <c r="Q121" s="186">
        <v>5013.0349210000004</v>
      </c>
      <c r="R121" s="186">
        <v>5150.6718030000002</v>
      </c>
      <c r="S121" s="186">
        <v>3829.983448</v>
      </c>
      <c r="T121" s="186">
        <v>4286.7606750000004</v>
      </c>
      <c r="U121" s="186">
        <v>5041.3669819999996</v>
      </c>
      <c r="V121" s="186">
        <v>4766.7856579999998</v>
      </c>
      <c r="W121" s="186">
        <v>5274.7472820000003</v>
      </c>
      <c r="X121" s="186">
        <v>4621.6629220000004</v>
      </c>
      <c r="Y121" s="186">
        <v>3976.917465</v>
      </c>
      <c r="Z121" s="186">
        <v>4647.8769560000001</v>
      </c>
    </row>
    <row r="122" spans="1:26">
      <c r="A122" s="185" t="s">
        <v>4</v>
      </c>
      <c r="B122" s="186">
        <v>4275.5782120000003</v>
      </c>
      <c r="C122" s="186">
        <v>4031.3058569999998</v>
      </c>
      <c r="D122" s="186">
        <v>2962.4341599999998</v>
      </c>
      <c r="E122" s="186">
        <v>2821.1507489999999</v>
      </c>
      <c r="F122" s="186">
        <v>3901.3327119999999</v>
      </c>
      <c r="G122" s="186">
        <v>4664.8877439999997</v>
      </c>
      <c r="H122" s="186">
        <v>4127.9248550000002</v>
      </c>
      <c r="I122" s="186">
        <v>3020.0708690000001</v>
      </c>
      <c r="J122" s="186">
        <v>3488.6858969999998</v>
      </c>
      <c r="K122" s="186">
        <v>1310.6821359999999</v>
      </c>
      <c r="L122" s="186">
        <v>1360.5891569999999</v>
      </c>
      <c r="M122" s="186">
        <v>2254.3190730000001</v>
      </c>
      <c r="N122" s="186">
        <v>2273.6253510000001</v>
      </c>
      <c r="O122" s="186">
        <v>3487.5592799999999</v>
      </c>
      <c r="P122" s="186">
        <v>3495.8629919999998</v>
      </c>
      <c r="Q122" s="186">
        <v>4104.8401640000002</v>
      </c>
      <c r="R122" s="186">
        <v>3364.3671690000001</v>
      </c>
      <c r="S122" s="186">
        <v>3875.2183620000001</v>
      </c>
      <c r="T122" s="186">
        <v>2845.2639509999999</v>
      </c>
      <c r="U122" s="186">
        <v>3075.0438380000001</v>
      </c>
      <c r="V122" s="186">
        <v>2246.8140950000002</v>
      </c>
      <c r="W122" s="186">
        <v>824.670028</v>
      </c>
      <c r="X122" s="186">
        <v>722.95364099999995</v>
      </c>
      <c r="Y122" s="186">
        <v>343.03717999999998</v>
      </c>
      <c r="Z122" s="186">
        <v>416.81427100000002</v>
      </c>
    </row>
    <row r="123" spans="1:26">
      <c r="A123" s="185" t="s">
        <v>100</v>
      </c>
      <c r="B123" s="186">
        <v>0</v>
      </c>
      <c r="C123" s="186">
        <v>0</v>
      </c>
      <c r="D123" s="186">
        <v>-9.9999999999999995E-7</v>
      </c>
      <c r="E123" s="186">
        <v>0</v>
      </c>
      <c r="F123" s="186">
        <v>0</v>
      </c>
      <c r="G123" s="186">
        <v>0</v>
      </c>
      <c r="H123" s="186">
        <v>0</v>
      </c>
      <c r="I123" s="186">
        <v>0</v>
      </c>
      <c r="J123" s="186">
        <v>0</v>
      </c>
      <c r="K123" s="186">
        <v>0</v>
      </c>
      <c r="L123" s="186">
        <v>0</v>
      </c>
      <c r="M123" s="186">
        <v>-9.9999999999999995E-7</v>
      </c>
      <c r="N123" s="186">
        <v>0</v>
      </c>
      <c r="O123" s="186">
        <v>9.9999999999999995E-7</v>
      </c>
      <c r="P123" s="186">
        <v>-9.9999999999999995E-7</v>
      </c>
      <c r="Q123" s="186">
        <v>0</v>
      </c>
      <c r="R123" s="186">
        <v>0</v>
      </c>
      <c r="S123" s="186">
        <v>0</v>
      </c>
      <c r="T123" s="186">
        <v>0</v>
      </c>
      <c r="U123" s="186">
        <v>0</v>
      </c>
      <c r="V123" s="186">
        <v>0</v>
      </c>
      <c r="W123" s="186">
        <v>0</v>
      </c>
      <c r="X123" s="186">
        <v>9.9999999999999995E-7</v>
      </c>
      <c r="Y123" s="186">
        <v>-9.9999999999999995E-7</v>
      </c>
      <c r="Z123" s="186">
        <v>0</v>
      </c>
    </row>
    <row r="124" spans="1:26">
      <c r="A124" s="185" t="s">
        <v>11</v>
      </c>
      <c r="B124" s="186">
        <v>3169.0061089999999</v>
      </c>
      <c r="C124" s="186">
        <v>3735.905906</v>
      </c>
      <c r="D124" s="186">
        <v>3454.4160280000001</v>
      </c>
      <c r="E124" s="186">
        <v>3197.9247850000002</v>
      </c>
      <c r="F124" s="186">
        <v>3848.6854699999999</v>
      </c>
      <c r="G124" s="186">
        <v>4546.43264</v>
      </c>
      <c r="H124" s="186">
        <v>3028.112431</v>
      </c>
      <c r="I124" s="186">
        <v>2254.6323689999999</v>
      </c>
      <c r="J124" s="186">
        <v>1950.724201</v>
      </c>
      <c r="K124" s="186">
        <v>1248.0405949999999</v>
      </c>
      <c r="L124" s="186">
        <v>1200.6612050000001</v>
      </c>
      <c r="M124" s="186">
        <v>1968.425332</v>
      </c>
      <c r="N124" s="186">
        <v>2180.126706</v>
      </c>
      <c r="O124" s="186">
        <v>2229.279387</v>
      </c>
      <c r="P124" s="186">
        <v>2663.0061409999998</v>
      </c>
      <c r="Q124" s="186">
        <v>2148.659568</v>
      </c>
      <c r="R124" s="186">
        <v>2501.819391</v>
      </c>
      <c r="S124" s="186">
        <v>3160.857532</v>
      </c>
      <c r="T124" s="186">
        <v>2896.6909179999998</v>
      </c>
      <c r="U124" s="186">
        <v>3198.741031</v>
      </c>
      <c r="V124" s="186">
        <v>2453.2148360000001</v>
      </c>
      <c r="W124" s="186">
        <v>2129.3124120000002</v>
      </c>
      <c r="X124" s="186">
        <v>2714.2451850000002</v>
      </c>
      <c r="Y124" s="186">
        <v>3896.510745</v>
      </c>
      <c r="Z124" s="186">
        <v>5107.4552890000004</v>
      </c>
    </row>
    <row r="125" spans="1:26">
      <c r="A125" s="185" t="s">
        <v>5</v>
      </c>
      <c r="B125" s="186">
        <v>3152.0795880000001</v>
      </c>
      <c r="C125" s="186">
        <v>3336.7890189999998</v>
      </c>
      <c r="D125" s="186">
        <v>3296.3615829999999</v>
      </c>
      <c r="E125" s="186">
        <v>2817.340224</v>
      </c>
      <c r="F125" s="186">
        <v>3186.7215689999998</v>
      </c>
      <c r="G125" s="186">
        <v>3957.5312260000001</v>
      </c>
      <c r="H125" s="186">
        <v>5753.2533069999999</v>
      </c>
      <c r="I125" s="186">
        <v>5291.4194159999997</v>
      </c>
      <c r="J125" s="186">
        <v>4633.9354240000002</v>
      </c>
      <c r="K125" s="186">
        <v>7675.5061070000002</v>
      </c>
      <c r="L125" s="186">
        <v>4415.6253749999996</v>
      </c>
      <c r="M125" s="186">
        <v>3264.1514889999999</v>
      </c>
      <c r="N125" s="186">
        <v>2576.1112600000001</v>
      </c>
      <c r="O125" s="186">
        <v>2480.8914359999999</v>
      </c>
      <c r="P125" s="186">
        <v>3067.4116530000001</v>
      </c>
      <c r="Q125" s="186">
        <v>2405.7918490000002</v>
      </c>
      <c r="R125" s="186">
        <v>4298.5552319999997</v>
      </c>
      <c r="S125" s="186">
        <v>4525.949721</v>
      </c>
      <c r="T125" s="186">
        <v>4319.0411860000004</v>
      </c>
      <c r="U125" s="186">
        <v>5970.6598999999997</v>
      </c>
      <c r="V125" s="186">
        <v>3646.4345840000001</v>
      </c>
      <c r="W125" s="186">
        <v>4823.4316840000001</v>
      </c>
      <c r="X125" s="186">
        <v>4594.9791249999998</v>
      </c>
      <c r="Y125" s="186">
        <v>4580.5968780000003</v>
      </c>
      <c r="Z125" s="186">
        <v>3212.2191229999999</v>
      </c>
    </row>
    <row r="126" spans="1:26">
      <c r="A126" s="185" t="s">
        <v>6</v>
      </c>
      <c r="B126" s="186">
        <v>840.61535100000003</v>
      </c>
      <c r="C126" s="186">
        <v>875.22784799999999</v>
      </c>
      <c r="D126" s="186">
        <v>779.85283000000004</v>
      </c>
      <c r="E126" s="186">
        <v>742.38754800000004</v>
      </c>
      <c r="F126" s="186">
        <v>652.66983100000004</v>
      </c>
      <c r="G126" s="186">
        <v>516.98067500000002</v>
      </c>
      <c r="H126" s="186">
        <v>409.20418100000001</v>
      </c>
      <c r="I126" s="186">
        <v>418.42106100000001</v>
      </c>
      <c r="J126" s="186">
        <v>487.84570400000001</v>
      </c>
      <c r="K126" s="186">
        <v>556.16750500000001</v>
      </c>
      <c r="L126" s="186">
        <v>665.30385200000001</v>
      </c>
      <c r="M126" s="186">
        <v>778.63753499999996</v>
      </c>
      <c r="N126" s="186">
        <v>781.41990099999998</v>
      </c>
      <c r="O126" s="186">
        <v>892.45500200000004</v>
      </c>
      <c r="P126" s="186">
        <v>808.18866300000002</v>
      </c>
      <c r="Q126" s="186">
        <v>687.70805700000005</v>
      </c>
      <c r="R126" s="186">
        <v>543.564031</v>
      </c>
      <c r="S126" s="186">
        <v>354.028189</v>
      </c>
      <c r="T126" s="186">
        <v>404.07867700000003</v>
      </c>
      <c r="U126" s="186">
        <v>480.728812</v>
      </c>
      <c r="V126" s="186">
        <v>601.892966</v>
      </c>
      <c r="W126" s="186">
        <v>768.80490399999996</v>
      </c>
      <c r="X126" s="186">
        <v>661.66676800000005</v>
      </c>
      <c r="Y126" s="186">
        <v>889.528772</v>
      </c>
      <c r="Z126" s="186">
        <v>891.40100299999995</v>
      </c>
    </row>
    <row r="127" spans="1:26">
      <c r="A127" s="185" t="s">
        <v>7</v>
      </c>
      <c r="B127" s="186">
        <v>761.902153</v>
      </c>
      <c r="C127" s="186">
        <v>812.88028599999996</v>
      </c>
      <c r="D127" s="186">
        <v>692.43517499999996</v>
      </c>
      <c r="E127" s="186">
        <v>608.14265499999999</v>
      </c>
      <c r="F127" s="186">
        <v>398.79322200000001</v>
      </c>
      <c r="G127" s="186">
        <v>220.652322</v>
      </c>
      <c r="H127" s="186">
        <v>131.19532899999999</v>
      </c>
      <c r="I127" s="186">
        <v>112.387517</v>
      </c>
      <c r="J127" s="186">
        <v>229.80815100000001</v>
      </c>
      <c r="K127" s="186">
        <v>233.95594299999999</v>
      </c>
      <c r="L127" s="186">
        <v>325.935092</v>
      </c>
      <c r="M127" s="186">
        <v>477.20963399999999</v>
      </c>
      <c r="N127" s="186">
        <v>551.29260299999999</v>
      </c>
      <c r="O127" s="186">
        <v>858.89832999999999</v>
      </c>
      <c r="P127" s="186">
        <v>688.557997</v>
      </c>
      <c r="Q127" s="186">
        <v>465.63698499999998</v>
      </c>
      <c r="R127" s="186">
        <v>292.49343099999999</v>
      </c>
      <c r="S127" s="186">
        <v>78.576116999999996</v>
      </c>
      <c r="T127" s="186">
        <v>109.57487399999999</v>
      </c>
      <c r="U127" s="186">
        <v>166.15012899999999</v>
      </c>
      <c r="V127" s="186">
        <v>261.97860300000002</v>
      </c>
      <c r="W127" s="186">
        <v>477.92322799999999</v>
      </c>
      <c r="X127" s="186">
        <v>379.26881700000001</v>
      </c>
      <c r="Y127" s="186">
        <v>740.99772700000005</v>
      </c>
      <c r="Z127" s="186">
        <v>775.05758100000003</v>
      </c>
    </row>
    <row r="128" spans="1:26">
      <c r="A128" s="185" t="s">
        <v>8</v>
      </c>
      <c r="B128" s="186">
        <v>301.62935900000002</v>
      </c>
      <c r="C128" s="186">
        <v>332.48288700000001</v>
      </c>
      <c r="D128" s="186">
        <v>315.27266900000001</v>
      </c>
      <c r="E128" s="186">
        <v>308.60664700000001</v>
      </c>
      <c r="F128" s="186">
        <v>308.82652000000002</v>
      </c>
      <c r="G128" s="186">
        <v>306.82307200000002</v>
      </c>
      <c r="H128" s="186">
        <v>312.05713400000002</v>
      </c>
      <c r="I128" s="186">
        <v>295.34999699999997</v>
      </c>
      <c r="J128" s="186">
        <v>300.78865500000001</v>
      </c>
      <c r="K128" s="186">
        <v>270.61248599999999</v>
      </c>
      <c r="L128" s="186">
        <v>237.13678899999999</v>
      </c>
      <c r="M128" s="186">
        <v>290.86737199999999</v>
      </c>
      <c r="N128" s="186">
        <v>304.160034</v>
      </c>
      <c r="O128" s="186">
        <v>323.41282999999999</v>
      </c>
      <c r="P128" s="186">
        <v>316.53357699999998</v>
      </c>
      <c r="Q128" s="186">
        <v>319.41097300000001</v>
      </c>
      <c r="R128" s="186">
        <v>296.78157199999998</v>
      </c>
      <c r="S128" s="186">
        <v>292.56813</v>
      </c>
      <c r="T128" s="186">
        <v>299.14763599999998</v>
      </c>
      <c r="U128" s="186">
        <v>303.393978</v>
      </c>
      <c r="V128" s="186">
        <v>284.70844699999998</v>
      </c>
      <c r="W128" s="186">
        <v>309.30230799999998</v>
      </c>
      <c r="X128" s="186">
        <v>273.97149899999999</v>
      </c>
      <c r="Y128" s="186">
        <v>282.06007699999998</v>
      </c>
      <c r="Z128" s="186">
        <v>285.58842199999998</v>
      </c>
    </row>
    <row r="129" spans="1:26">
      <c r="A129" s="185" t="s">
        <v>9</v>
      </c>
      <c r="B129" s="186">
        <v>2315.3605090000001</v>
      </c>
      <c r="C129" s="186">
        <v>2398.0747679999999</v>
      </c>
      <c r="D129" s="186">
        <v>2257.6581030000002</v>
      </c>
      <c r="E129" s="186">
        <v>2272.5539779999999</v>
      </c>
      <c r="F129" s="186">
        <v>2392.9653020000001</v>
      </c>
      <c r="G129" s="186">
        <v>2441.5734280000001</v>
      </c>
      <c r="H129" s="186">
        <v>2489.6415259999999</v>
      </c>
      <c r="I129" s="186">
        <v>2480.6091289999999</v>
      </c>
      <c r="J129" s="186">
        <v>2251.5292599999998</v>
      </c>
      <c r="K129" s="186">
        <v>2335.6511700000001</v>
      </c>
      <c r="L129" s="186">
        <v>2353.5937800000002</v>
      </c>
      <c r="M129" s="186">
        <v>2418.3057220000001</v>
      </c>
      <c r="N129" s="186">
        <v>2403.6677800000002</v>
      </c>
      <c r="O129" s="186">
        <v>2436.601287</v>
      </c>
      <c r="P129" s="186">
        <v>2361.294789</v>
      </c>
      <c r="Q129" s="186">
        <v>2408.3039490000001</v>
      </c>
      <c r="R129" s="186">
        <v>2520.0659270000001</v>
      </c>
      <c r="S129" s="186">
        <v>2472.0083749999999</v>
      </c>
      <c r="T129" s="186">
        <v>2529.9647150000001</v>
      </c>
      <c r="U129" s="186">
        <v>2656.3842519999998</v>
      </c>
      <c r="V129" s="186">
        <v>2391.1858710000001</v>
      </c>
      <c r="W129" s="186">
        <v>2588.9622680000002</v>
      </c>
      <c r="X129" s="186">
        <v>2488.363464</v>
      </c>
      <c r="Y129" s="186">
        <v>2544.1971939999999</v>
      </c>
      <c r="Z129" s="186">
        <v>2417.8764569999998</v>
      </c>
    </row>
    <row r="130" spans="1:26">
      <c r="A130" s="185" t="s">
        <v>71</v>
      </c>
      <c r="B130" s="186">
        <v>66.986296999999993</v>
      </c>
      <c r="C130" s="186">
        <v>68.889366999999993</v>
      </c>
      <c r="D130" s="186">
        <v>65.701224999999994</v>
      </c>
      <c r="E130" s="186">
        <v>62.429442000000002</v>
      </c>
      <c r="F130" s="186">
        <v>66.129401999999999</v>
      </c>
      <c r="G130" s="186">
        <v>66.557590000000005</v>
      </c>
      <c r="H130" s="186">
        <v>69.971927500000007</v>
      </c>
      <c r="I130" s="186">
        <v>69.2635705</v>
      </c>
      <c r="J130" s="186">
        <v>62.195681999999998</v>
      </c>
      <c r="K130" s="186">
        <v>65.909200499999997</v>
      </c>
      <c r="L130" s="186">
        <v>66.929152000000002</v>
      </c>
      <c r="M130" s="186">
        <v>24.344857999999999</v>
      </c>
      <c r="N130" s="186">
        <v>50.806421</v>
      </c>
      <c r="O130" s="186">
        <v>64.813796999999994</v>
      </c>
      <c r="P130" s="186">
        <v>65.755174499999995</v>
      </c>
      <c r="Q130" s="186">
        <v>64.739834999999999</v>
      </c>
      <c r="R130" s="186">
        <v>66.706254000000001</v>
      </c>
      <c r="S130" s="186">
        <v>61.593868999999998</v>
      </c>
      <c r="T130" s="186">
        <v>69.912847999999997</v>
      </c>
      <c r="U130" s="186">
        <v>63.503646000000003</v>
      </c>
      <c r="V130" s="186">
        <v>61.891773000000001</v>
      </c>
      <c r="W130" s="186">
        <v>67.359962499999995</v>
      </c>
      <c r="X130" s="186">
        <v>64.179035999999996</v>
      </c>
      <c r="Y130" s="186">
        <v>36.450611000000002</v>
      </c>
      <c r="Z130" s="186">
        <v>62.621202500000003</v>
      </c>
    </row>
    <row r="131" spans="1:26">
      <c r="A131" s="185" t="s">
        <v>72</v>
      </c>
      <c r="B131" s="186">
        <v>211.361659</v>
      </c>
      <c r="C131" s="186">
        <v>200.62811600000001</v>
      </c>
      <c r="D131" s="186">
        <v>215.23479399999999</v>
      </c>
      <c r="E131" s="186">
        <v>213.315484</v>
      </c>
      <c r="F131" s="186">
        <v>228.412195</v>
      </c>
      <c r="G131" s="186">
        <v>206.525261</v>
      </c>
      <c r="H131" s="186">
        <v>218.5268145</v>
      </c>
      <c r="I131" s="186">
        <v>226.5715625</v>
      </c>
      <c r="J131" s="186">
        <v>204.21008800000001</v>
      </c>
      <c r="K131" s="186">
        <v>215.3954785</v>
      </c>
      <c r="L131" s="186">
        <v>167.63117500000001</v>
      </c>
      <c r="M131" s="186">
        <v>137.027331</v>
      </c>
      <c r="N131" s="186">
        <v>175.41279499999999</v>
      </c>
      <c r="O131" s="186">
        <v>199.57543200000001</v>
      </c>
      <c r="P131" s="186">
        <v>194.6585925</v>
      </c>
      <c r="Q131" s="186">
        <v>189.02059499999999</v>
      </c>
      <c r="R131" s="186">
        <v>201.64528799999999</v>
      </c>
      <c r="S131" s="186">
        <v>191.94905</v>
      </c>
      <c r="T131" s="186">
        <v>190.76081500000001</v>
      </c>
      <c r="U131" s="186">
        <v>196.595054</v>
      </c>
      <c r="V131" s="186">
        <v>180.749244</v>
      </c>
      <c r="W131" s="186">
        <v>200.77886749999999</v>
      </c>
      <c r="X131" s="186">
        <v>175.342614</v>
      </c>
      <c r="Y131" s="186">
        <v>154.68218999999999</v>
      </c>
      <c r="Z131" s="186">
        <v>156.89686950000001</v>
      </c>
    </row>
    <row r="132" spans="1:26">
      <c r="A132" s="188" t="s">
        <v>10</v>
      </c>
      <c r="B132" s="189">
        <v>20858.350868000001</v>
      </c>
      <c r="C132" s="189">
        <v>21468.995669</v>
      </c>
      <c r="D132" s="189">
        <v>20312.963628000001</v>
      </c>
      <c r="E132" s="189">
        <v>19032.477428999999</v>
      </c>
      <c r="F132" s="189">
        <v>20193.038908999999</v>
      </c>
      <c r="G132" s="189">
        <v>21584.050259</v>
      </c>
      <c r="H132" s="189">
        <v>23139.166506000001</v>
      </c>
      <c r="I132" s="189">
        <v>21733.089779999998</v>
      </c>
      <c r="J132" s="189">
        <v>20771.527657999999</v>
      </c>
      <c r="K132" s="189">
        <v>23172.739742000002</v>
      </c>
      <c r="L132" s="189">
        <v>19669.804617000002</v>
      </c>
      <c r="M132" s="189">
        <v>19018.097824</v>
      </c>
      <c r="N132" s="189">
        <v>18664.719179</v>
      </c>
      <c r="O132" s="189">
        <v>20506.906053999999</v>
      </c>
      <c r="P132" s="189">
        <v>20962.283114000002</v>
      </c>
      <c r="Q132" s="189">
        <v>19773.634934000002</v>
      </c>
      <c r="R132" s="189">
        <v>20913.566978999999</v>
      </c>
      <c r="S132" s="189">
        <v>21146.988289000001</v>
      </c>
      <c r="T132" s="189">
        <v>20571.739999000001</v>
      </c>
      <c r="U132" s="189">
        <v>23445.308578</v>
      </c>
      <c r="V132" s="189">
        <v>19567.156166000001</v>
      </c>
      <c r="W132" s="189">
        <v>19785.960113000001</v>
      </c>
      <c r="X132" s="189">
        <v>18749.884408000002</v>
      </c>
      <c r="Y132" s="189">
        <v>19505.540203</v>
      </c>
      <c r="Z132" s="189">
        <v>19656.099269999999</v>
      </c>
    </row>
    <row r="133" spans="1:26">
      <c r="A133" s="185" t="s">
        <v>139</v>
      </c>
      <c r="B133" s="186">
        <v>-192.691575</v>
      </c>
      <c r="C133" s="186">
        <v>-174.03281200000001</v>
      </c>
      <c r="D133" s="186">
        <v>-204.91962000000001</v>
      </c>
      <c r="E133" s="186">
        <v>-164.38873100000001</v>
      </c>
      <c r="F133" s="186">
        <v>-222.16092699999999</v>
      </c>
      <c r="G133" s="186">
        <v>-270.17416400000002</v>
      </c>
      <c r="H133" s="186">
        <v>-555.38172199999997</v>
      </c>
      <c r="I133" s="186">
        <v>-391.45797700000003</v>
      </c>
      <c r="J133" s="186">
        <v>-253.86108899999999</v>
      </c>
      <c r="K133" s="186">
        <v>-733.49642400000005</v>
      </c>
      <c r="L133" s="186">
        <v>-560.06841218399995</v>
      </c>
      <c r="M133" s="186">
        <v>-213.24354462900001</v>
      </c>
      <c r="N133" s="186">
        <v>-83.652090872000002</v>
      </c>
      <c r="O133" s="186">
        <v>-57.907585935999997</v>
      </c>
      <c r="P133" s="186">
        <v>-68.84204416</v>
      </c>
      <c r="Q133" s="186">
        <v>-48.817158288000002</v>
      </c>
      <c r="R133" s="186">
        <v>-343.46447804799999</v>
      </c>
      <c r="S133" s="186">
        <v>-220.547036048</v>
      </c>
      <c r="T133" s="186">
        <v>-223.074538808</v>
      </c>
      <c r="U133" s="186">
        <v>-268.494950432</v>
      </c>
      <c r="V133" s="186">
        <v>-304.12485214399999</v>
      </c>
      <c r="W133" s="186">
        <v>-332.47411689099999</v>
      </c>
      <c r="X133" s="186">
        <v>-213.479691952</v>
      </c>
      <c r="Y133" s="186">
        <v>-200.89973480699999</v>
      </c>
      <c r="Z133" s="186">
        <v>-83.620232999999999</v>
      </c>
    </row>
    <row r="134" spans="1:26">
      <c r="A134" s="185" t="s">
        <v>102</v>
      </c>
      <c r="B134" s="186">
        <v>-114.23341499999999</v>
      </c>
      <c r="C134" s="186">
        <v>-155.21145899999999</v>
      </c>
      <c r="D134" s="186">
        <v>-166.87624500000001</v>
      </c>
      <c r="E134" s="186">
        <v>-116.104623</v>
      </c>
      <c r="F134" s="186">
        <v>-93.286300999999995</v>
      </c>
      <c r="G134" s="186">
        <v>-70.161934000000002</v>
      </c>
      <c r="H134" s="186">
        <v>-91.766864999999996</v>
      </c>
      <c r="I134" s="186">
        <v>-86.203828999999999</v>
      </c>
      <c r="J134" s="186">
        <v>-99.993398999999997</v>
      </c>
      <c r="K134" s="186">
        <v>-89.996875000000003</v>
      </c>
      <c r="L134" s="186">
        <v>-66.467519999999993</v>
      </c>
      <c r="M134" s="186">
        <v>-89.565090999999995</v>
      </c>
      <c r="N134" s="186">
        <v>-108.62363499999999</v>
      </c>
      <c r="O134" s="186">
        <v>-161.79160300000001</v>
      </c>
      <c r="P134" s="186">
        <v>-153.133589</v>
      </c>
      <c r="Q134" s="186">
        <v>-107.931268</v>
      </c>
      <c r="R134" s="186">
        <v>-92.007576999999998</v>
      </c>
      <c r="S134" s="186">
        <v>-65.068314999999998</v>
      </c>
      <c r="T134" s="186">
        <v>-112.575441</v>
      </c>
      <c r="U134" s="186">
        <v>-137.254998</v>
      </c>
      <c r="V134" s="186">
        <v>-119.223619</v>
      </c>
      <c r="W134" s="186">
        <v>-122.32533599999999</v>
      </c>
      <c r="X134" s="186">
        <v>-124.430774</v>
      </c>
      <c r="Y134" s="186">
        <v>-143.16130000000001</v>
      </c>
      <c r="Z134" s="186">
        <v>-159.634671</v>
      </c>
    </row>
    <row r="135" spans="1:26">
      <c r="A135" s="185" t="s">
        <v>140</v>
      </c>
      <c r="B135" s="186">
        <v>1128.8756840000001</v>
      </c>
      <c r="C135" s="186">
        <v>1273.4433959999999</v>
      </c>
      <c r="D135" s="186">
        <v>1827.9167399999999</v>
      </c>
      <c r="E135" s="186">
        <v>1393.3093409999999</v>
      </c>
      <c r="F135" s="186">
        <v>282.97961800000002</v>
      </c>
      <c r="G135" s="186">
        <v>-350.214877</v>
      </c>
      <c r="H135" s="186">
        <v>-339.92811599999999</v>
      </c>
      <c r="I135" s="186">
        <v>1340.2982629999999</v>
      </c>
      <c r="J135" s="186">
        <v>857.10299299999997</v>
      </c>
      <c r="K135" s="186">
        <v>-273.62203199999999</v>
      </c>
      <c r="L135" s="186">
        <v>882.59852599999999</v>
      </c>
      <c r="M135" s="186">
        <v>1368.3609369999999</v>
      </c>
      <c r="N135" s="186">
        <v>1863.9643000000001</v>
      </c>
      <c r="O135" s="186">
        <v>1893.727091</v>
      </c>
      <c r="P135" s="186">
        <v>1244.0220750000001</v>
      </c>
      <c r="Q135" s="186">
        <v>1124.4621509999999</v>
      </c>
      <c r="R135" s="186">
        <v>-182.46856</v>
      </c>
      <c r="S135" s="186">
        <v>44.679403999999998</v>
      </c>
      <c r="T135" s="186">
        <v>939.18599800000004</v>
      </c>
      <c r="U135" s="186">
        <v>246.35344599999999</v>
      </c>
      <c r="V135" s="186">
        <v>1011.7751479999999</v>
      </c>
      <c r="W135" s="186">
        <v>1392.1786890000001</v>
      </c>
      <c r="X135" s="186">
        <v>1091.119678</v>
      </c>
      <c r="Y135" s="186">
        <v>747.80053699999996</v>
      </c>
      <c r="Z135" s="186">
        <v>536.87445300000002</v>
      </c>
    </row>
    <row r="136" spans="1:26">
      <c r="A136" s="188" t="s">
        <v>141</v>
      </c>
      <c r="B136" s="189">
        <v>21680.301562000001</v>
      </c>
      <c r="C136" s="189">
        <v>22413.194793999999</v>
      </c>
      <c r="D136" s="189">
        <v>21769.084502999998</v>
      </c>
      <c r="E136" s="189">
        <v>20145.293416</v>
      </c>
      <c r="F136" s="189">
        <v>20160.571298999999</v>
      </c>
      <c r="G136" s="189">
        <v>20893.499284000001</v>
      </c>
      <c r="H136" s="189">
        <v>22152.089802999999</v>
      </c>
      <c r="I136" s="189">
        <v>22595.726236999999</v>
      </c>
      <c r="J136" s="189">
        <v>21274.776162999999</v>
      </c>
      <c r="K136" s="189">
        <v>22075.624411000001</v>
      </c>
      <c r="L136" s="189">
        <v>19925.867210815999</v>
      </c>
      <c r="M136" s="189">
        <v>20083.650125371001</v>
      </c>
      <c r="N136" s="189">
        <v>20336.407753128002</v>
      </c>
      <c r="O136" s="189">
        <v>22180.933956064</v>
      </c>
      <c r="P136" s="189">
        <v>21984.329555839999</v>
      </c>
      <c r="Q136" s="189">
        <v>20741.348658711999</v>
      </c>
      <c r="R136" s="189">
        <v>20295.626363952</v>
      </c>
      <c r="S136" s="189">
        <v>20906.052341952</v>
      </c>
      <c r="T136" s="189">
        <v>21175.276017192002</v>
      </c>
      <c r="U136" s="189">
        <v>23285.912075568001</v>
      </c>
      <c r="V136" s="189">
        <v>20155.582842856002</v>
      </c>
      <c r="W136" s="189">
        <v>20723.339349108999</v>
      </c>
      <c r="X136" s="189">
        <v>19503.093620047999</v>
      </c>
      <c r="Y136" s="189">
        <v>19909.279705192999</v>
      </c>
      <c r="Z136" s="189">
        <v>19949.718819000002</v>
      </c>
    </row>
    <row r="140" spans="1:26" s="198" customFormat="1" ht="12">
      <c r="A140" s="204" t="s">
        <v>30</v>
      </c>
      <c r="B140" s="204" t="str">
        <f>MID(UPPER(TEXT(B141,"mmm")),1,1)</f>
        <v>J</v>
      </c>
      <c r="C140" s="204" t="str">
        <f t="shared" ref="C140:N140" si="8">MID(UPPER(TEXT(C141,"mmm")),1,1)</f>
        <v>J</v>
      </c>
      <c r="D140" s="204" t="str">
        <f t="shared" si="8"/>
        <v>A</v>
      </c>
      <c r="E140" s="204" t="str">
        <f t="shared" si="8"/>
        <v>S</v>
      </c>
      <c r="F140" s="204" t="str">
        <f t="shared" si="8"/>
        <v>O</v>
      </c>
      <c r="G140" s="204" t="str">
        <f t="shared" si="8"/>
        <v>N</v>
      </c>
      <c r="H140" s="204" t="str">
        <f t="shared" si="8"/>
        <v>D</v>
      </c>
      <c r="I140" s="204" t="str">
        <f t="shared" si="8"/>
        <v>E</v>
      </c>
      <c r="J140" s="204" t="str">
        <f t="shared" si="8"/>
        <v>F</v>
      </c>
      <c r="K140" s="204" t="str">
        <f t="shared" si="8"/>
        <v>M</v>
      </c>
      <c r="L140" s="204" t="str">
        <f t="shared" si="8"/>
        <v>A</v>
      </c>
      <c r="M140" s="204" t="str">
        <f t="shared" si="8"/>
        <v>M</v>
      </c>
      <c r="N140" s="204" t="str">
        <f t="shared" si="8"/>
        <v>J</v>
      </c>
    </row>
    <row r="141" spans="1:26" s="198" customFormat="1" ht="12">
      <c r="A141" s="204" t="s">
        <v>126</v>
      </c>
      <c r="B141" s="204" t="str">
        <f t="shared" ref="B141:L141" si="9">TEXT(EDATE(C141,-1),"mmmm aaaa")</f>
        <v>junio 2018</v>
      </c>
      <c r="C141" s="204" t="str">
        <f t="shared" si="9"/>
        <v>julio 2018</v>
      </c>
      <c r="D141" s="204" t="str">
        <f t="shared" si="9"/>
        <v>agosto 2018</v>
      </c>
      <c r="E141" s="204" t="str">
        <f t="shared" si="9"/>
        <v>septiembre 2018</v>
      </c>
      <c r="F141" s="204" t="str">
        <f t="shared" si="9"/>
        <v>octubre 2018</v>
      </c>
      <c r="G141" s="204" t="str">
        <f t="shared" si="9"/>
        <v>noviembre 2018</v>
      </c>
      <c r="H141" s="204" t="str">
        <f t="shared" si="9"/>
        <v>diciembre 2018</v>
      </c>
      <c r="I141" s="204" t="str">
        <f t="shared" si="9"/>
        <v>enero 2019</v>
      </c>
      <c r="J141" s="204" t="str">
        <f t="shared" si="9"/>
        <v>febrero 2019</v>
      </c>
      <c r="K141" s="204" t="str">
        <f t="shared" si="9"/>
        <v>marzo 2019</v>
      </c>
      <c r="L141" s="204" t="str">
        <f t="shared" si="9"/>
        <v>abril 2019</v>
      </c>
      <c r="M141" s="204" t="str">
        <f>TEXT(EDATE(N141,-1),"mmmm aaaa")</f>
        <v>mayo 2019</v>
      </c>
      <c r="N141" s="204" t="str">
        <f>A2</f>
        <v>Junio 2019</v>
      </c>
    </row>
    <row r="142" spans="1:26" s="201" customFormat="1" ht="12">
      <c r="A142" s="199" t="s">
        <v>2</v>
      </c>
      <c r="B142" s="200">
        <f t="shared" ref="B142:N142" si="10">HLOOKUP(B$141,$117:$133,3,FALSE)</f>
        <v>3717.7821305839998</v>
      </c>
      <c r="C142" s="200">
        <f t="shared" si="10"/>
        <v>3027.0962775859998</v>
      </c>
      <c r="D142" s="200">
        <f t="shared" si="10"/>
        <v>2105.289042892</v>
      </c>
      <c r="E142" s="200">
        <f t="shared" si="10"/>
        <v>1926.4612847620001</v>
      </c>
      <c r="F142" s="200">
        <f t="shared" si="10"/>
        <v>1461.905502328</v>
      </c>
      <c r="G142" s="200">
        <f t="shared" si="10"/>
        <v>2161.351999814</v>
      </c>
      <c r="H142" s="200">
        <f t="shared" si="10"/>
        <v>2485.8744506439998</v>
      </c>
      <c r="I142" s="200">
        <f t="shared" si="10"/>
        <v>2126.6339542559999</v>
      </c>
      <c r="J142" s="200">
        <f t="shared" si="10"/>
        <v>2482.7010685720002</v>
      </c>
      <c r="K142" s="200">
        <f t="shared" si="10"/>
        <v>2131.4241339519999</v>
      </c>
      <c r="L142" s="200">
        <f t="shared" si="10"/>
        <v>1922.9600431880001</v>
      </c>
      <c r="M142" s="200">
        <f t="shared" si="10"/>
        <v>1933.0273067759999</v>
      </c>
      <c r="N142" s="200">
        <f t="shared" si="10"/>
        <v>1625.6452669099999</v>
      </c>
    </row>
    <row r="143" spans="1:26" s="201" customFormat="1" ht="12">
      <c r="A143" s="199" t="s">
        <v>83</v>
      </c>
      <c r="B143" s="200">
        <f t="shared" ref="B143:N143" si="11">HLOOKUP(B$141,$117:$133,4,FALSE)</f>
        <v>58.722846416000003</v>
      </c>
      <c r="C143" s="200">
        <f t="shared" si="11"/>
        <v>35.299306414</v>
      </c>
      <c r="D143" s="200">
        <f t="shared" si="11"/>
        <v>59.999602107999998</v>
      </c>
      <c r="E143" s="200">
        <f t="shared" si="11"/>
        <v>40.026753237999998</v>
      </c>
      <c r="F143" s="200">
        <f t="shared" si="11"/>
        <v>214.991378672</v>
      </c>
      <c r="G143" s="200">
        <f t="shared" si="11"/>
        <v>142.90349618600001</v>
      </c>
      <c r="H143" s="200">
        <f t="shared" si="11"/>
        <v>134.66925335600001</v>
      </c>
      <c r="I143" s="200">
        <f t="shared" si="11"/>
        <v>166.107001744</v>
      </c>
      <c r="J143" s="200">
        <f t="shared" si="11"/>
        <v>188.79902042800001</v>
      </c>
      <c r="K143" s="200">
        <f t="shared" si="11"/>
        <v>189.243035048</v>
      </c>
      <c r="L143" s="200">
        <f t="shared" si="11"/>
        <v>130.29129281199999</v>
      </c>
      <c r="M143" s="200">
        <f t="shared" si="11"/>
        <v>127.53405822400001</v>
      </c>
      <c r="N143" s="200">
        <f t="shared" si="11"/>
        <v>56.646829089999997</v>
      </c>
    </row>
    <row r="144" spans="1:26" s="201" customFormat="1" ht="12">
      <c r="A144" s="199" t="s">
        <v>3</v>
      </c>
      <c r="B144" s="200">
        <f t="shared" ref="B144:N144" si="12">HLOOKUP(B$141,$117:$133,5,FALSE)</f>
        <v>3591.591351</v>
      </c>
      <c r="C144" s="200">
        <f t="shared" si="12"/>
        <v>4471.0236880000002</v>
      </c>
      <c r="D144" s="200">
        <f t="shared" si="12"/>
        <v>5135.7248909999998</v>
      </c>
      <c r="E144" s="200">
        <f t="shared" si="12"/>
        <v>5013.0349210000004</v>
      </c>
      <c r="F144" s="200">
        <f t="shared" si="12"/>
        <v>5150.6718030000002</v>
      </c>
      <c r="G144" s="200">
        <f t="shared" si="12"/>
        <v>3829.983448</v>
      </c>
      <c r="H144" s="200">
        <f t="shared" si="12"/>
        <v>4286.7606750000004</v>
      </c>
      <c r="I144" s="200">
        <f t="shared" si="12"/>
        <v>5041.3669819999996</v>
      </c>
      <c r="J144" s="200">
        <f t="shared" si="12"/>
        <v>4766.7856579999998</v>
      </c>
      <c r="K144" s="200">
        <f t="shared" si="12"/>
        <v>5274.7472820000003</v>
      </c>
      <c r="L144" s="200">
        <f t="shared" si="12"/>
        <v>4621.6629220000004</v>
      </c>
      <c r="M144" s="200">
        <f t="shared" si="12"/>
        <v>3976.917465</v>
      </c>
      <c r="N144" s="200">
        <f t="shared" si="12"/>
        <v>4647.8769560000001</v>
      </c>
    </row>
    <row r="145" spans="1:14" s="201" customFormat="1" ht="12">
      <c r="A145" s="199" t="s">
        <v>4</v>
      </c>
      <c r="B145" s="200">
        <f t="shared" ref="B145:N145" si="13">HLOOKUP(B$141,$117:$133,6,FALSE)</f>
        <v>2273.6253510000001</v>
      </c>
      <c r="C145" s="200">
        <f t="shared" si="13"/>
        <v>3487.5592799999999</v>
      </c>
      <c r="D145" s="200">
        <f t="shared" si="13"/>
        <v>3495.8629919999998</v>
      </c>
      <c r="E145" s="200">
        <f t="shared" si="13"/>
        <v>4104.8401640000002</v>
      </c>
      <c r="F145" s="200">
        <f t="shared" si="13"/>
        <v>3364.3671690000001</v>
      </c>
      <c r="G145" s="200">
        <f t="shared" si="13"/>
        <v>3875.2183620000001</v>
      </c>
      <c r="H145" s="200">
        <f t="shared" si="13"/>
        <v>2845.2639509999999</v>
      </c>
      <c r="I145" s="200">
        <f t="shared" si="13"/>
        <v>3075.0438380000001</v>
      </c>
      <c r="J145" s="200">
        <f t="shared" si="13"/>
        <v>2246.8140950000002</v>
      </c>
      <c r="K145" s="200">
        <f t="shared" si="13"/>
        <v>824.670028</v>
      </c>
      <c r="L145" s="200">
        <f t="shared" si="13"/>
        <v>722.95364099999995</v>
      </c>
      <c r="M145" s="200">
        <f t="shared" si="13"/>
        <v>343.03717999999998</v>
      </c>
      <c r="N145" s="200">
        <f t="shared" si="13"/>
        <v>416.81427100000002</v>
      </c>
    </row>
    <row r="146" spans="1:14" s="201" customFormat="1" ht="12">
      <c r="A146" s="199" t="s">
        <v>11</v>
      </c>
      <c r="B146" s="200">
        <f t="shared" ref="B146:N146" si="14">HLOOKUP(B$141,$117:$133,8,FALSE)</f>
        <v>2180.126706</v>
      </c>
      <c r="C146" s="200">
        <f t="shared" si="14"/>
        <v>2229.279387</v>
      </c>
      <c r="D146" s="200">
        <f t="shared" si="14"/>
        <v>2663.0061409999998</v>
      </c>
      <c r="E146" s="200">
        <f t="shared" si="14"/>
        <v>2148.659568</v>
      </c>
      <c r="F146" s="200">
        <f t="shared" si="14"/>
        <v>2501.819391</v>
      </c>
      <c r="G146" s="200">
        <f t="shared" si="14"/>
        <v>3160.857532</v>
      </c>
      <c r="H146" s="200">
        <f t="shared" si="14"/>
        <v>2896.6909179999998</v>
      </c>
      <c r="I146" s="200">
        <f t="shared" si="14"/>
        <v>3198.741031</v>
      </c>
      <c r="J146" s="200">
        <f t="shared" si="14"/>
        <v>2453.2148360000001</v>
      </c>
      <c r="K146" s="200">
        <f t="shared" si="14"/>
        <v>2129.3124120000002</v>
      </c>
      <c r="L146" s="200">
        <f t="shared" si="14"/>
        <v>2714.2451850000002</v>
      </c>
      <c r="M146" s="200">
        <f t="shared" si="14"/>
        <v>3896.510745</v>
      </c>
      <c r="N146" s="200">
        <f t="shared" si="14"/>
        <v>5107.4552890000004</v>
      </c>
    </row>
    <row r="147" spans="1:14" s="201" customFormat="1" ht="12">
      <c r="A147" s="199" t="s">
        <v>5</v>
      </c>
      <c r="B147" s="200">
        <f t="shared" ref="B147:N147" si="15">HLOOKUP(B$141,$117:$133,9,FALSE)</f>
        <v>2576.1112600000001</v>
      </c>
      <c r="C147" s="200">
        <f t="shared" si="15"/>
        <v>2480.8914359999999</v>
      </c>
      <c r="D147" s="200">
        <f t="shared" si="15"/>
        <v>3067.4116530000001</v>
      </c>
      <c r="E147" s="200">
        <f t="shared" si="15"/>
        <v>2405.7918490000002</v>
      </c>
      <c r="F147" s="200">
        <f t="shared" si="15"/>
        <v>4298.5552319999997</v>
      </c>
      <c r="G147" s="200">
        <f t="shared" si="15"/>
        <v>4525.949721</v>
      </c>
      <c r="H147" s="200">
        <f t="shared" si="15"/>
        <v>4319.0411860000004</v>
      </c>
      <c r="I147" s="200">
        <f t="shared" si="15"/>
        <v>5970.6598999999997</v>
      </c>
      <c r="J147" s="200">
        <f t="shared" si="15"/>
        <v>3646.4345840000001</v>
      </c>
      <c r="K147" s="200">
        <f t="shared" si="15"/>
        <v>4823.4316840000001</v>
      </c>
      <c r="L147" s="200">
        <f t="shared" si="15"/>
        <v>4594.9791249999998</v>
      </c>
      <c r="M147" s="200">
        <f t="shared" si="15"/>
        <v>4580.5968780000003</v>
      </c>
      <c r="N147" s="200">
        <f t="shared" si="15"/>
        <v>3212.2191229999999</v>
      </c>
    </row>
    <row r="148" spans="1:14" s="201" customFormat="1" ht="12">
      <c r="A148" s="199" t="s">
        <v>6</v>
      </c>
      <c r="B148" s="200">
        <f t="shared" ref="B148:N148" si="16">HLOOKUP(B$141,$117:$133,10,FALSE)</f>
        <v>781.41990099999998</v>
      </c>
      <c r="C148" s="200">
        <f t="shared" si="16"/>
        <v>892.45500200000004</v>
      </c>
      <c r="D148" s="200">
        <f t="shared" si="16"/>
        <v>808.18866300000002</v>
      </c>
      <c r="E148" s="200">
        <f t="shared" si="16"/>
        <v>687.70805700000005</v>
      </c>
      <c r="F148" s="200">
        <f t="shared" si="16"/>
        <v>543.564031</v>
      </c>
      <c r="G148" s="200">
        <f t="shared" si="16"/>
        <v>354.028189</v>
      </c>
      <c r="H148" s="200">
        <f t="shared" si="16"/>
        <v>404.07867700000003</v>
      </c>
      <c r="I148" s="200">
        <f t="shared" si="16"/>
        <v>480.728812</v>
      </c>
      <c r="J148" s="200">
        <f t="shared" si="16"/>
        <v>601.892966</v>
      </c>
      <c r="K148" s="200">
        <f t="shared" si="16"/>
        <v>768.80490399999996</v>
      </c>
      <c r="L148" s="200">
        <f t="shared" si="16"/>
        <v>661.66676800000005</v>
      </c>
      <c r="M148" s="200">
        <f t="shared" si="16"/>
        <v>889.528772</v>
      </c>
      <c r="N148" s="200">
        <f t="shared" si="16"/>
        <v>891.40100299999995</v>
      </c>
    </row>
    <row r="149" spans="1:14" s="201" customFormat="1" ht="12">
      <c r="A149" s="199" t="s">
        <v>7</v>
      </c>
      <c r="B149" s="200">
        <f t="shared" ref="B149:N149" si="17">HLOOKUP(B$141,$117:$133,11,FALSE)</f>
        <v>551.29260299999999</v>
      </c>
      <c r="C149" s="200">
        <f t="shared" si="17"/>
        <v>858.89832999999999</v>
      </c>
      <c r="D149" s="200">
        <f t="shared" si="17"/>
        <v>688.557997</v>
      </c>
      <c r="E149" s="200">
        <f t="shared" si="17"/>
        <v>465.63698499999998</v>
      </c>
      <c r="F149" s="200">
        <f t="shared" si="17"/>
        <v>292.49343099999999</v>
      </c>
      <c r="G149" s="200">
        <f t="shared" si="17"/>
        <v>78.576116999999996</v>
      </c>
      <c r="H149" s="200">
        <f t="shared" si="17"/>
        <v>109.57487399999999</v>
      </c>
      <c r="I149" s="200">
        <f t="shared" si="17"/>
        <v>166.15012899999999</v>
      </c>
      <c r="J149" s="200">
        <f t="shared" si="17"/>
        <v>261.97860300000002</v>
      </c>
      <c r="K149" s="200">
        <f t="shared" si="17"/>
        <v>477.92322799999999</v>
      </c>
      <c r="L149" s="200">
        <f t="shared" si="17"/>
        <v>379.26881700000001</v>
      </c>
      <c r="M149" s="200">
        <f t="shared" si="17"/>
        <v>740.99772700000005</v>
      </c>
      <c r="N149" s="200">
        <f t="shared" si="17"/>
        <v>775.05758100000003</v>
      </c>
    </row>
    <row r="150" spans="1:14" s="201" customFormat="1" ht="12">
      <c r="A150" s="199" t="s">
        <v>8</v>
      </c>
      <c r="B150" s="200">
        <f t="shared" ref="B150:N150" si="18">HLOOKUP(B$141,$117:$133,12,FALSE)</f>
        <v>304.160034</v>
      </c>
      <c r="C150" s="200">
        <f t="shared" si="18"/>
        <v>323.41282999999999</v>
      </c>
      <c r="D150" s="200">
        <f t="shared" si="18"/>
        <v>316.53357699999998</v>
      </c>
      <c r="E150" s="200">
        <f t="shared" si="18"/>
        <v>319.41097300000001</v>
      </c>
      <c r="F150" s="200">
        <f t="shared" si="18"/>
        <v>296.78157199999998</v>
      </c>
      <c r="G150" s="200">
        <f t="shared" si="18"/>
        <v>292.56813</v>
      </c>
      <c r="H150" s="200">
        <f t="shared" si="18"/>
        <v>299.14763599999998</v>
      </c>
      <c r="I150" s="200">
        <f t="shared" si="18"/>
        <v>303.393978</v>
      </c>
      <c r="J150" s="200">
        <f t="shared" si="18"/>
        <v>284.70844699999998</v>
      </c>
      <c r="K150" s="200">
        <f t="shared" si="18"/>
        <v>309.30230799999998</v>
      </c>
      <c r="L150" s="200">
        <f t="shared" si="18"/>
        <v>273.97149899999999</v>
      </c>
      <c r="M150" s="200">
        <f t="shared" si="18"/>
        <v>282.06007699999998</v>
      </c>
      <c r="N150" s="200">
        <f t="shared" si="18"/>
        <v>285.58842199999998</v>
      </c>
    </row>
    <row r="151" spans="1:14" s="201" customFormat="1" ht="12">
      <c r="A151" s="199" t="s">
        <v>9</v>
      </c>
      <c r="B151" s="200">
        <f t="shared" ref="B151:N151" si="19">HLOOKUP(B$141,$117:$133,13,FALSE)</f>
        <v>2403.6677800000002</v>
      </c>
      <c r="C151" s="200">
        <f t="shared" si="19"/>
        <v>2436.601287</v>
      </c>
      <c r="D151" s="200">
        <f t="shared" si="19"/>
        <v>2361.294789</v>
      </c>
      <c r="E151" s="200">
        <f t="shared" si="19"/>
        <v>2408.3039490000001</v>
      </c>
      <c r="F151" s="200">
        <f t="shared" si="19"/>
        <v>2520.0659270000001</v>
      </c>
      <c r="G151" s="200">
        <f t="shared" si="19"/>
        <v>2472.0083749999999</v>
      </c>
      <c r="H151" s="200">
        <f t="shared" si="19"/>
        <v>2529.9647150000001</v>
      </c>
      <c r="I151" s="200">
        <f t="shared" si="19"/>
        <v>2656.3842519999998</v>
      </c>
      <c r="J151" s="200">
        <f t="shared" si="19"/>
        <v>2391.1858710000001</v>
      </c>
      <c r="K151" s="200">
        <f t="shared" si="19"/>
        <v>2588.9622680000002</v>
      </c>
      <c r="L151" s="200">
        <f t="shared" si="19"/>
        <v>2488.363464</v>
      </c>
      <c r="M151" s="200">
        <f t="shared" si="19"/>
        <v>2544.1971939999999</v>
      </c>
      <c r="N151" s="200">
        <f t="shared" si="19"/>
        <v>2417.8764569999998</v>
      </c>
    </row>
    <row r="152" spans="1:14" s="201" customFormat="1" ht="12">
      <c r="A152" s="199" t="s">
        <v>72</v>
      </c>
      <c r="B152" s="200">
        <f t="shared" ref="B152:M152" si="20">HLOOKUP(B$141,$117:$133,15,FALSE)</f>
        <v>175.41279499999999</v>
      </c>
      <c r="C152" s="200">
        <f t="shared" si="20"/>
        <v>199.57543200000001</v>
      </c>
      <c r="D152" s="200">
        <f t="shared" si="20"/>
        <v>194.6585925</v>
      </c>
      <c r="E152" s="200">
        <f t="shared" si="20"/>
        <v>189.02059499999999</v>
      </c>
      <c r="F152" s="200">
        <f t="shared" si="20"/>
        <v>201.64528799999999</v>
      </c>
      <c r="G152" s="200">
        <f t="shared" si="20"/>
        <v>191.94905</v>
      </c>
      <c r="H152" s="200">
        <f t="shared" si="20"/>
        <v>190.76081500000001</v>
      </c>
      <c r="I152" s="200">
        <f t="shared" si="20"/>
        <v>196.595054</v>
      </c>
      <c r="J152" s="200">
        <f t="shared" si="20"/>
        <v>180.749244</v>
      </c>
      <c r="K152" s="200">
        <f t="shared" si="20"/>
        <v>200.77886749999999</v>
      </c>
      <c r="L152" s="200">
        <f t="shared" si="20"/>
        <v>175.342614</v>
      </c>
      <c r="M152" s="200">
        <f t="shared" si="20"/>
        <v>154.68218999999999</v>
      </c>
      <c r="N152" s="200">
        <f>HLOOKUP(N$141,$117:$133,15,FALSE)</f>
        <v>156.89686950000001</v>
      </c>
    </row>
    <row r="153" spans="1:14" s="201" customFormat="1" ht="12">
      <c r="A153" s="199" t="s">
        <v>71</v>
      </c>
      <c r="B153" s="200">
        <f t="shared" ref="B153:M153" si="21">HLOOKUP(B$141,$117:$133,14,FALSE)</f>
        <v>50.806421</v>
      </c>
      <c r="C153" s="200">
        <f t="shared" si="21"/>
        <v>64.813796999999994</v>
      </c>
      <c r="D153" s="200">
        <f t="shared" si="21"/>
        <v>65.755174499999995</v>
      </c>
      <c r="E153" s="200">
        <f t="shared" si="21"/>
        <v>64.739834999999999</v>
      </c>
      <c r="F153" s="200">
        <f t="shared" si="21"/>
        <v>66.706254000000001</v>
      </c>
      <c r="G153" s="200">
        <f t="shared" si="21"/>
        <v>61.593868999999998</v>
      </c>
      <c r="H153" s="200">
        <f t="shared" si="21"/>
        <v>69.912847999999997</v>
      </c>
      <c r="I153" s="200">
        <f t="shared" si="21"/>
        <v>63.503646000000003</v>
      </c>
      <c r="J153" s="200">
        <f t="shared" si="21"/>
        <v>61.891773000000001</v>
      </c>
      <c r="K153" s="200">
        <f t="shared" si="21"/>
        <v>67.359962499999995</v>
      </c>
      <c r="L153" s="200">
        <f t="shared" si="21"/>
        <v>64.179035999999996</v>
      </c>
      <c r="M153" s="200">
        <f t="shared" si="21"/>
        <v>36.450611000000002</v>
      </c>
      <c r="N153" s="200">
        <f>HLOOKUP(N$141,$117:$133,14,FALSE)</f>
        <v>62.621202500000003</v>
      </c>
    </row>
    <row r="154" spans="1:14" s="201" customFormat="1" ht="12">
      <c r="A154" s="202" t="s">
        <v>101</v>
      </c>
      <c r="B154" s="203">
        <f>SUM(B142:B153)</f>
        <v>18664.719179000003</v>
      </c>
      <c r="C154" s="203">
        <f t="shared" ref="C154:N154" si="22">SUM(C142:C153)</f>
        <v>20506.906053000002</v>
      </c>
      <c r="D154" s="203">
        <f t="shared" si="22"/>
        <v>20962.283114999998</v>
      </c>
      <c r="E154" s="203">
        <f t="shared" si="22"/>
        <v>19773.634934000009</v>
      </c>
      <c r="F154" s="203">
        <f t="shared" si="22"/>
        <v>20913.566978999999</v>
      </c>
      <c r="G154" s="203">
        <f t="shared" si="22"/>
        <v>21146.988289000001</v>
      </c>
      <c r="H154" s="203">
        <f t="shared" si="22"/>
        <v>20571.739999000005</v>
      </c>
      <c r="I154" s="203">
        <f t="shared" si="22"/>
        <v>23445.308578000004</v>
      </c>
      <c r="J154" s="203">
        <f t="shared" si="22"/>
        <v>19567.156166000001</v>
      </c>
      <c r="K154" s="203">
        <f t="shared" si="22"/>
        <v>19785.960112999997</v>
      </c>
      <c r="L154" s="203">
        <f t="shared" si="22"/>
        <v>18749.884407000005</v>
      </c>
      <c r="M154" s="203">
        <f t="shared" si="22"/>
        <v>19505.540204000001</v>
      </c>
      <c r="N154" s="203">
        <f t="shared" si="22"/>
        <v>19656.099269999999</v>
      </c>
    </row>
    <row r="156" spans="1:14" s="201" customFormat="1" ht="12">
      <c r="A156" s="205" t="s">
        <v>129</v>
      </c>
      <c r="B156" s="220">
        <f>B142+B147+B148+B149+B150+B153</f>
        <v>7981.5723495840002</v>
      </c>
      <c r="C156" s="220">
        <f t="shared" ref="C156:M156" si="23">C142+C147+C148+C149+C150+C153</f>
        <v>7647.5676725859994</v>
      </c>
      <c r="D156" s="220">
        <f t="shared" si="23"/>
        <v>7051.7361073920001</v>
      </c>
      <c r="E156" s="220">
        <f t="shared" si="23"/>
        <v>5869.7489837620005</v>
      </c>
      <c r="F156" s="220">
        <f t="shared" si="23"/>
        <v>6960.0060223279988</v>
      </c>
      <c r="G156" s="220">
        <f t="shared" si="23"/>
        <v>7474.0680258139992</v>
      </c>
      <c r="H156" s="220">
        <f t="shared" si="23"/>
        <v>7687.6296716440002</v>
      </c>
      <c r="I156" s="220">
        <f t="shared" si="23"/>
        <v>9111.0704192559988</v>
      </c>
      <c r="J156" s="220">
        <f t="shared" si="23"/>
        <v>7339.6074415720013</v>
      </c>
      <c r="K156" s="220">
        <f t="shared" si="23"/>
        <v>8578.2462204520016</v>
      </c>
      <c r="L156" s="220">
        <f t="shared" si="23"/>
        <v>7897.0252881880006</v>
      </c>
      <c r="M156" s="220">
        <f t="shared" si="23"/>
        <v>8462.6613717759992</v>
      </c>
      <c r="N156" s="220">
        <f>N142+N147+N148+N149+N150+N153</f>
        <v>6852.53259841</v>
      </c>
    </row>
    <row r="157" spans="1:14" s="201" customFormat="1" ht="12">
      <c r="A157" s="205" t="s">
        <v>130</v>
      </c>
      <c r="B157" s="220">
        <f>B143+B144+B145+B146+B151+B152</f>
        <v>10683.146829416</v>
      </c>
      <c r="C157" s="220">
        <f t="shared" ref="C157:N157" si="24">C143+C144+C145+C146+C151+C152</f>
        <v>12859.338380413999</v>
      </c>
      <c r="D157" s="220">
        <f t="shared" si="24"/>
        <v>13910.547007607998</v>
      </c>
      <c r="E157" s="220">
        <f t="shared" si="24"/>
        <v>13903.885950238002</v>
      </c>
      <c r="F157" s="220">
        <f t="shared" si="24"/>
        <v>13953.560956672001</v>
      </c>
      <c r="G157" s="220">
        <f t="shared" si="24"/>
        <v>13672.920263185999</v>
      </c>
      <c r="H157" s="220">
        <f t="shared" si="24"/>
        <v>12884.110327356</v>
      </c>
      <c r="I157" s="220">
        <f t="shared" si="24"/>
        <v>14334.238158743998</v>
      </c>
      <c r="J157" s="220">
        <f t="shared" si="24"/>
        <v>12227.548724428001</v>
      </c>
      <c r="K157" s="220">
        <f t="shared" si="24"/>
        <v>11207.713892547998</v>
      </c>
      <c r="L157" s="220">
        <f t="shared" si="24"/>
        <v>10852.859118812001</v>
      </c>
      <c r="M157" s="220">
        <f t="shared" si="24"/>
        <v>11042.878832224</v>
      </c>
      <c r="N157" s="220">
        <f t="shared" si="24"/>
        <v>12803.566671590002</v>
      </c>
    </row>
    <row r="158" spans="1:14" s="201" customFormat="1" ht="12">
      <c r="A158" s="205" t="s">
        <v>131</v>
      </c>
      <c r="B158" s="206">
        <f t="shared" ref="B158:M158" si="25">ROUND(B142/B$154*100,1)+ROUND(B147/B$154*100,1)+ROUND(B148/B$154*100,1)+ROUND(B149/B$154*100,1)+ROUND(B150/B$154*100,1)+ROUND(B153/B$154*100,1)</f>
        <v>42.800000000000004</v>
      </c>
      <c r="C158" s="206">
        <f t="shared" si="25"/>
        <v>37.4</v>
      </c>
      <c r="D158" s="206">
        <f t="shared" si="25"/>
        <v>33.599999999999994</v>
      </c>
      <c r="E158" s="206">
        <f t="shared" si="25"/>
        <v>29.7</v>
      </c>
      <c r="F158" s="206">
        <f t="shared" si="25"/>
        <v>33.299999999999997</v>
      </c>
      <c r="G158" s="206">
        <f t="shared" si="25"/>
        <v>35.399999999999991</v>
      </c>
      <c r="H158" s="206">
        <f t="shared" si="25"/>
        <v>37.4</v>
      </c>
      <c r="I158" s="206">
        <f t="shared" si="25"/>
        <v>39</v>
      </c>
      <c r="J158" s="206">
        <f t="shared" si="25"/>
        <v>37.499999999999993</v>
      </c>
      <c r="K158" s="206">
        <f t="shared" si="25"/>
        <v>43.4</v>
      </c>
      <c r="L158" s="206">
        <f t="shared" si="25"/>
        <v>42.099999999999994</v>
      </c>
      <c r="M158" s="206">
        <f t="shared" si="25"/>
        <v>43.4</v>
      </c>
      <c r="N158" s="206">
        <f>ROUND(N142/N$154*100,1)+ROUND(N147/N$154*100,1)+ROUND(N148/N$154*100,1)+ROUND(N149/N$154*100,1)+ROUND(N150/N$154*100,1)+ROUND(N153/N$154*100,1)</f>
        <v>34.799999999999997</v>
      </c>
    </row>
    <row r="159" spans="1:14" s="201" customFormat="1" ht="12">
      <c r="A159" s="205" t="s">
        <v>132</v>
      </c>
      <c r="B159" s="206">
        <f t="shared" ref="B159:M159" si="26">100-B158</f>
        <v>57.199999999999996</v>
      </c>
      <c r="C159" s="206">
        <f t="shared" si="26"/>
        <v>62.6</v>
      </c>
      <c r="D159" s="206">
        <f t="shared" si="26"/>
        <v>66.400000000000006</v>
      </c>
      <c r="E159" s="206">
        <f t="shared" si="26"/>
        <v>70.3</v>
      </c>
      <c r="F159" s="206">
        <f t="shared" si="26"/>
        <v>66.7</v>
      </c>
      <c r="G159" s="206">
        <f t="shared" si="26"/>
        <v>64.600000000000009</v>
      </c>
      <c r="H159" s="206">
        <f t="shared" si="26"/>
        <v>62.6</v>
      </c>
      <c r="I159" s="206">
        <f t="shared" si="26"/>
        <v>61</v>
      </c>
      <c r="J159" s="206">
        <f t="shared" si="26"/>
        <v>62.500000000000007</v>
      </c>
      <c r="K159" s="206">
        <f t="shared" si="26"/>
        <v>56.6</v>
      </c>
      <c r="L159" s="206">
        <f t="shared" si="26"/>
        <v>57.900000000000006</v>
      </c>
      <c r="M159" s="206">
        <f t="shared" si="26"/>
        <v>56.6</v>
      </c>
      <c r="N159" s="206">
        <f t="shared" ref="N159" si="27">100-N158</f>
        <v>65.2</v>
      </c>
    </row>
    <row r="160" spans="1:14" s="201" customFormat="1" ht="12">
      <c r="A160" s="205"/>
      <c r="B160" s="205"/>
    </row>
    <row r="161" spans="1:22" s="201" customFormat="1" ht="12">
      <c r="A161" s="205" t="s">
        <v>86</v>
      </c>
      <c r="B161" s="205"/>
    </row>
    <row r="162" spans="1:22" s="201" customFormat="1" ht="12">
      <c r="A162" s="205" t="s">
        <v>87</v>
      </c>
      <c r="B162" s="205"/>
    </row>
    <row r="164" spans="1:22" s="201" customFormat="1" ht="12">
      <c r="A164" s="205" t="s">
        <v>19</v>
      </c>
      <c r="B164" s="200">
        <f t="shared" ref="B164:M164" si="28">B142+B143+B144+B147+B148+B149+B150+B153</f>
        <v>11631.886546999998</v>
      </c>
      <c r="C164" s="200">
        <f t="shared" si="28"/>
        <v>12153.890667000001</v>
      </c>
      <c r="D164" s="200">
        <f t="shared" si="28"/>
        <v>12247.460600500002</v>
      </c>
      <c r="E164" s="200">
        <f t="shared" si="28"/>
        <v>10922.810658</v>
      </c>
      <c r="F164" s="200">
        <f t="shared" si="28"/>
        <v>12325.669204000002</v>
      </c>
      <c r="G164" s="200">
        <f t="shared" si="28"/>
        <v>11446.954970000003</v>
      </c>
      <c r="H164" s="200">
        <f t="shared" si="28"/>
        <v>12109.059599999999</v>
      </c>
      <c r="I164" s="200">
        <f t="shared" si="28"/>
        <v>14318.544402999998</v>
      </c>
      <c r="J164" s="200">
        <f t="shared" si="28"/>
        <v>12295.19212</v>
      </c>
      <c r="K164" s="200">
        <f t="shared" si="28"/>
        <v>14042.236537500001</v>
      </c>
      <c r="L164" s="200">
        <f t="shared" si="28"/>
        <v>12648.979503</v>
      </c>
      <c r="M164" s="200">
        <f t="shared" si="28"/>
        <v>12567.112895</v>
      </c>
      <c r="N164" s="200">
        <f>N142+N143+N144+N147+N148+N149+N150+N153</f>
        <v>11557.056383500001</v>
      </c>
    </row>
    <row r="165" spans="1:22" s="201" customFormat="1" ht="12">
      <c r="A165" s="205" t="s">
        <v>20</v>
      </c>
      <c r="B165" s="200">
        <f t="shared" ref="B165:M165" si="29">B145+B146+B151+B152</f>
        <v>7032.8326319999996</v>
      </c>
      <c r="C165" s="200">
        <f t="shared" si="29"/>
        <v>8353.0153859999991</v>
      </c>
      <c r="D165" s="200">
        <f t="shared" si="29"/>
        <v>8714.8225144999997</v>
      </c>
      <c r="E165" s="200">
        <f t="shared" si="29"/>
        <v>8850.8242760000012</v>
      </c>
      <c r="F165" s="200">
        <f t="shared" si="29"/>
        <v>8587.8977749999995</v>
      </c>
      <c r="G165" s="200">
        <f t="shared" si="29"/>
        <v>9700.0333189999983</v>
      </c>
      <c r="H165" s="200">
        <f t="shared" si="29"/>
        <v>8462.6803989999989</v>
      </c>
      <c r="I165" s="200">
        <f t="shared" si="29"/>
        <v>9126.7641749999984</v>
      </c>
      <c r="J165" s="200">
        <f t="shared" si="29"/>
        <v>7271.9640460000001</v>
      </c>
      <c r="K165" s="200">
        <f t="shared" si="29"/>
        <v>5743.7235755000011</v>
      </c>
      <c r="L165" s="200">
        <f t="shared" si="29"/>
        <v>6100.904904</v>
      </c>
      <c r="M165" s="200">
        <f t="shared" si="29"/>
        <v>6938.4273089999988</v>
      </c>
      <c r="N165" s="200">
        <f>N145+N146+N151+N152</f>
        <v>8099.0428865000013</v>
      </c>
    </row>
    <row r="166" spans="1:22" s="201" customFormat="1" ht="12">
      <c r="A166" s="205" t="s">
        <v>127</v>
      </c>
      <c r="B166" s="206">
        <f>ROUND(B142/B$154*100,1)+ROUND(B143/B$154*100,1)+ROUND(B147/B$154*100,1)+ROUND(B148/B$154*100,1)+ROUND(B149/B$154*100,1)+ROUND(B150/B$154*100,1)+ROUND(B144/B$154*100,1)+ROUND(B153/B$154*100,1)</f>
        <v>62.3</v>
      </c>
      <c r="C166" s="206">
        <f t="shared" ref="C166:M166" si="30">ROUND(C142/C$154*100,1)+ROUND(C143/C$154*100,1)+ROUND(C147/C$154*100,1)+ROUND(C148/C$154*100,1)+ROUND(C149/C$154*100,1)+ROUND(C150/C$154*100,1)+ROUND(C144/C$154*100,1)+ROUND(C153/C$154*100,1)</f>
        <v>59.400000000000006</v>
      </c>
      <c r="D166" s="206">
        <f t="shared" si="30"/>
        <v>58.399999999999991</v>
      </c>
      <c r="E166" s="206">
        <f t="shared" si="30"/>
        <v>55.3</v>
      </c>
      <c r="F166" s="206">
        <f t="shared" si="30"/>
        <v>58.9</v>
      </c>
      <c r="G166" s="206">
        <f t="shared" si="30"/>
        <v>54.199999999999996</v>
      </c>
      <c r="H166" s="206">
        <f t="shared" si="30"/>
        <v>58.899999999999991</v>
      </c>
      <c r="I166" s="206">
        <f t="shared" si="30"/>
        <v>61.199999999999996</v>
      </c>
      <c r="J166" s="206">
        <f t="shared" si="30"/>
        <v>62.899999999999991</v>
      </c>
      <c r="K166" s="206">
        <f t="shared" si="30"/>
        <v>71.099999999999994</v>
      </c>
      <c r="L166" s="206">
        <f t="shared" si="30"/>
        <v>67.399999999999991</v>
      </c>
      <c r="M166" s="206">
        <f t="shared" si="30"/>
        <v>64.5</v>
      </c>
      <c r="N166" s="206">
        <f>ROUND(N142/N$154*100,1)+ROUND(N143/N$154*100,1)+ROUND(N147/N$154*100,1)+ROUND(N148/N$154*100,1)+ROUND(N149/N$154*100,1)+ROUND(N150/N$154*100,1)+ROUND(N144/N$154*100,1)+ROUND(N153/N$154*100,1)</f>
        <v>58.7</v>
      </c>
      <c r="O166" s="280"/>
    </row>
    <row r="167" spans="1:22" s="201" customFormat="1" ht="12">
      <c r="A167" s="205" t="s">
        <v>128</v>
      </c>
      <c r="B167" s="206">
        <f t="shared" ref="B167:M167" si="31">100-B166</f>
        <v>37.700000000000003</v>
      </c>
      <c r="C167" s="206">
        <f t="shared" si="31"/>
        <v>40.599999999999994</v>
      </c>
      <c r="D167" s="206">
        <f t="shared" si="31"/>
        <v>41.600000000000009</v>
      </c>
      <c r="E167" s="206">
        <f t="shared" si="31"/>
        <v>44.7</v>
      </c>
      <c r="F167" s="206">
        <f t="shared" si="31"/>
        <v>41.1</v>
      </c>
      <c r="G167" s="206">
        <f t="shared" si="31"/>
        <v>45.800000000000004</v>
      </c>
      <c r="H167" s="206">
        <f t="shared" si="31"/>
        <v>41.100000000000009</v>
      </c>
      <c r="I167" s="206">
        <f t="shared" si="31"/>
        <v>38.800000000000004</v>
      </c>
      <c r="J167" s="206">
        <f t="shared" si="31"/>
        <v>37.100000000000009</v>
      </c>
      <c r="K167" s="206">
        <f t="shared" si="31"/>
        <v>28.900000000000006</v>
      </c>
      <c r="L167" s="206">
        <f t="shared" si="31"/>
        <v>32.600000000000009</v>
      </c>
      <c r="M167" s="206">
        <f t="shared" si="31"/>
        <v>35.5</v>
      </c>
      <c r="N167" s="206">
        <f t="shared" ref="N167" si="32">100-N166</f>
        <v>41.3</v>
      </c>
    </row>
    <row r="168" spans="1:22" s="201" customFormat="1" ht="12">
      <c r="A168" s="205"/>
      <c r="B168" s="205"/>
    </row>
    <row r="169" spans="1:22" s="201" customFormat="1" ht="12">
      <c r="A169" s="205" t="s">
        <v>148</v>
      </c>
      <c r="B169" s="205"/>
    </row>
    <row r="170" spans="1:22" s="201" customFormat="1" ht="12">
      <c r="A170" s="205" t="s">
        <v>149</v>
      </c>
      <c r="B170" s="205"/>
    </row>
    <row r="175" spans="1:22">
      <c r="A175" s="182" t="s">
        <v>110</v>
      </c>
      <c r="B175" s="309" t="s">
        <v>103</v>
      </c>
      <c r="C175" s="310"/>
      <c r="D175" s="310"/>
      <c r="E175" s="310"/>
      <c r="F175" s="310"/>
      <c r="G175" s="310"/>
      <c r="H175" s="310"/>
      <c r="I175" s="310"/>
      <c r="J175" s="310"/>
      <c r="K175" s="310"/>
      <c r="L175" s="310"/>
      <c r="M175" s="310"/>
      <c r="N175" s="310"/>
      <c r="O175" s="310"/>
      <c r="P175" s="310"/>
      <c r="Q175" s="310"/>
      <c r="R175" s="310"/>
      <c r="S175" s="310"/>
    </row>
    <row r="176" spans="1:22">
      <c r="A176" s="182" t="s">
        <v>111</v>
      </c>
      <c r="B176" s="311" t="s">
        <v>133</v>
      </c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V176" s="213">
        <f>MAX(V180:V210)</f>
        <v>26.234513566649781</v>
      </c>
    </row>
    <row r="177" spans="1:23">
      <c r="A177" s="191" t="s">
        <v>30</v>
      </c>
      <c r="B177" s="313" t="s">
        <v>601</v>
      </c>
      <c r="C177" s="314"/>
      <c r="D177" s="314"/>
      <c r="E177" s="314"/>
      <c r="F177" s="314"/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</row>
    <row r="178" spans="1:23">
      <c r="A178" s="191" t="s">
        <v>112</v>
      </c>
      <c r="B178" s="293" t="s">
        <v>2</v>
      </c>
      <c r="C178" s="293" t="s">
        <v>83</v>
      </c>
      <c r="D178" s="293" t="s">
        <v>3</v>
      </c>
      <c r="E178" s="293" t="s">
        <v>4</v>
      </c>
      <c r="F178" s="293" t="s">
        <v>100</v>
      </c>
      <c r="G178" s="293" t="s">
        <v>11</v>
      </c>
      <c r="H178" s="293" t="s">
        <v>5</v>
      </c>
      <c r="I178" s="293" t="s">
        <v>6</v>
      </c>
      <c r="J178" s="293" t="s">
        <v>7</v>
      </c>
      <c r="K178" s="293" t="s">
        <v>8</v>
      </c>
      <c r="L178" s="293" t="s">
        <v>9</v>
      </c>
      <c r="M178" s="293" t="s">
        <v>71</v>
      </c>
      <c r="N178" s="293" t="s">
        <v>72</v>
      </c>
      <c r="O178" s="207" t="s">
        <v>10</v>
      </c>
      <c r="P178" s="293" t="s">
        <v>139</v>
      </c>
      <c r="Q178" s="293" t="s">
        <v>102</v>
      </c>
      <c r="R178" s="293" t="s">
        <v>140</v>
      </c>
      <c r="S178" s="207" t="s">
        <v>141</v>
      </c>
      <c r="V178" s="209" t="s">
        <v>23</v>
      </c>
      <c r="W178" s="209" t="s">
        <v>22</v>
      </c>
    </row>
    <row r="179" spans="1:23" ht="14.25">
      <c r="A179" s="182" t="s">
        <v>31</v>
      </c>
      <c r="B179" s="197"/>
      <c r="C179" s="197"/>
      <c r="D179" s="197"/>
      <c r="E179" s="197"/>
      <c r="F179" s="197"/>
      <c r="G179" s="197"/>
      <c r="H179" s="197"/>
      <c r="I179" s="197"/>
      <c r="J179" s="197"/>
      <c r="K179" s="197"/>
      <c r="L179" s="197"/>
      <c r="M179" s="197"/>
      <c r="N179" s="197"/>
      <c r="O179" s="208"/>
      <c r="P179" s="197"/>
      <c r="Q179" s="197"/>
      <c r="R179" s="197"/>
      <c r="S179" s="208"/>
      <c r="V179" s="210"/>
      <c r="W179" s="210"/>
    </row>
    <row r="180" spans="1:23" ht="14.25">
      <c r="A180" s="212">
        <v>1</v>
      </c>
      <c r="B180" s="186">
        <v>56189.171516000002</v>
      </c>
      <c r="C180" s="186">
        <v>2429.4174840000001</v>
      </c>
      <c r="D180" s="186">
        <v>120099.072</v>
      </c>
      <c r="E180" s="186">
        <v>12333.108</v>
      </c>
      <c r="F180" s="186">
        <v>0</v>
      </c>
      <c r="G180" s="186">
        <v>172185.019</v>
      </c>
      <c r="H180" s="186">
        <v>75265.467000000004</v>
      </c>
      <c r="I180" s="186">
        <v>32653.289000000001</v>
      </c>
      <c r="J180" s="186">
        <v>31406.728999999999</v>
      </c>
      <c r="K180" s="186">
        <v>9490.9959999999992</v>
      </c>
      <c r="L180" s="186">
        <v>80382.873999999996</v>
      </c>
      <c r="M180" s="186">
        <v>1224.885</v>
      </c>
      <c r="N180" s="186">
        <v>4878.1970000000001</v>
      </c>
      <c r="O180" s="189">
        <v>598538.22499999998</v>
      </c>
      <c r="P180" s="186">
        <v>-2743.3310000000001</v>
      </c>
      <c r="Q180" s="186">
        <v>-4702.4930000000004</v>
      </c>
      <c r="R180" s="186">
        <v>24779.11</v>
      </c>
      <c r="S180" s="189">
        <v>615871.51100000006</v>
      </c>
      <c r="V180" s="211">
        <f>IFERROR($H180/$O180*100,"")</f>
        <v>12.574880576758488</v>
      </c>
      <c r="W180" s="210">
        <f>IF($H180=0,"",$H180/1000)</f>
        <v>75.265467000000001</v>
      </c>
    </row>
    <row r="181" spans="1:23" ht="14.25">
      <c r="A181" s="212">
        <v>2</v>
      </c>
      <c r="B181" s="186">
        <v>51419.31609</v>
      </c>
      <c r="C181" s="186">
        <v>1367.7649100000001</v>
      </c>
      <c r="D181" s="186">
        <v>119661.946</v>
      </c>
      <c r="E181" s="186">
        <v>11864.23</v>
      </c>
      <c r="F181" s="186">
        <v>0</v>
      </c>
      <c r="G181" s="186">
        <v>164800.60399999999</v>
      </c>
      <c r="H181" s="186">
        <v>93206.228000000003</v>
      </c>
      <c r="I181" s="186">
        <v>31031.614000000001</v>
      </c>
      <c r="J181" s="186">
        <v>30347.949000000001</v>
      </c>
      <c r="K181" s="186">
        <v>9272.2790000000005</v>
      </c>
      <c r="L181" s="186">
        <v>78013.09</v>
      </c>
      <c r="M181" s="186">
        <v>1370.162</v>
      </c>
      <c r="N181" s="186">
        <v>5056.5559999999996</v>
      </c>
      <c r="O181" s="189">
        <v>597411.73899999994</v>
      </c>
      <c r="P181" s="186">
        <v>-8453.3289999999997</v>
      </c>
      <c r="Q181" s="186">
        <v>-4316.1130000000003</v>
      </c>
      <c r="R181" s="186">
        <v>-13908.949000000001</v>
      </c>
      <c r="S181" s="189">
        <v>570733.348</v>
      </c>
      <c r="V181" s="211">
        <f t="shared" ref="V181:V207" si="33">IFERROR($H181/$O181*100,"")</f>
        <v>15.601673337724623</v>
      </c>
      <c r="W181" s="210">
        <f t="shared" ref="W181:W207" si="34">IF($H181=0,"",$H181/1000)</f>
        <v>93.206227999999996</v>
      </c>
    </row>
    <row r="182" spans="1:23" ht="14.25">
      <c r="A182" s="212">
        <v>3</v>
      </c>
      <c r="B182" s="186">
        <v>59793.636859999999</v>
      </c>
      <c r="C182" s="186">
        <v>2234.8711400000002</v>
      </c>
      <c r="D182" s="186">
        <v>119396.423</v>
      </c>
      <c r="E182" s="186">
        <v>22321.435000000001</v>
      </c>
      <c r="F182" s="186">
        <v>0</v>
      </c>
      <c r="G182" s="186">
        <v>209702.842</v>
      </c>
      <c r="H182" s="186">
        <v>84909.930999999997</v>
      </c>
      <c r="I182" s="186">
        <v>29832.963</v>
      </c>
      <c r="J182" s="186">
        <v>28256.641</v>
      </c>
      <c r="K182" s="186">
        <v>8925.2289999999994</v>
      </c>
      <c r="L182" s="186">
        <v>83140.271999999997</v>
      </c>
      <c r="M182" s="186">
        <v>1431.4835</v>
      </c>
      <c r="N182" s="186">
        <v>5054.2124999999996</v>
      </c>
      <c r="O182" s="189">
        <v>654999.93999999994</v>
      </c>
      <c r="P182" s="186">
        <v>-1437.0609999999999</v>
      </c>
      <c r="Q182" s="186">
        <v>-5058.8059999999996</v>
      </c>
      <c r="R182" s="186">
        <v>34436.766000000003</v>
      </c>
      <c r="S182" s="189">
        <v>682940.83900000004</v>
      </c>
      <c r="V182" s="211">
        <f t="shared" si="33"/>
        <v>12.963349431757202</v>
      </c>
      <c r="W182" s="210">
        <f t="shared" si="34"/>
        <v>84.909931</v>
      </c>
    </row>
    <row r="183" spans="1:23" ht="14.25">
      <c r="A183" s="212">
        <v>4</v>
      </c>
      <c r="B183" s="186">
        <v>52322.735990000001</v>
      </c>
      <c r="C183" s="186">
        <v>728.03201000000001</v>
      </c>
      <c r="D183" s="186">
        <v>119308.478</v>
      </c>
      <c r="E183" s="186">
        <v>22596.771000000001</v>
      </c>
      <c r="F183" s="186">
        <v>0</v>
      </c>
      <c r="G183" s="186">
        <v>190025.09</v>
      </c>
      <c r="H183" s="186">
        <v>167347.80499999999</v>
      </c>
      <c r="I183" s="186">
        <v>30103.672999999999</v>
      </c>
      <c r="J183" s="186">
        <v>25230.839</v>
      </c>
      <c r="K183" s="186">
        <v>9245.0859999999993</v>
      </c>
      <c r="L183" s="186">
        <v>82773.263000000006</v>
      </c>
      <c r="M183" s="186">
        <v>1205.0525</v>
      </c>
      <c r="N183" s="186">
        <v>4920.3564999999999</v>
      </c>
      <c r="O183" s="189">
        <v>705807.18200000003</v>
      </c>
      <c r="P183" s="186">
        <v>-5352.2640000000001</v>
      </c>
      <c r="Q183" s="186">
        <v>-5036.0829999999996</v>
      </c>
      <c r="R183" s="186">
        <v>3714.0479999999998</v>
      </c>
      <c r="S183" s="189">
        <v>699132.88300000003</v>
      </c>
      <c r="V183" s="211">
        <f t="shared" si="33"/>
        <v>23.710130651518359</v>
      </c>
      <c r="W183" s="210">
        <f t="shared" si="34"/>
        <v>167.34780499999999</v>
      </c>
    </row>
    <row r="184" spans="1:23" ht="14.25">
      <c r="A184" s="212">
        <v>5</v>
      </c>
      <c r="B184" s="186">
        <v>57948.539804</v>
      </c>
      <c r="C184" s="186">
        <v>1320.7121959999999</v>
      </c>
      <c r="D184" s="186">
        <v>121727.697</v>
      </c>
      <c r="E184" s="186">
        <v>23293.473999999998</v>
      </c>
      <c r="F184" s="186">
        <v>0</v>
      </c>
      <c r="G184" s="186">
        <v>157686.02299999999</v>
      </c>
      <c r="H184" s="186">
        <v>180366.57</v>
      </c>
      <c r="I184" s="186">
        <v>27934.473999999998</v>
      </c>
      <c r="J184" s="186">
        <v>23037.056</v>
      </c>
      <c r="K184" s="186">
        <v>9427.3739999999998</v>
      </c>
      <c r="L184" s="186">
        <v>84110.471000000005</v>
      </c>
      <c r="M184" s="186">
        <v>1815.4780000000001</v>
      </c>
      <c r="N184" s="186">
        <v>5516.4369999999999</v>
      </c>
      <c r="O184" s="189">
        <v>694184.30599999998</v>
      </c>
      <c r="P184" s="186">
        <v>-3627.84</v>
      </c>
      <c r="Q184" s="186">
        <v>-5100.71</v>
      </c>
      <c r="R184" s="186">
        <v>-1771.62</v>
      </c>
      <c r="S184" s="189">
        <v>683684.13600000006</v>
      </c>
      <c r="V184" s="211">
        <f t="shared" si="33"/>
        <v>25.982519115031682</v>
      </c>
      <c r="W184" s="210">
        <f t="shared" si="34"/>
        <v>180.36657</v>
      </c>
    </row>
    <row r="185" spans="1:23" ht="14.25">
      <c r="A185" s="212">
        <v>6</v>
      </c>
      <c r="B185" s="186">
        <v>55168.571316000001</v>
      </c>
      <c r="C185" s="186">
        <v>3199.377684</v>
      </c>
      <c r="D185" s="186">
        <v>126789.698</v>
      </c>
      <c r="E185" s="186">
        <v>17540.793000000001</v>
      </c>
      <c r="F185" s="186">
        <v>0</v>
      </c>
      <c r="G185" s="186">
        <v>142937.44399999999</v>
      </c>
      <c r="H185" s="186">
        <v>179078.769</v>
      </c>
      <c r="I185" s="186">
        <v>31149.138999999999</v>
      </c>
      <c r="J185" s="186">
        <v>27192.749</v>
      </c>
      <c r="K185" s="186">
        <v>9491.5769999999993</v>
      </c>
      <c r="L185" s="186">
        <v>82851.070000000007</v>
      </c>
      <c r="M185" s="186">
        <v>1968.308</v>
      </c>
      <c r="N185" s="186">
        <v>5240.049</v>
      </c>
      <c r="O185" s="189">
        <v>682607.54500000004</v>
      </c>
      <c r="P185" s="186">
        <v>-11858.205</v>
      </c>
      <c r="Q185" s="186">
        <v>-5107.8819999999996</v>
      </c>
      <c r="R185" s="186">
        <v>9607.2309999999998</v>
      </c>
      <c r="S185" s="189">
        <v>675248.68900000001</v>
      </c>
      <c r="V185" s="211">
        <f t="shared" si="33"/>
        <v>26.234513566649781</v>
      </c>
      <c r="W185" s="210">
        <f t="shared" si="34"/>
        <v>179.07876899999999</v>
      </c>
    </row>
    <row r="186" spans="1:23" ht="14.25">
      <c r="A186" s="212">
        <v>7</v>
      </c>
      <c r="B186" s="186">
        <v>60426.964584000001</v>
      </c>
      <c r="C186" s="186">
        <v>4694.1384159999998</v>
      </c>
      <c r="D186" s="186">
        <v>132281.45699999999</v>
      </c>
      <c r="E186" s="186">
        <v>13841.776</v>
      </c>
      <c r="F186" s="186">
        <v>0</v>
      </c>
      <c r="G186" s="186">
        <v>139399.084</v>
      </c>
      <c r="H186" s="186">
        <v>177623.49600000001</v>
      </c>
      <c r="I186" s="186">
        <v>31524.985000000001</v>
      </c>
      <c r="J186" s="186">
        <v>28477.978999999999</v>
      </c>
      <c r="K186" s="186">
        <v>9582.5439999999999</v>
      </c>
      <c r="L186" s="186">
        <v>84083.751000000004</v>
      </c>
      <c r="M186" s="186">
        <v>2286.4229999999998</v>
      </c>
      <c r="N186" s="186">
        <v>4630.7439999999997</v>
      </c>
      <c r="O186" s="189">
        <v>688853.34199999995</v>
      </c>
      <c r="P186" s="186">
        <v>-12041.458000000001</v>
      </c>
      <c r="Q186" s="186">
        <v>-5085.5039999999999</v>
      </c>
      <c r="R186" s="186">
        <v>442.54300000000001</v>
      </c>
      <c r="S186" s="189">
        <v>672168.92299999995</v>
      </c>
      <c r="V186" s="211">
        <f t="shared" si="33"/>
        <v>25.78538640522412</v>
      </c>
      <c r="W186" s="210">
        <f t="shared" si="34"/>
        <v>177.62349600000002</v>
      </c>
    </row>
    <row r="187" spans="1:23" ht="14.25">
      <c r="A187" s="212">
        <v>8</v>
      </c>
      <c r="B187" s="186">
        <v>50255.300239999997</v>
      </c>
      <c r="C187" s="186">
        <v>192.49276</v>
      </c>
      <c r="D187" s="186">
        <v>140796.18</v>
      </c>
      <c r="E187" s="186">
        <v>7022.62</v>
      </c>
      <c r="F187" s="186">
        <v>0</v>
      </c>
      <c r="G187" s="186">
        <v>154722.74600000001</v>
      </c>
      <c r="H187" s="186">
        <v>107697.375</v>
      </c>
      <c r="I187" s="186">
        <v>29884.194</v>
      </c>
      <c r="J187" s="186">
        <v>25533.826000000001</v>
      </c>
      <c r="K187" s="186">
        <v>9686.9249999999993</v>
      </c>
      <c r="L187" s="186">
        <v>81007.725000000006</v>
      </c>
      <c r="M187" s="186">
        <v>2334.7399999999998</v>
      </c>
      <c r="N187" s="186">
        <v>4839.8119999999999</v>
      </c>
      <c r="O187" s="189">
        <v>613973.93599999999</v>
      </c>
      <c r="P187" s="186">
        <v>-3537.1219999999998</v>
      </c>
      <c r="Q187" s="186">
        <v>-4903.5460000000003</v>
      </c>
      <c r="R187" s="186">
        <v>1585.3489999999999</v>
      </c>
      <c r="S187" s="189">
        <v>607118.61699999997</v>
      </c>
      <c r="V187" s="211">
        <f t="shared" si="33"/>
        <v>17.541033696257752</v>
      </c>
      <c r="W187" s="210">
        <f t="shared" si="34"/>
        <v>107.69737499999999</v>
      </c>
    </row>
    <row r="188" spans="1:23" ht="14.25">
      <c r="A188" s="212">
        <v>9</v>
      </c>
      <c r="B188" s="186">
        <v>50101.071036000001</v>
      </c>
      <c r="C188" s="186">
        <v>956.25196400000004</v>
      </c>
      <c r="D188" s="186">
        <v>155067.011</v>
      </c>
      <c r="E188" s="186">
        <v>6952.8379999999997</v>
      </c>
      <c r="F188" s="186">
        <v>0</v>
      </c>
      <c r="G188" s="186">
        <v>125102.895</v>
      </c>
      <c r="H188" s="186">
        <v>89513.77</v>
      </c>
      <c r="I188" s="186">
        <v>28478.776000000002</v>
      </c>
      <c r="J188" s="186">
        <v>26646.834999999999</v>
      </c>
      <c r="K188" s="186">
        <v>9278.9750000000004</v>
      </c>
      <c r="L188" s="186">
        <v>78307.524000000005</v>
      </c>
      <c r="M188" s="186">
        <v>2128.5740000000001</v>
      </c>
      <c r="N188" s="186">
        <v>4967.8720000000003</v>
      </c>
      <c r="O188" s="189">
        <v>577502.39300000004</v>
      </c>
      <c r="P188" s="186">
        <v>-4874.4560000000001</v>
      </c>
      <c r="Q188" s="186">
        <v>-4833.6469999999999</v>
      </c>
      <c r="R188" s="186">
        <v>-8627.8359999999993</v>
      </c>
      <c r="S188" s="189">
        <v>559166.45400000003</v>
      </c>
      <c r="V188" s="211">
        <f t="shared" si="33"/>
        <v>15.500155685069169</v>
      </c>
      <c r="W188" s="210">
        <f t="shared" si="34"/>
        <v>89.513770000000008</v>
      </c>
    </row>
    <row r="189" spans="1:23" ht="14.25">
      <c r="A189" s="212">
        <v>10</v>
      </c>
      <c r="B189" s="186">
        <v>48839.352072000001</v>
      </c>
      <c r="C189" s="186">
        <v>374.699928</v>
      </c>
      <c r="D189" s="186">
        <v>165167.37599999999</v>
      </c>
      <c r="E189" s="186">
        <v>6801.2479999999996</v>
      </c>
      <c r="F189" s="186">
        <v>0</v>
      </c>
      <c r="G189" s="186">
        <v>127259.16</v>
      </c>
      <c r="H189" s="186">
        <v>121856.681</v>
      </c>
      <c r="I189" s="186">
        <v>31392.690999999999</v>
      </c>
      <c r="J189" s="186">
        <v>29884.995999999999</v>
      </c>
      <c r="K189" s="186">
        <v>8931.3169999999991</v>
      </c>
      <c r="L189" s="186">
        <v>82115.460999999996</v>
      </c>
      <c r="M189" s="186">
        <v>2028.1334999999999</v>
      </c>
      <c r="N189" s="186">
        <v>5103.9025000000001</v>
      </c>
      <c r="O189" s="189">
        <v>629755.01800000004</v>
      </c>
      <c r="P189" s="186">
        <v>-5470.6220000000003</v>
      </c>
      <c r="Q189" s="186">
        <v>-5188.018</v>
      </c>
      <c r="R189" s="186">
        <v>31095.815999999999</v>
      </c>
      <c r="S189" s="189">
        <v>650192.19400000002</v>
      </c>
      <c r="V189" s="211">
        <f t="shared" si="33"/>
        <v>19.349854708104921</v>
      </c>
      <c r="W189" s="210">
        <f t="shared" si="34"/>
        <v>121.85668099999999</v>
      </c>
    </row>
    <row r="190" spans="1:23" ht="14.25">
      <c r="A190" s="212">
        <v>11</v>
      </c>
      <c r="B190" s="186">
        <v>54477.530932000001</v>
      </c>
      <c r="C190" s="186">
        <v>1654.985068</v>
      </c>
      <c r="D190" s="186">
        <v>167071.30300000001</v>
      </c>
      <c r="E190" s="186">
        <v>12045.325999999999</v>
      </c>
      <c r="F190" s="186">
        <v>0</v>
      </c>
      <c r="G190" s="186">
        <v>133398.09400000001</v>
      </c>
      <c r="H190" s="186">
        <v>133961.68100000001</v>
      </c>
      <c r="I190" s="186">
        <v>27178.125</v>
      </c>
      <c r="J190" s="186">
        <v>28402.313999999998</v>
      </c>
      <c r="K190" s="186">
        <v>8269.8950000000004</v>
      </c>
      <c r="L190" s="186">
        <v>84178.027000000002</v>
      </c>
      <c r="M190" s="186">
        <v>2027.0535</v>
      </c>
      <c r="N190" s="186">
        <v>5349.8885</v>
      </c>
      <c r="O190" s="189">
        <v>658014.223</v>
      </c>
      <c r="P190" s="186">
        <v>-2114.819</v>
      </c>
      <c r="Q190" s="186">
        <v>-5135.7889999999998</v>
      </c>
      <c r="R190" s="186">
        <v>24045.002</v>
      </c>
      <c r="S190" s="189">
        <v>674808.61699999997</v>
      </c>
      <c r="V190" s="211">
        <f t="shared" si="33"/>
        <v>20.358478026393666</v>
      </c>
      <c r="W190" s="210">
        <f t="shared" si="34"/>
        <v>133.961681</v>
      </c>
    </row>
    <row r="191" spans="1:23" ht="14.25">
      <c r="A191" s="212">
        <v>12</v>
      </c>
      <c r="B191" s="186">
        <v>55125.507292000002</v>
      </c>
      <c r="C191" s="186">
        <v>855.81370800000002</v>
      </c>
      <c r="D191" s="186">
        <v>167919.448</v>
      </c>
      <c r="E191" s="186">
        <v>12888.852999999999</v>
      </c>
      <c r="F191" s="186">
        <v>0</v>
      </c>
      <c r="G191" s="186">
        <v>165141.128</v>
      </c>
      <c r="H191" s="186">
        <v>79767.319000000003</v>
      </c>
      <c r="I191" s="186">
        <v>32309.245999999999</v>
      </c>
      <c r="J191" s="186">
        <v>29481.858</v>
      </c>
      <c r="K191" s="186">
        <v>8868.2780000000002</v>
      </c>
      <c r="L191" s="186">
        <v>84865.087</v>
      </c>
      <c r="M191" s="186">
        <v>1996.4145000000001</v>
      </c>
      <c r="N191" s="186">
        <v>5371.0985000000001</v>
      </c>
      <c r="O191" s="189">
        <v>644590.05099999998</v>
      </c>
      <c r="P191" s="186">
        <v>-332.77600000000001</v>
      </c>
      <c r="Q191" s="186">
        <v>-5112.5469999999996</v>
      </c>
      <c r="R191" s="186">
        <v>40151.078000000001</v>
      </c>
      <c r="S191" s="189">
        <v>679295.80599999998</v>
      </c>
      <c r="V191" s="211">
        <f t="shared" si="33"/>
        <v>12.37489143312887</v>
      </c>
      <c r="W191" s="210">
        <f t="shared" si="34"/>
        <v>79.767319000000001</v>
      </c>
    </row>
    <row r="192" spans="1:23" ht="14.25">
      <c r="A192" s="212">
        <v>13</v>
      </c>
      <c r="B192" s="186">
        <v>44517.6829</v>
      </c>
      <c r="C192" s="186">
        <v>641.46609999999998</v>
      </c>
      <c r="D192" s="186">
        <v>167859.09</v>
      </c>
      <c r="E192" s="186">
        <v>11729.385</v>
      </c>
      <c r="F192" s="186">
        <v>0</v>
      </c>
      <c r="G192" s="186">
        <v>157892.02600000001</v>
      </c>
      <c r="H192" s="186">
        <v>120392.235</v>
      </c>
      <c r="I192" s="186">
        <v>29177.578000000001</v>
      </c>
      <c r="J192" s="186">
        <v>24164.851999999999</v>
      </c>
      <c r="K192" s="186">
        <v>9260.2309999999998</v>
      </c>
      <c r="L192" s="186">
        <v>84423.706999999995</v>
      </c>
      <c r="M192" s="186">
        <v>2146.88</v>
      </c>
      <c r="N192" s="186">
        <v>5479.58</v>
      </c>
      <c r="O192" s="189">
        <v>657684.71299999999</v>
      </c>
      <c r="P192" s="186">
        <v>-2257.0509999999999</v>
      </c>
      <c r="Q192" s="186">
        <v>-5131.7719999999999</v>
      </c>
      <c r="R192" s="186">
        <v>32344.161</v>
      </c>
      <c r="S192" s="189">
        <v>682640.05099999998</v>
      </c>
      <c r="V192" s="211">
        <f t="shared" si="33"/>
        <v>18.305463487335157</v>
      </c>
      <c r="W192" s="210">
        <f t="shared" si="34"/>
        <v>120.392235</v>
      </c>
    </row>
    <row r="193" spans="1:23" ht="14.25">
      <c r="A193" s="212">
        <v>14</v>
      </c>
      <c r="B193" s="186">
        <v>48320.502284000002</v>
      </c>
      <c r="C193" s="186">
        <v>1928.973716</v>
      </c>
      <c r="D193" s="186">
        <v>167630.20300000001</v>
      </c>
      <c r="E193" s="186">
        <v>12772.016</v>
      </c>
      <c r="F193" s="186">
        <v>0</v>
      </c>
      <c r="G193" s="186">
        <v>163481.19399999999</v>
      </c>
      <c r="H193" s="186">
        <v>107029.408</v>
      </c>
      <c r="I193" s="186">
        <v>30246.984</v>
      </c>
      <c r="J193" s="186">
        <v>21882.946</v>
      </c>
      <c r="K193" s="186">
        <v>9797.2489999999998</v>
      </c>
      <c r="L193" s="186">
        <v>84481.604999999996</v>
      </c>
      <c r="M193" s="186">
        <v>2338.9180000000001</v>
      </c>
      <c r="N193" s="186">
        <v>5530.0110000000004</v>
      </c>
      <c r="O193" s="189">
        <v>655440.01</v>
      </c>
      <c r="P193" s="186">
        <v>-43.881</v>
      </c>
      <c r="Q193" s="186">
        <v>-5134.1469999999999</v>
      </c>
      <c r="R193" s="186">
        <v>27558.526999999998</v>
      </c>
      <c r="S193" s="189">
        <v>677820.50899999996</v>
      </c>
      <c r="V193" s="211">
        <f t="shared" si="33"/>
        <v>16.329398017676706</v>
      </c>
      <c r="W193" s="210">
        <f t="shared" si="34"/>
        <v>107.02940799999999</v>
      </c>
    </row>
    <row r="194" spans="1:23" ht="14.25">
      <c r="A194" s="212">
        <v>15</v>
      </c>
      <c r="B194" s="186">
        <v>45637.513356000003</v>
      </c>
      <c r="C194" s="186">
        <v>183.239644</v>
      </c>
      <c r="D194" s="186">
        <v>165812.86799999999</v>
      </c>
      <c r="E194" s="186">
        <v>12581.703</v>
      </c>
      <c r="F194" s="186">
        <v>0</v>
      </c>
      <c r="G194" s="186">
        <v>140627.117</v>
      </c>
      <c r="H194" s="186">
        <v>84974.675000000003</v>
      </c>
      <c r="I194" s="186">
        <v>33282.769</v>
      </c>
      <c r="J194" s="186">
        <v>29748.69</v>
      </c>
      <c r="K194" s="186">
        <v>9342.4230000000007</v>
      </c>
      <c r="L194" s="186">
        <v>80071.114000000001</v>
      </c>
      <c r="M194" s="186">
        <v>2357.277</v>
      </c>
      <c r="N194" s="186">
        <v>5590.4920000000002</v>
      </c>
      <c r="O194" s="189">
        <v>610209.88100000005</v>
      </c>
      <c r="P194" s="186">
        <v>-47.19</v>
      </c>
      <c r="Q194" s="186">
        <v>-5294.5910000000003</v>
      </c>
      <c r="R194" s="186">
        <v>3908.7550000000001</v>
      </c>
      <c r="S194" s="189">
        <v>608776.85499999998</v>
      </c>
      <c r="V194" s="211">
        <f t="shared" si="33"/>
        <v>13.925483287937777</v>
      </c>
      <c r="W194" s="210">
        <f t="shared" si="34"/>
        <v>84.974675000000005</v>
      </c>
    </row>
    <row r="195" spans="1:23" ht="14.25">
      <c r="A195" s="212">
        <v>16</v>
      </c>
      <c r="B195" s="186">
        <v>48788.753056000001</v>
      </c>
      <c r="C195" s="186">
        <v>437.43294400000002</v>
      </c>
      <c r="D195" s="186">
        <v>167593.10999999999</v>
      </c>
      <c r="E195" s="186">
        <v>14517.358</v>
      </c>
      <c r="F195" s="186">
        <v>0</v>
      </c>
      <c r="G195" s="186">
        <v>134244.48699999999</v>
      </c>
      <c r="H195" s="186">
        <v>53384.023999999998</v>
      </c>
      <c r="I195" s="186">
        <v>26531.507000000001</v>
      </c>
      <c r="J195" s="186">
        <v>18242.395</v>
      </c>
      <c r="K195" s="186">
        <v>9151.82</v>
      </c>
      <c r="L195" s="186">
        <v>78453.570999999996</v>
      </c>
      <c r="M195" s="186">
        <v>2314.3335000000002</v>
      </c>
      <c r="N195" s="186">
        <v>5721.0245000000004</v>
      </c>
      <c r="O195" s="189">
        <v>559379.81599999999</v>
      </c>
      <c r="P195" s="186">
        <v>-992.702</v>
      </c>
      <c r="Q195" s="186">
        <v>-4879.0950000000003</v>
      </c>
      <c r="R195" s="186">
        <v>8862.3960000000006</v>
      </c>
      <c r="S195" s="189">
        <v>562370.41500000004</v>
      </c>
      <c r="V195" s="211">
        <f t="shared" si="33"/>
        <v>9.5434305051864783</v>
      </c>
      <c r="W195" s="210">
        <f t="shared" si="34"/>
        <v>53.384023999999997</v>
      </c>
    </row>
    <row r="196" spans="1:23" ht="14.25">
      <c r="A196" s="212">
        <v>17</v>
      </c>
      <c r="B196" s="186">
        <v>54972.961684000002</v>
      </c>
      <c r="C196" s="186">
        <v>1792.591316</v>
      </c>
      <c r="D196" s="186">
        <v>167544.31299999999</v>
      </c>
      <c r="E196" s="186">
        <v>16183.93</v>
      </c>
      <c r="F196" s="186">
        <v>0</v>
      </c>
      <c r="G196" s="186">
        <v>208878.46400000001</v>
      </c>
      <c r="H196" s="186">
        <v>52657.821000000004</v>
      </c>
      <c r="I196" s="186">
        <v>31265.633000000002</v>
      </c>
      <c r="J196" s="186">
        <v>25433.427</v>
      </c>
      <c r="K196" s="186">
        <v>9219.5439999999999</v>
      </c>
      <c r="L196" s="186">
        <v>82273.676999999996</v>
      </c>
      <c r="M196" s="186">
        <v>2299.44</v>
      </c>
      <c r="N196" s="186">
        <v>5578.0309999999999</v>
      </c>
      <c r="O196" s="189">
        <v>658099.83299999998</v>
      </c>
      <c r="P196" s="186">
        <v>-50.131999999999998</v>
      </c>
      <c r="Q196" s="186">
        <v>-5275.5410000000002</v>
      </c>
      <c r="R196" s="186">
        <v>18561.114000000001</v>
      </c>
      <c r="S196" s="189">
        <v>671335.27399999998</v>
      </c>
      <c r="V196" s="211">
        <f t="shared" si="33"/>
        <v>8.0014943568599879</v>
      </c>
      <c r="W196" s="210">
        <f t="shared" si="34"/>
        <v>52.657821000000006</v>
      </c>
    </row>
    <row r="197" spans="1:23" ht="14.25">
      <c r="A197" s="212">
        <v>18</v>
      </c>
      <c r="B197" s="186">
        <v>46445.437444000003</v>
      </c>
      <c r="C197" s="186">
        <v>458.74855600000001</v>
      </c>
      <c r="D197" s="186">
        <v>167672.41899999999</v>
      </c>
      <c r="E197" s="186">
        <v>11216.585999999999</v>
      </c>
      <c r="F197" s="186">
        <v>0</v>
      </c>
      <c r="G197" s="186">
        <v>148501.30799999999</v>
      </c>
      <c r="H197" s="186">
        <v>157687.633</v>
      </c>
      <c r="I197" s="186">
        <v>30769.198</v>
      </c>
      <c r="J197" s="186">
        <v>25140.775000000001</v>
      </c>
      <c r="K197" s="186">
        <v>9771.7019999999993</v>
      </c>
      <c r="L197" s="186">
        <v>82144.763000000006</v>
      </c>
      <c r="M197" s="186">
        <v>2184.0889999999999</v>
      </c>
      <c r="N197" s="186">
        <v>4978.3770000000004</v>
      </c>
      <c r="O197" s="189">
        <v>686971.03599999996</v>
      </c>
      <c r="P197" s="186">
        <v>-3261.8490000000002</v>
      </c>
      <c r="Q197" s="186">
        <v>-5202.7910000000002</v>
      </c>
      <c r="R197" s="186">
        <v>14052.584999999999</v>
      </c>
      <c r="S197" s="189">
        <v>692558.98100000003</v>
      </c>
      <c r="V197" s="211">
        <f t="shared" si="33"/>
        <v>22.954043873255817</v>
      </c>
      <c r="W197" s="210">
        <f t="shared" si="34"/>
        <v>157.68763300000001</v>
      </c>
    </row>
    <row r="198" spans="1:23" ht="14.25">
      <c r="A198" s="212">
        <v>19</v>
      </c>
      <c r="B198" s="186">
        <v>62370.101071999998</v>
      </c>
      <c r="C198" s="186">
        <v>4579.5819279999996</v>
      </c>
      <c r="D198" s="186">
        <v>167489.58600000001</v>
      </c>
      <c r="E198" s="186">
        <v>14749.602999999999</v>
      </c>
      <c r="F198" s="186">
        <v>0</v>
      </c>
      <c r="G198" s="186">
        <v>196586.71400000001</v>
      </c>
      <c r="H198" s="186">
        <v>89913.592000000004</v>
      </c>
      <c r="I198" s="186">
        <v>28396.649000000001</v>
      </c>
      <c r="J198" s="186">
        <v>18688.114000000001</v>
      </c>
      <c r="K198" s="186">
        <v>9739.8389999999999</v>
      </c>
      <c r="L198" s="186">
        <v>81098.438999999998</v>
      </c>
      <c r="M198" s="186">
        <v>2271.6194999999998</v>
      </c>
      <c r="N198" s="186">
        <v>5130.3895000000002</v>
      </c>
      <c r="O198" s="189">
        <v>681014.228</v>
      </c>
      <c r="P198" s="186">
        <v>-50.780999999999999</v>
      </c>
      <c r="Q198" s="186">
        <v>-5350.4070000000002</v>
      </c>
      <c r="R198" s="186">
        <v>21947.373</v>
      </c>
      <c r="S198" s="189">
        <v>697560.41299999994</v>
      </c>
      <c r="V198" s="211">
        <f t="shared" si="33"/>
        <v>13.202894785922153</v>
      </c>
      <c r="W198" s="210">
        <f t="shared" si="34"/>
        <v>89.913592000000008</v>
      </c>
    </row>
    <row r="199" spans="1:23" ht="14.25">
      <c r="A199" s="212">
        <v>20</v>
      </c>
      <c r="B199" s="186">
        <v>55383.101880000002</v>
      </c>
      <c r="C199" s="186">
        <v>1447.55312</v>
      </c>
      <c r="D199" s="186">
        <v>167391.00399999999</v>
      </c>
      <c r="E199" s="186">
        <v>14285.335999999999</v>
      </c>
      <c r="F199" s="186">
        <v>0</v>
      </c>
      <c r="G199" s="186">
        <v>189784.17600000001</v>
      </c>
      <c r="H199" s="186">
        <v>90847.047999999995</v>
      </c>
      <c r="I199" s="186">
        <v>27335.882000000001</v>
      </c>
      <c r="J199" s="186">
        <v>22774.77</v>
      </c>
      <c r="K199" s="186">
        <v>9916.3760000000002</v>
      </c>
      <c r="L199" s="186">
        <v>81749.816000000006</v>
      </c>
      <c r="M199" s="186">
        <v>2245.6605</v>
      </c>
      <c r="N199" s="186">
        <v>5071.0844999999999</v>
      </c>
      <c r="O199" s="189">
        <v>668231.80799999996</v>
      </c>
      <c r="P199" s="186">
        <v>-2205.835</v>
      </c>
      <c r="Q199" s="186">
        <v>-5579.8850000000002</v>
      </c>
      <c r="R199" s="186">
        <v>29823.815999999999</v>
      </c>
      <c r="S199" s="189">
        <v>690269.90399999998</v>
      </c>
      <c r="V199" s="211">
        <f t="shared" si="33"/>
        <v>13.595139727320493</v>
      </c>
      <c r="W199" s="210">
        <f t="shared" si="34"/>
        <v>90.847048000000001</v>
      </c>
    </row>
    <row r="200" spans="1:23" ht="14.25">
      <c r="A200" s="212">
        <v>21</v>
      </c>
      <c r="B200" s="186">
        <v>61163.793731999998</v>
      </c>
      <c r="C200" s="186">
        <v>4855.8712679999999</v>
      </c>
      <c r="D200" s="186">
        <v>167705.43900000001</v>
      </c>
      <c r="E200" s="186">
        <v>12596.023999999999</v>
      </c>
      <c r="F200" s="186">
        <v>0</v>
      </c>
      <c r="G200" s="186">
        <v>186612.658</v>
      </c>
      <c r="H200" s="186">
        <v>83859.421000000002</v>
      </c>
      <c r="I200" s="186">
        <v>29471.168000000001</v>
      </c>
      <c r="J200" s="186">
        <v>28761.882000000001</v>
      </c>
      <c r="K200" s="186">
        <v>10170.106</v>
      </c>
      <c r="L200" s="186">
        <v>82708.963000000003</v>
      </c>
      <c r="M200" s="186">
        <v>2254.5455000000002</v>
      </c>
      <c r="N200" s="186">
        <v>5179.5884999999998</v>
      </c>
      <c r="O200" s="189">
        <v>675339.46</v>
      </c>
      <c r="P200" s="186">
        <v>-47.021000000000001</v>
      </c>
      <c r="Q200" s="186">
        <v>-5621.6589999999997</v>
      </c>
      <c r="R200" s="186">
        <v>18237.387999999999</v>
      </c>
      <c r="S200" s="189">
        <v>687908.16799999995</v>
      </c>
      <c r="V200" s="211">
        <f t="shared" si="33"/>
        <v>12.417373182961944</v>
      </c>
      <c r="W200" s="210">
        <f t="shared" si="34"/>
        <v>83.859420999999998</v>
      </c>
    </row>
    <row r="201" spans="1:23" ht="14.25">
      <c r="A201" s="212">
        <v>22</v>
      </c>
      <c r="B201" s="186">
        <v>49578.027419999999</v>
      </c>
      <c r="C201" s="186">
        <v>927.90358000000003</v>
      </c>
      <c r="D201" s="186">
        <v>167609.943</v>
      </c>
      <c r="E201" s="186">
        <v>11907.742</v>
      </c>
      <c r="F201" s="186">
        <v>0</v>
      </c>
      <c r="G201" s="186">
        <v>161700.54999999999</v>
      </c>
      <c r="H201" s="186">
        <v>82499.842999999993</v>
      </c>
      <c r="I201" s="186">
        <v>29848.812000000002</v>
      </c>
      <c r="J201" s="186">
        <v>28502.118999999999</v>
      </c>
      <c r="K201" s="186">
        <v>10004.522000000001</v>
      </c>
      <c r="L201" s="186">
        <v>78639.737999999998</v>
      </c>
      <c r="M201" s="186">
        <v>2310.1655000000001</v>
      </c>
      <c r="N201" s="186">
        <v>5392.3055000000004</v>
      </c>
      <c r="O201" s="189">
        <v>628921.67099999997</v>
      </c>
      <c r="P201" s="186">
        <v>-53.042999999999999</v>
      </c>
      <c r="Q201" s="186">
        <v>-5431.8819999999996</v>
      </c>
      <c r="R201" s="186">
        <v>7178.7960000000003</v>
      </c>
      <c r="S201" s="189">
        <v>630615.54200000002</v>
      </c>
      <c r="V201" s="211">
        <f t="shared" si="33"/>
        <v>13.117665808656797</v>
      </c>
      <c r="W201" s="210">
        <f t="shared" si="34"/>
        <v>82.499842999999998</v>
      </c>
    </row>
    <row r="202" spans="1:23" ht="14.25">
      <c r="A202" s="212">
        <v>23</v>
      </c>
      <c r="B202" s="186">
        <v>47878.846621999997</v>
      </c>
      <c r="C202" s="186">
        <v>2542.1633780000002</v>
      </c>
      <c r="D202" s="186">
        <v>167254.06599999999</v>
      </c>
      <c r="E202" s="186">
        <v>12709.945</v>
      </c>
      <c r="F202" s="186">
        <v>0</v>
      </c>
      <c r="G202" s="186">
        <v>108151.86599999999</v>
      </c>
      <c r="H202" s="186">
        <v>112385.02899999999</v>
      </c>
      <c r="I202" s="186">
        <v>28070.445</v>
      </c>
      <c r="J202" s="186">
        <v>25530.591</v>
      </c>
      <c r="K202" s="186">
        <v>9532.4920000000002</v>
      </c>
      <c r="L202" s="186">
        <v>75806.42</v>
      </c>
      <c r="M202" s="186">
        <v>2339.3670000000002</v>
      </c>
      <c r="N202" s="186">
        <v>5439.0479999999998</v>
      </c>
      <c r="O202" s="189">
        <v>597640.27899999998</v>
      </c>
      <c r="P202" s="186">
        <v>-3235.482</v>
      </c>
      <c r="Q202" s="186">
        <v>-5253.25</v>
      </c>
      <c r="R202" s="186">
        <v>-5955.3450000000003</v>
      </c>
      <c r="S202" s="189">
        <v>583196.20200000005</v>
      </c>
      <c r="V202" s="211">
        <f t="shared" si="33"/>
        <v>18.804794949237351</v>
      </c>
      <c r="W202" s="210">
        <f t="shared" si="34"/>
        <v>112.38502899999999</v>
      </c>
    </row>
    <row r="203" spans="1:23" ht="14.25">
      <c r="A203" s="212">
        <v>24</v>
      </c>
      <c r="B203" s="186">
        <v>53624.709327999997</v>
      </c>
      <c r="C203" s="186">
        <v>1130.110672</v>
      </c>
      <c r="D203" s="186">
        <v>167204.50899999999</v>
      </c>
      <c r="E203" s="186">
        <v>13543.696</v>
      </c>
      <c r="F203" s="186">
        <v>0</v>
      </c>
      <c r="G203" s="186">
        <v>187295.64499999999</v>
      </c>
      <c r="H203" s="186">
        <v>79971.187000000005</v>
      </c>
      <c r="I203" s="186">
        <v>25147.564999999999</v>
      </c>
      <c r="J203" s="186">
        <v>16616.789000000001</v>
      </c>
      <c r="K203" s="186">
        <v>9126.7710000000006</v>
      </c>
      <c r="L203" s="186">
        <v>78594.607000000004</v>
      </c>
      <c r="M203" s="186">
        <v>2276.5974999999999</v>
      </c>
      <c r="N203" s="186">
        <v>5383.1085000000003</v>
      </c>
      <c r="O203" s="189">
        <v>639915.29500000004</v>
      </c>
      <c r="P203" s="186">
        <v>-1455.03</v>
      </c>
      <c r="Q203" s="186">
        <v>-5721.4939999999997</v>
      </c>
      <c r="R203" s="186">
        <v>11096.366</v>
      </c>
      <c r="S203" s="189">
        <v>643835.13699999999</v>
      </c>
      <c r="V203" s="211">
        <f t="shared" si="33"/>
        <v>12.497151986342192</v>
      </c>
      <c r="W203" s="210">
        <f t="shared" si="34"/>
        <v>79.971187</v>
      </c>
    </row>
    <row r="204" spans="1:23" ht="14.25">
      <c r="A204" s="212">
        <v>25</v>
      </c>
      <c r="B204" s="186">
        <v>66798.309792</v>
      </c>
      <c r="C204" s="186">
        <v>5660.9302079999998</v>
      </c>
      <c r="D204" s="186">
        <v>166918.93400000001</v>
      </c>
      <c r="E204" s="186">
        <v>21864.906999999999</v>
      </c>
      <c r="F204" s="186">
        <v>0</v>
      </c>
      <c r="G204" s="186">
        <v>222673.476</v>
      </c>
      <c r="H204" s="186">
        <v>60699.669000000002</v>
      </c>
      <c r="I204" s="186">
        <v>28982.121999999999</v>
      </c>
      <c r="J204" s="186">
        <v>25482.724999999999</v>
      </c>
      <c r="K204" s="186">
        <v>8320.3680000000004</v>
      </c>
      <c r="L204" s="186">
        <v>77953.544999999998</v>
      </c>
      <c r="M204" s="186">
        <v>2215.7829999999999</v>
      </c>
      <c r="N204" s="186">
        <v>4942.9260000000004</v>
      </c>
      <c r="O204" s="189">
        <v>692513.69499999995</v>
      </c>
      <c r="P204" s="186">
        <v>-97.221999999999994</v>
      </c>
      <c r="Q204" s="186">
        <v>-5753.3329999999996</v>
      </c>
      <c r="R204" s="186">
        <v>31423.665000000001</v>
      </c>
      <c r="S204" s="189">
        <v>718086.80500000005</v>
      </c>
      <c r="V204" s="211">
        <f t="shared" si="33"/>
        <v>8.7651218218868596</v>
      </c>
      <c r="W204" s="210">
        <f t="shared" si="34"/>
        <v>60.699669</v>
      </c>
    </row>
    <row r="205" spans="1:23" ht="14.25">
      <c r="A205" s="212">
        <v>26</v>
      </c>
      <c r="B205" s="186">
        <v>61662.735723999998</v>
      </c>
      <c r="C205" s="186">
        <v>4663.1052760000002</v>
      </c>
      <c r="D205" s="186">
        <v>166647.67800000001</v>
      </c>
      <c r="E205" s="186">
        <v>13982.038</v>
      </c>
      <c r="F205" s="186">
        <v>0</v>
      </c>
      <c r="G205" s="186">
        <v>192525.90700000001</v>
      </c>
      <c r="H205" s="186">
        <v>140384.576</v>
      </c>
      <c r="I205" s="186">
        <v>29547.218000000001</v>
      </c>
      <c r="J205" s="186">
        <v>27844.704000000002</v>
      </c>
      <c r="K205" s="186">
        <v>9575.1450000000004</v>
      </c>
      <c r="L205" s="186">
        <v>76376.539000000004</v>
      </c>
      <c r="M205" s="186">
        <v>2184.0014999999999</v>
      </c>
      <c r="N205" s="186">
        <v>5286.1544999999996</v>
      </c>
      <c r="O205" s="189">
        <v>730679.80200000003</v>
      </c>
      <c r="P205" s="186">
        <v>-1463.423</v>
      </c>
      <c r="Q205" s="186">
        <v>-6130.5119999999997</v>
      </c>
      <c r="R205" s="186">
        <v>21475.499</v>
      </c>
      <c r="S205" s="189">
        <v>744561.36600000004</v>
      </c>
      <c r="V205" s="211">
        <f t="shared" si="33"/>
        <v>19.212872124799748</v>
      </c>
      <c r="W205" s="210">
        <f t="shared" si="34"/>
        <v>140.38457600000001</v>
      </c>
    </row>
    <row r="206" spans="1:23" ht="14.25">
      <c r="A206" s="212">
        <v>27</v>
      </c>
      <c r="B206" s="186">
        <v>57558.895464000001</v>
      </c>
      <c r="C206" s="186">
        <v>1615.5745360000001</v>
      </c>
      <c r="D206" s="186">
        <v>156412.587</v>
      </c>
      <c r="E206" s="186">
        <v>12636.308000000001</v>
      </c>
      <c r="F206" s="186">
        <v>0</v>
      </c>
      <c r="G206" s="186">
        <v>201924.408</v>
      </c>
      <c r="H206" s="186">
        <v>168331.81599999999</v>
      </c>
      <c r="I206" s="186">
        <v>28085.513999999999</v>
      </c>
      <c r="J206" s="186">
        <v>24228.275000000001</v>
      </c>
      <c r="K206" s="186">
        <v>10315.049999999999</v>
      </c>
      <c r="L206" s="186">
        <v>76717.482000000004</v>
      </c>
      <c r="M206" s="186">
        <v>2172.2035000000001</v>
      </c>
      <c r="N206" s="186">
        <v>5242.9035000000003</v>
      </c>
      <c r="O206" s="189">
        <v>745241.01699999999</v>
      </c>
      <c r="P206" s="186">
        <v>-4850.2619999999997</v>
      </c>
      <c r="Q206" s="186">
        <v>-6211.3389999999999</v>
      </c>
      <c r="R206" s="186">
        <v>24940.401999999998</v>
      </c>
      <c r="S206" s="189">
        <v>759119.81799999997</v>
      </c>
      <c r="V206" s="211">
        <f t="shared" si="33"/>
        <v>22.587567264832927</v>
      </c>
      <c r="W206" s="210">
        <f t="shared" si="34"/>
        <v>168.331816</v>
      </c>
    </row>
    <row r="207" spans="1:23" ht="14.25">
      <c r="A207" s="212">
        <v>28</v>
      </c>
      <c r="B207" s="186">
        <v>67411.662492000003</v>
      </c>
      <c r="C207" s="186">
        <v>1874.169508</v>
      </c>
      <c r="D207" s="186">
        <v>161418.022</v>
      </c>
      <c r="E207" s="186">
        <v>12338.745000000001</v>
      </c>
      <c r="F207" s="186">
        <v>0</v>
      </c>
      <c r="G207" s="186">
        <v>246575.40299999999</v>
      </c>
      <c r="H207" s="186">
        <v>83910.345000000001</v>
      </c>
      <c r="I207" s="186">
        <v>30383.702000000001</v>
      </c>
      <c r="J207" s="186">
        <v>25489.3</v>
      </c>
      <c r="K207" s="186">
        <v>10592.45</v>
      </c>
      <c r="L207" s="186">
        <v>79617.149999999994</v>
      </c>
      <c r="M207" s="186">
        <v>2266.0680000000002</v>
      </c>
      <c r="N207" s="186">
        <v>5095.1639999999998</v>
      </c>
      <c r="O207" s="189">
        <v>726972.18099999998</v>
      </c>
      <c r="P207" s="186">
        <v>-413.245</v>
      </c>
      <c r="Q207" s="186">
        <v>-6243.4359999999997</v>
      </c>
      <c r="R207" s="186">
        <v>52024.917999999998</v>
      </c>
      <c r="S207" s="189">
        <v>772340.41799999995</v>
      </c>
      <c r="V207" s="211">
        <f t="shared" si="33"/>
        <v>11.5424423647925</v>
      </c>
      <c r="W207" s="210">
        <f t="shared" si="34"/>
        <v>83.910345000000007</v>
      </c>
    </row>
    <row r="208" spans="1:23" ht="14.25">
      <c r="A208" s="212">
        <v>29</v>
      </c>
      <c r="B208" s="186">
        <v>51298.597000000002</v>
      </c>
      <c r="C208" s="186">
        <v>1036.922</v>
      </c>
      <c r="D208" s="186">
        <v>166231.79999999999</v>
      </c>
      <c r="E208" s="186">
        <v>12242.056</v>
      </c>
      <c r="F208" s="186">
        <v>0</v>
      </c>
      <c r="G208" s="186">
        <v>215996.03899999999</v>
      </c>
      <c r="H208" s="186">
        <v>63874.724999999999</v>
      </c>
      <c r="I208" s="186">
        <v>30814.141</v>
      </c>
      <c r="J208" s="186">
        <v>26983.455000000002</v>
      </c>
      <c r="K208" s="186">
        <v>10650.839</v>
      </c>
      <c r="L208" s="186">
        <v>75928.448999999993</v>
      </c>
      <c r="M208" s="186">
        <v>2306.2640000000001</v>
      </c>
      <c r="N208" s="186">
        <v>5436.81</v>
      </c>
      <c r="O208" s="189">
        <v>662800.09699999995</v>
      </c>
      <c r="P208" s="186">
        <v>-49.768000000000001</v>
      </c>
      <c r="Q208" s="186">
        <v>-6206.5010000000002</v>
      </c>
      <c r="R208" s="186">
        <v>48044.983</v>
      </c>
      <c r="S208" s="189">
        <v>704588.81099999999</v>
      </c>
      <c r="V208" s="211">
        <f t="shared" ref="V208:V210" si="35">IFERROR($H208/$O208*100,"")</f>
        <v>9.6371025425483605</v>
      </c>
      <c r="W208" s="210">
        <f t="shared" ref="W208:W210" si="36">IF($H208=0,"",$H208/1000)</f>
        <v>63.874724999999998</v>
      </c>
    </row>
    <row r="209" spans="1:23" ht="14.25">
      <c r="A209" s="212">
        <v>30</v>
      </c>
      <c r="B209" s="186">
        <v>50165.937927999999</v>
      </c>
      <c r="C209" s="186">
        <v>861.93407200000001</v>
      </c>
      <c r="D209" s="186">
        <v>166195.296</v>
      </c>
      <c r="E209" s="186">
        <v>15454.421</v>
      </c>
      <c r="F209" s="186">
        <v>0</v>
      </c>
      <c r="G209" s="186">
        <v>161643.72200000001</v>
      </c>
      <c r="H209" s="186">
        <v>88820.983999999997</v>
      </c>
      <c r="I209" s="186">
        <v>30570.947</v>
      </c>
      <c r="J209" s="186">
        <v>25642.001</v>
      </c>
      <c r="K209" s="186">
        <v>10631.02</v>
      </c>
      <c r="L209" s="186">
        <v>75008.256999999998</v>
      </c>
      <c r="M209" s="186">
        <v>2321.2820000000002</v>
      </c>
      <c r="N209" s="186">
        <v>5490.7460000000001</v>
      </c>
      <c r="O209" s="189">
        <v>632806.54799999995</v>
      </c>
      <c r="P209" s="186">
        <v>-1203.0329999999999</v>
      </c>
      <c r="Q209" s="186">
        <v>-5631.8980000000001</v>
      </c>
      <c r="R209" s="186">
        <v>25800.516</v>
      </c>
      <c r="S209" s="189">
        <v>651772.13300000003</v>
      </c>
      <c r="V209" s="211">
        <f t="shared" si="35"/>
        <v>14.036040600515404</v>
      </c>
      <c r="W209" s="210">
        <f t="shared" si="36"/>
        <v>88.820983999999996</v>
      </c>
    </row>
    <row r="210" spans="1:23" ht="14.25">
      <c r="V210" s="211" t="str">
        <f t="shared" si="35"/>
        <v/>
      </c>
      <c r="W210" s="210" t="str">
        <f t="shared" si="36"/>
        <v/>
      </c>
    </row>
    <row r="215" spans="1:23">
      <c r="A215" s="182" t="s">
        <v>31</v>
      </c>
      <c r="B215" s="309" t="s">
        <v>607</v>
      </c>
      <c r="C215" s="310"/>
      <c r="D215" s="310"/>
      <c r="E215" s="310"/>
      <c r="F215" s="310"/>
      <c r="G215" s="310"/>
      <c r="H215" s="310"/>
      <c r="I215" s="310"/>
      <c r="J215" s="310"/>
      <c r="K215" s="310"/>
      <c r="L215" s="310"/>
      <c r="M215" s="310"/>
      <c r="N215" s="310"/>
      <c r="O215" s="310"/>
      <c r="P215" s="310"/>
      <c r="Q215" s="310"/>
      <c r="R215" s="310"/>
      <c r="S215" s="310"/>
    </row>
    <row r="216" spans="1:23">
      <c r="A216" s="182" t="s">
        <v>110</v>
      </c>
      <c r="B216" s="313" t="s">
        <v>103</v>
      </c>
      <c r="C216" s="314"/>
      <c r="D216" s="314"/>
      <c r="E216" s="314"/>
      <c r="F216" s="314"/>
      <c r="G216" s="314"/>
      <c r="H216" s="314"/>
      <c r="I216" s="314"/>
      <c r="J216" s="314"/>
      <c r="K216" s="314"/>
      <c r="L216" s="314"/>
      <c r="M216" s="314"/>
      <c r="N216" s="314"/>
      <c r="O216" s="314"/>
      <c r="P216" s="314"/>
      <c r="Q216" s="314"/>
      <c r="R216" s="314"/>
      <c r="S216" s="314"/>
    </row>
    <row r="217" spans="1:23">
      <c r="A217" s="182" t="s">
        <v>111</v>
      </c>
      <c r="B217" s="311" t="s">
        <v>135</v>
      </c>
      <c r="C217" s="312"/>
      <c r="D217" s="312"/>
      <c r="E217" s="312"/>
      <c r="F217" s="312"/>
      <c r="G217" s="312"/>
      <c r="H217" s="312"/>
      <c r="I217" s="312"/>
      <c r="J217" s="312"/>
      <c r="K217" s="312"/>
      <c r="L217" s="312"/>
      <c r="M217" s="312"/>
      <c r="N217" s="312"/>
      <c r="O217" s="312"/>
      <c r="P217" s="312"/>
      <c r="Q217" s="312"/>
      <c r="R217" s="312"/>
      <c r="S217" s="312"/>
    </row>
    <row r="218" spans="1:23">
      <c r="A218" s="191" t="s">
        <v>112</v>
      </c>
      <c r="B218" s="293" t="s">
        <v>2</v>
      </c>
      <c r="C218" s="293" t="s">
        <v>83</v>
      </c>
      <c r="D218" s="293" t="s">
        <v>3</v>
      </c>
      <c r="E218" s="293" t="s">
        <v>4</v>
      </c>
      <c r="F218" s="293" t="s">
        <v>100</v>
      </c>
      <c r="G218" s="293" t="s">
        <v>11</v>
      </c>
      <c r="H218" s="293" t="s">
        <v>5</v>
      </c>
      <c r="I218" s="293" t="s">
        <v>6</v>
      </c>
      <c r="J218" s="293" t="s">
        <v>7</v>
      </c>
      <c r="K218" s="293" t="s">
        <v>8</v>
      </c>
      <c r="L218" s="293" t="s">
        <v>9</v>
      </c>
      <c r="M218" s="293" t="s">
        <v>71</v>
      </c>
      <c r="N218" s="293" t="s">
        <v>72</v>
      </c>
      <c r="O218" s="207" t="s">
        <v>10</v>
      </c>
      <c r="P218" s="293" t="s">
        <v>139</v>
      </c>
      <c r="Q218" s="293" t="s">
        <v>102</v>
      </c>
      <c r="R218" s="293" t="s">
        <v>140</v>
      </c>
      <c r="S218" s="207" t="s">
        <v>141</v>
      </c>
      <c r="V218" s="209" t="s">
        <v>146</v>
      </c>
    </row>
    <row r="219" spans="1:23" ht="14.25">
      <c r="A219" s="191" t="s">
        <v>134</v>
      </c>
      <c r="B219" s="197"/>
      <c r="C219" s="197"/>
      <c r="D219" s="197"/>
      <c r="E219" s="197"/>
      <c r="F219" s="197"/>
      <c r="G219" s="197"/>
      <c r="H219" s="197"/>
      <c r="I219" s="197"/>
      <c r="J219" s="197"/>
      <c r="K219" s="197"/>
      <c r="L219" s="197"/>
      <c r="M219" s="197"/>
      <c r="N219" s="197"/>
      <c r="O219" s="208"/>
      <c r="P219" s="197"/>
      <c r="Q219" s="197"/>
      <c r="R219" s="197"/>
      <c r="S219" s="208"/>
      <c r="V219" s="210"/>
    </row>
    <row r="220" spans="1:23" ht="14.25">
      <c r="A220" s="212">
        <v>1</v>
      </c>
      <c r="B220" s="186">
        <v>2.2429960879999999</v>
      </c>
      <c r="C220" s="186">
        <v>-9.5008799999999997E-4</v>
      </c>
      <c r="D220" s="186">
        <v>4.9775020000000003</v>
      </c>
      <c r="E220" s="186">
        <v>0.87309800000000004</v>
      </c>
      <c r="F220" s="186">
        <v>0</v>
      </c>
      <c r="G220" s="186">
        <v>6.3345690000000001</v>
      </c>
      <c r="H220" s="186">
        <v>6.5041779999999996</v>
      </c>
      <c r="I220" s="186">
        <v>1.02E-4</v>
      </c>
      <c r="J220" s="186">
        <v>0.56020899999999996</v>
      </c>
      <c r="K220" s="186">
        <v>0.396401</v>
      </c>
      <c r="L220" s="186">
        <v>3.4289710000000002</v>
      </c>
      <c r="M220" s="186">
        <v>5.2907000000000003E-2</v>
      </c>
      <c r="N220" s="186">
        <v>0.21317900000000001</v>
      </c>
      <c r="O220" s="189">
        <v>25.583162000000002</v>
      </c>
      <c r="P220" s="186">
        <v>-5.5828000000000003E-2</v>
      </c>
      <c r="Q220" s="186">
        <v>-0.12813099999999999</v>
      </c>
      <c r="R220" s="186">
        <v>0.73741100000000004</v>
      </c>
      <c r="S220" s="189">
        <v>26.136614000000002</v>
      </c>
      <c r="V220" s="211">
        <f>IFERROR(H220/O220*100,"")</f>
        <v>25.423667332443113</v>
      </c>
    </row>
    <row r="221" spans="1:23" ht="14.25">
      <c r="A221" s="212">
        <v>2</v>
      </c>
      <c r="B221" s="186">
        <v>2.1374072719999999</v>
      </c>
      <c r="C221" s="186">
        <v>-9.7327199999999996E-4</v>
      </c>
      <c r="D221" s="186">
        <v>4.9786219999999997</v>
      </c>
      <c r="E221" s="186">
        <v>0.85191499999999998</v>
      </c>
      <c r="F221" s="186">
        <v>0</v>
      </c>
      <c r="G221" s="186">
        <v>5.8736230000000003</v>
      </c>
      <c r="H221" s="186">
        <v>6.1925420000000004</v>
      </c>
      <c r="I221" s="186">
        <v>9.2E-5</v>
      </c>
      <c r="J221" s="186">
        <v>0.528729</v>
      </c>
      <c r="K221" s="186">
        <v>0.39889799999999997</v>
      </c>
      <c r="L221" s="186">
        <v>3.4180779999999999</v>
      </c>
      <c r="M221" s="186">
        <v>5.5960500000000003E-2</v>
      </c>
      <c r="N221" s="186">
        <v>0.21544550000000001</v>
      </c>
      <c r="O221" s="189">
        <v>24.650338999999999</v>
      </c>
      <c r="P221" s="186">
        <v>-5.5867E-2</v>
      </c>
      <c r="Q221" s="186">
        <v>-0.100008</v>
      </c>
      <c r="R221" s="186">
        <v>0.31055700000000003</v>
      </c>
      <c r="S221" s="189">
        <v>24.805021</v>
      </c>
      <c r="V221" s="211">
        <f t="shared" ref="V221:V243" si="37">IFERROR(H221/O221*100,"")</f>
        <v>25.12152875463498</v>
      </c>
    </row>
    <row r="222" spans="1:23" ht="14.25">
      <c r="A222" s="212">
        <v>3</v>
      </c>
      <c r="B222" s="186">
        <v>1.8968749760000001</v>
      </c>
      <c r="C222" s="186">
        <v>-1.057976E-3</v>
      </c>
      <c r="D222" s="186">
        <v>4.9818660000000001</v>
      </c>
      <c r="E222" s="186">
        <v>0.81355599999999995</v>
      </c>
      <c r="F222" s="186">
        <v>0</v>
      </c>
      <c r="G222" s="186">
        <v>5.6846480000000001</v>
      </c>
      <c r="H222" s="186">
        <v>6.210432</v>
      </c>
      <c r="I222" s="186">
        <v>8.1000000000000004E-5</v>
      </c>
      <c r="J222" s="186">
        <v>0.471024</v>
      </c>
      <c r="K222" s="186">
        <v>0.39942499999999997</v>
      </c>
      <c r="L222" s="186">
        <v>3.4064920000000001</v>
      </c>
      <c r="M222" s="186">
        <v>6.69825E-2</v>
      </c>
      <c r="N222" s="186">
        <v>0.22532050000000001</v>
      </c>
      <c r="O222" s="189">
        <v>24.155643999999999</v>
      </c>
      <c r="P222" s="186">
        <v>-0.1047</v>
      </c>
      <c r="Q222" s="186">
        <v>-0.101866</v>
      </c>
      <c r="R222" s="186">
        <v>-1.9566E-2</v>
      </c>
      <c r="S222" s="189">
        <v>23.929511999999999</v>
      </c>
      <c r="V222" s="211">
        <f t="shared" si="37"/>
        <v>25.710065937385068</v>
      </c>
    </row>
    <row r="223" spans="1:23" ht="14.25">
      <c r="A223" s="212">
        <v>4</v>
      </c>
      <c r="B223" s="186">
        <v>1.88753232</v>
      </c>
      <c r="C223" s="186">
        <v>-1.0363200000000001E-3</v>
      </c>
      <c r="D223" s="186">
        <v>4.9831250000000002</v>
      </c>
      <c r="E223" s="186">
        <v>0.82456499999999999</v>
      </c>
      <c r="F223" s="186">
        <v>0</v>
      </c>
      <c r="G223" s="186">
        <v>5.7189540000000001</v>
      </c>
      <c r="H223" s="186">
        <v>6.1369769999999999</v>
      </c>
      <c r="I223" s="186">
        <v>9.2999999999999997E-5</v>
      </c>
      <c r="J223" s="186">
        <v>0.45576299999999997</v>
      </c>
      <c r="K223" s="186">
        <v>0.39545400000000003</v>
      </c>
      <c r="L223" s="186">
        <v>3.4021089999999998</v>
      </c>
      <c r="M223" s="186">
        <v>6.1657499999999997E-2</v>
      </c>
      <c r="N223" s="186">
        <v>0.21688650000000001</v>
      </c>
      <c r="O223" s="189">
        <v>24.082080000000001</v>
      </c>
      <c r="P223" s="186">
        <v>-0.107887</v>
      </c>
      <c r="Q223" s="186">
        <v>-0.101822</v>
      </c>
      <c r="R223" s="186">
        <v>-0.35075099999999998</v>
      </c>
      <c r="S223" s="189">
        <v>23.521619999999999</v>
      </c>
      <c r="V223" s="211">
        <f t="shared" si="37"/>
        <v>25.483583643937731</v>
      </c>
    </row>
    <row r="224" spans="1:23" ht="14.25">
      <c r="A224" s="212">
        <v>5</v>
      </c>
      <c r="B224" s="186">
        <v>1.7685103600000001</v>
      </c>
      <c r="C224" s="186">
        <v>-1.0363600000000001E-3</v>
      </c>
      <c r="D224" s="186">
        <v>4.9880199999999997</v>
      </c>
      <c r="E224" s="186">
        <v>0.82039200000000001</v>
      </c>
      <c r="F224" s="186">
        <v>0</v>
      </c>
      <c r="G224" s="186">
        <v>5.7496510000000001</v>
      </c>
      <c r="H224" s="186">
        <v>6.326619</v>
      </c>
      <c r="I224" s="186">
        <v>1.2E-4</v>
      </c>
      <c r="J224" s="186">
        <v>0.44727499999999998</v>
      </c>
      <c r="K224" s="186">
        <v>0.39637099999999997</v>
      </c>
      <c r="L224" s="186">
        <v>3.4038560000000002</v>
      </c>
      <c r="M224" s="186">
        <v>6.2639E-2</v>
      </c>
      <c r="N224" s="186">
        <v>0.22021499999999999</v>
      </c>
      <c r="O224" s="189">
        <v>24.182632000000002</v>
      </c>
      <c r="P224" s="186">
        <v>-0.160634</v>
      </c>
      <c r="Q224" s="186">
        <v>-0.101909</v>
      </c>
      <c r="R224" s="186">
        <v>-0.51053599999999999</v>
      </c>
      <c r="S224" s="189">
        <v>23.409552999999999</v>
      </c>
      <c r="V224" s="211">
        <f t="shared" si="37"/>
        <v>26.161829696618629</v>
      </c>
    </row>
    <row r="225" spans="1:22" ht="14.25">
      <c r="A225" s="212">
        <v>6</v>
      </c>
      <c r="B225" s="186">
        <v>1.6199336559999999</v>
      </c>
      <c r="C225" s="186">
        <v>-9.7665600000000001E-4</v>
      </c>
      <c r="D225" s="186">
        <v>4.9754610000000001</v>
      </c>
      <c r="E225" s="186">
        <v>0.81074199999999996</v>
      </c>
      <c r="F225" s="186">
        <v>0</v>
      </c>
      <c r="G225" s="186">
        <v>5.1318029999999997</v>
      </c>
      <c r="H225" s="186">
        <v>7.1862649999999997</v>
      </c>
      <c r="I225" s="186">
        <v>4.5300000000000001E-4</v>
      </c>
      <c r="J225" s="186">
        <v>0.41077000000000002</v>
      </c>
      <c r="K225" s="186">
        <v>0.39340599999999998</v>
      </c>
      <c r="L225" s="186">
        <v>3.427038</v>
      </c>
      <c r="M225" s="186">
        <v>6.5589999999999996E-2</v>
      </c>
      <c r="N225" s="186">
        <v>0.22239200000000001</v>
      </c>
      <c r="O225" s="189">
        <v>24.242877</v>
      </c>
      <c r="P225" s="186">
        <v>-0.24804399999999999</v>
      </c>
      <c r="Q225" s="186">
        <v>-0.102384</v>
      </c>
      <c r="R225" s="186">
        <v>-7.5102000000000002E-2</v>
      </c>
      <c r="S225" s="189">
        <v>23.817347000000002</v>
      </c>
      <c r="V225" s="211">
        <f t="shared" si="37"/>
        <v>29.642789508852434</v>
      </c>
    </row>
    <row r="226" spans="1:22" ht="14.25">
      <c r="A226" s="212">
        <v>7</v>
      </c>
      <c r="B226" s="186">
        <v>1.7917478</v>
      </c>
      <c r="C226" s="186">
        <v>-1.0428E-3</v>
      </c>
      <c r="D226" s="186">
        <v>4.9600030000000004</v>
      </c>
      <c r="E226" s="186">
        <v>0.81996500000000005</v>
      </c>
      <c r="F226" s="186">
        <v>0</v>
      </c>
      <c r="G226" s="186">
        <v>5.5135519999999998</v>
      </c>
      <c r="H226" s="186">
        <v>7.668139</v>
      </c>
      <c r="I226" s="186">
        <v>5.6810000000000003E-3</v>
      </c>
      <c r="J226" s="186">
        <v>0.27901799999999999</v>
      </c>
      <c r="K226" s="186">
        <v>0.39167400000000002</v>
      </c>
      <c r="L226" s="186">
        <v>3.4524659999999998</v>
      </c>
      <c r="M226" s="186">
        <v>6.7842E-2</v>
      </c>
      <c r="N226" s="186">
        <v>0.225133</v>
      </c>
      <c r="O226" s="189">
        <v>25.174178000000001</v>
      </c>
      <c r="P226" s="186">
        <v>-9.8014000000000004E-2</v>
      </c>
      <c r="Q226" s="186">
        <v>-0.12843299999999999</v>
      </c>
      <c r="R226" s="186">
        <v>0.47040999999999999</v>
      </c>
      <c r="S226" s="189">
        <v>25.418140999999999</v>
      </c>
      <c r="V226" s="211">
        <f t="shared" si="37"/>
        <v>30.460335189494568</v>
      </c>
    </row>
    <row r="227" spans="1:22" ht="14.25">
      <c r="A227" s="212">
        <v>8</v>
      </c>
      <c r="B227" s="186">
        <v>2.4736916240000002</v>
      </c>
      <c r="C227" s="186">
        <v>-9.4462400000000003E-4</v>
      </c>
      <c r="D227" s="186">
        <v>4.9590420000000002</v>
      </c>
      <c r="E227" s="186">
        <v>0.87794300000000003</v>
      </c>
      <c r="F227" s="186">
        <v>0</v>
      </c>
      <c r="G227" s="186">
        <v>6.9180089999999996</v>
      </c>
      <c r="H227" s="186">
        <v>7.8990830000000001</v>
      </c>
      <c r="I227" s="186">
        <v>0.174318</v>
      </c>
      <c r="J227" s="186">
        <v>0.10471999999999999</v>
      </c>
      <c r="K227" s="186">
        <v>0.38932299999999997</v>
      </c>
      <c r="L227" s="186">
        <v>3.4859520000000002</v>
      </c>
      <c r="M227" s="186">
        <v>7.0610999999999993E-2</v>
      </c>
      <c r="N227" s="186">
        <v>0.23097599999999999</v>
      </c>
      <c r="O227" s="189">
        <v>27.582723999999999</v>
      </c>
      <c r="P227" s="186">
        <v>-5.3330000000000002E-2</v>
      </c>
      <c r="Q227" s="186">
        <v>-0.178676</v>
      </c>
      <c r="R227" s="186">
        <v>0.54621299999999995</v>
      </c>
      <c r="S227" s="189">
        <v>27.896930999999999</v>
      </c>
      <c r="V227" s="211">
        <f t="shared" si="37"/>
        <v>28.637791539370806</v>
      </c>
    </row>
    <row r="228" spans="1:22" ht="14.25">
      <c r="A228" s="212">
        <v>9</v>
      </c>
      <c r="B228" s="186">
        <v>2.7725603200000002</v>
      </c>
      <c r="C228" s="186">
        <v>-9.0432000000000002E-4</v>
      </c>
      <c r="D228" s="186">
        <v>4.9800700000000004</v>
      </c>
      <c r="E228" s="186">
        <v>0.99180100000000004</v>
      </c>
      <c r="F228" s="186">
        <v>0</v>
      </c>
      <c r="G228" s="186">
        <v>7.3818700000000002</v>
      </c>
      <c r="H228" s="186">
        <v>8.0309299999999997</v>
      </c>
      <c r="I228" s="186">
        <v>0.77248399999999995</v>
      </c>
      <c r="J228" s="186">
        <v>0.156386</v>
      </c>
      <c r="K228" s="186">
        <v>0.38860099999999997</v>
      </c>
      <c r="L228" s="186">
        <v>3.5170340000000002</v>
      </c>
      <c r="M228" s="186">
        <v>7.0694499999999993E-2</v>
      </c>
      <c r="N228" s="186">
        <v>0.22185750000000001</v>
      </c>
      <c r="O228" s="189">
        <v>29.283384000000002</v>
      </c>
      <c r="P228" s="186">
        <v>-2.317E-3</v>
      </c>
      <c r="Q228" s="186">
        <v>-0.23444599999999999</v>
      </c>
      <c r="R228" s="186">
        <v>0.62721800000000005</v>
      </c>
      <c r="S228" s="189">
        <v>29.673839000000001</v>
      </c>
      <c r="V228" s="211">
        <f t="shared" si="37"/>
        <v>27.424870021852666</v>
      </c>
    </row>
    <row r="229" spans="1:22" ht="14.25">
      <c r="A229" s="212">
        <v>10</v>
      </c>
      <c r="B229" s="186">
        <v>2.4551003699999998</v>
      </c>
      <c r="C229" s="186">
        <v>1.5005630000000001E-2</v>
      </c>
      <c r="D229" s="186">
        <v>5.0241290000000003</v>
      </c>
      <c r="E229" s="186">
        <v>1.0302629999999999</v>
      </c>
      <c r="F229" s="186">
        <v>0</v>
      </c>
      <c r="G229" s="186">
        <v>6.5498960000000004</v>
      </c>
      <c r="H229" s="186">
        <v>8.6211389999999994</v>
      </c>
      <c r="I229" s="186">
        <v>1.5488489999999999</v>
      </c>
      <c r="J229" s="186">
        <v>1.247768</v>
      </c>
      <c r="K229" s="186">
        <v>0.38346000000000002</v>
      </c>
      <c r="L229" s="186">
        <v>3.512</v>
      </c>
      <c r="M229" s="186">
        <v>7.1335999999999997E-2</v>
      </c>
      <c r="N229" s="186">
        <v>0.22608900000000001</v>
      </c>
      <c r="O229" s="189">
        <v>30.685034999999999</v>
      </c>
      <c r="P229" s="186">
        <v>-0.10608099999999999</v>
      </c>
      <c r="Q229" s="186">
        <v>-0.26632800000000001</v>
      </c>
      <c r="R229" s="186">
        <v>0.29312500000000002</v>
      </c>
      <c r="S229" s="189">
        <v>30.605751000000001</v>
      </c>
      <c r="V229" s="211">
        <f t="shared" si="37"/>
        <v>28.095581445483113</v>
      </c>
    </row>
    <row r="230" spans="1:22" ht="14.25">
      <c r="A230" s="212">
        <v>11</v>
      </c>
      <c r="B230" s="186">
        <v>2.31592091</v>
      </c>
      <c r="C230" s="186">
        <v>0.15095209000000001</v>
      </c>
      <c r="D230" s="186">
        <v>5.0626629999999997</v>
      </c>
      <c r="E230" s="186">
        <v>1.035337</v>
      </c>
      <c r="F230" s="186">
        <v>0</v>
      </c>
      <c r="G230" s="186">
        <v>6.0077540000000003</v>
      </c>
      <c r="H230" s="186">
        <v>9.1902910000000002</v>
      </c>
      <c r="I230" s="186">
        <v>2.2395719999999999</v>
      </c>
      <c r="J230" s="186">
        <v>1.902639</v>
      </c>
      <c r="K230" s="186">
        <v>0.38922200000000001</v>
      </c>
      <c r="L230" s="186">
        <v>3.5049109999999999</v>
      </c>
      <c r="M230" s="186">
        <v>7.0820499999999995E-2</v>
      </c>
      <c r="N230" s="186">
        <v>0.2273675</v>
      </c>
      <c r="O230" s="189">
        <v>32.097450000000002</v>
      </c>
      <c r="P230" s="186">
        <v>-0.36305199999999999</v>
      </c>
      <c r="Q230" s="186">
        <v>-0.26658700000000002</v>
      </c>
      <c r="R230" s="186">
        <v>-0.27089299999999999</v>
      </c>
      <c r="S230" s="189">
        <v>31.196918</v>
      </c>
      <c r="V230" s="211">
        <f t="shared" si="37"/>
        <v>28.632464572730854</v>
      </c>
    </row>
    <row r="231" spans="1:22" ht="14.25">
      <c r="A231" s="212">
        <v>12</v>
      </c>
      <c r="B231" s="186">
        <v>2.1723120599999999</v>
      </c>
      <c r="C231" s="186">
        <v>0.21371593999999999</v>
      </c>
      <c r="D231" s="186">
        <v>5.0693219999999997</v>
      </c>
      <c r="E231" s="186">
        <v>1.0816060000000001</v>
      </c>
      <c r="F231" s="186">
        <v>0</v>
      </c>
      <c r="G231" s="186">
        <v>6.2511510000000001</v>
      </c>
      <c r="H231" s="186">
        <v>9.4060900000000007</v>
      </c>
      <c r="I231" s="186">
        <v>2.7202099999999998</v>
      </c>
      <c r="J231" s="186">
        <v>1.890585</v>
      </c>
      <c r="K231" s="186">
        <v>0.39127200000000001</v>
      </c>
      <c r="L231" s="186">
        <v>3.4988139999999999</v>
      </c>
      <c r="M231" s="186">
        <v>7.08815E-2</v>
      </c>
      <c r="N231" s="186">
        <v>0.2238175</v>
      </c>
      <c r="O231" s="189">
        <v>32.989776999999997</v>
      </c>
      <c r="P231" s="186">
        <v>-0.44816699999999998</v>
      </c>
      <c r="Q231" s="186">
        <v>-0.26663100000000001</v>
      </c>
      <c r="R231" s="186">
        <v>-0.64820699999999998</v>
      </c>
      <c r="S231" s="189">
        <v>31.626771999999999</v>
      </c>
      <c r="V231" s="211">
        <f t="shared" si="37"/>
        <v>28.512135744354993</v>
      </c>
    </row>
    <row r="232" spans="1:22" ht="14.25">
      <c r="A232" s="212">
        <v>13</v>
      </c>
      <c r="B232" s="186">
        <v>2.1128052639999999</v>
      </c>
      <c r="C232" s="186">
        <v>0.21385073600000001</v>
      </c>
      <c r="D232" s="186">
        <v>5.0949090000000004</v>
      </c>
      <c r="E232" s="186">
        <v>1.1144259999999999</v>
      </c>
      <c r="F232" s="186">
        <v>0</v>
      </c>
      <c r="G232" s="186">
        <v>6.2805210000000002</v>
      </c>
      <c r="H232" s="186">
        <v>9.5003019999999996</v>
      </c>
      <c r="I232" s="186">
        <v>3.006116</v>
      </c>
      <c r="J232" s="186">
        <v>1.8077829999999999</v>
      </c>
      <c r="K232" s="186">
        <v>0.39174300000000001</v>
      </c>
      <c r="L232" s="186">
        <v>3.4975960000000001</v>
      </c>
      <c r="M232" s="186">
        <v>7.3108000000000006E-2</v>
      </c>
      <c r="N232" s="186">
        <v>0.22453799999999999</v>
      </c>
      <c r="O232" s="189">
        <v>33.317698</v>
      </c>
      <c r="P232" s="186">
        <v>-0.448241</v>
      </c>
      <c r="Q232" s="186">
        <v>-0.26658700000000002</v>
      </c>
      <c r="R232" s="186">
        <v>-0.49932900000000002</v>
      </c>
      <c r="S232" s="189">
        <v>32.103541</v>
      </c>
      <c r="V232" s="211">
        <f t="shared" si="37"/>
        <v>28.514280908602991</v>
      </c>
    </row>
    <row r="233" spans="1:22" ht="14.25">
      <c r="A233" s="212">
        <v>14</v>
      </c>
      <c r="B233" s="186">
        <v>2.0417580599999998</v>
      </c>
      <c r="C233" s="186">
        <v>0.13585294000000001</v>
      </c>
      <c r="D233" s="186">
        <v>5.1175959999999998</v>
      </c>
      <c r="E233" s="186">
        <v>1.1180429999999999</v>
      </c>
      <c r="F233" s="186">
        <v>0</v>
      </c>
      <c r="G233" s="186">
        <v>6.4997449999999999</v>
      </c>
      <c r="H233" s="186">
        <v>9.6802770000000002</v>
      </c>
      <c r="I233" s="186">
        <v>3.1203630000000002</v>
      </c>
      <c r="J233" s="186">
        <v>1.613707</v>
      </c>
      <c r="K233" s="186">
        <v>0.398229</v>
      </c>
      <c r="L233" s="186">
        <v>3.5226150000000001</v>
      </c>
      <c r="M233" s="186">
        <v>7.3668499999999998E-2</v>
      </c>
      <c r="N233" s="186">
        <v>0.2285875</v>
      </c>
      <c r="O233" s="189">
        <v>33.550441999999997</v>
      </c>
      <c r="P233" s="186">
        <v>-0.29581099999999999</v>
      </c>
      <c r="Q233" s="186">
        <v>-0.26663100000000001</v>
      </c>
      <c r="R233" s="186">
        <v>-0.87806099999999998</v>
      </c>
      <c r="S233" s="189">
        <v>32.109938999999997</v>
      </c>
      <c r="V233" s="211">
        <f t="shared" si="37"/>
        <v>28.852904531034202</v>
      </c>
    </row>
    <row r="234" spans="1:22" ht="14.25">
      <c r="A234" s="212">
        <v>15</v>
      </c>
      <c r="B234" s="186">
        <v>2.0640494399999998</v>
      </c>
      <c r="C234" s="186">
        <v>2.5221560000000001E-2</v>
      </c>
      <c r="D234" s="186">
        <v>5.12331</v>
      </c>
      <c r="E234" s="186">
        <v>1.112501</v>
      </c>
      <c r="F234" s="186">
        <v>0</v>
      </c>
      <c r="G234" s="186">
        <v>5.9425600000000003</v>
      </c>
      <c r="H234" s="186">
        <v>10.007439</v>
      </c>
      <c r="I234" s="186">
        <v>3.1408640000000001</v>
      </c>
      <c r="J234" s="186">
        <v>1.4588220000000001</v>
      </c>
      <c r="K234" s="186">
        <v>0.39205200000000001</v>
      </c>
      <c r="L234" s="186">
        <v>3.5659529999999999</v>
      </c>
      <c r="M234" s="186">
        <v>7.8159000000000006E-2</v>
      </c>
      <c r="N234" s="186">
        <v>0.230848</v>
      </c>
      <c r="O234" s="189">
        <v>33.141779</v>
      </c>
      <c r="P234" s="186">
        <v>-0.17724799999999999</v>
      </c>
      <c r="Q234" s="186">
        <v>-0.26658599999999999</v>
      </c>
      <c r="R234" s="186">
        <v>-1.608476</v>
      </c>
      <c r="S234" s="189">
        <v>31.089469000000001</v>
      </c>
      <c r="V234" s="211">
        <f t="shared" si="37"/>
        <v>30.195841327648704</v>
      </c>
    </row>
    <row r="235" spans="1:22" ht="14.25">
      <c r="A235" s="212">
        <v>16</v>
      </c>
      <c r="B235" s="186">
        <v>2.0969098000000002</v>
      </c>
      <c r="C235" s="186">
        <v>-1.9398E-3</v>
      </c>
      <c r="D235" s="186">
        <v>5.1350569999999998</v>
      </c>
      <c r="E235" s="186">
        <v>1.1158319999999999</v>
      </c>
      <c r="F235" s="186">
        <v>0</v>
      </c>
      <c r="G235" s="186">
        <v>6.2150879999999997</v>
      </c>
      <c r="H235" s="186">
        <v>9.9169920000000005</v>
      </c>
      <c r="I235" s="186">
        <v>3.093893</v>
      </c>
      <c r="J235" s="186">
        <v>1.2339830000000001</v>
      </c>
      <c r="K235" s="186">
        <v>0.39153100000000002</v>
      </c>
      <c r="L235" s="186">
        <v>3.5484830000000001</v>
      </c>
      <c r="M235" s="186">
        <v>7.9243999999999995E-2</v>
      </c>
      <c r="N235" s="186">
        <v>0.23343</v>
      </c>
      <c r="O235" s="189">
        <v>33.058503000000002</v>
      </c>
      <c r="P235" s="186">
        <v>-0.54547299999999999</v>
      </c>
      <c r="Q235" s="186">
        <v>-0.26663100000000001</v>
      </c>
      <c r="R235" s="186">
        <v>-1.7284250000000001</v>
      </c>
      <c r="S235" s="189">
        <v>30.517973999999999</v>
      </c>
      <c r="V235" s="211">
        <f t="shared" si="37"/>
        <v>29.99830936083222</v>
      </c>
    </row>
    <row r="236" spans="1:22" ht="14.25">
      <c r="A236" s="212">
        <v>17</v>
      </c>
      <c r="B236" s="186">
        <v>2.1820138</v>
      </c>
      <c r="C236" s="186">
        <v>-1.2237999999999999E-3</v>
      </c>
      <c r="D236" s="186">
        <v>5.148847</v>
      </c>
      <c r="E236" s="186">
        <v>1.0462910000000001</v>
      </c>
      <c r="F236" s="186">
        <v>0</v>
      </c>
      <c r="G236" s="186">
        <v>6.3756029999999999</v>
      </c>
      <c r="H236" s="186">
        <v>9.4769640000000006</v>
      </c>
      <c r="I236" s="186">
        <v>2.7587220000000001</v>
      </c>
      <c r="J236" s="186">
        <v>1.185179</v>
      </c>
      <c r="K236" s="186">
        <v>0.39407799999999998</v>
      </c>
      <c r="L236" s="186">
        <v>3.5360019999999999</v>
      </c>
      <c r="M236" s="186">
        <v>8.1024499999999999E-2</v>
      </c>
      <c r="N236" s="186">
        <v>0.22998850000000001</v>
      </c>
      <c r="O236" s="189">
        <v>32.413488999999998</v>
      </c>
      <c r="P236" s="186">
        <v>-0.21623400000000001</v>
      </c>
      <c r="Q236" s="186">
        <v>-0.26662999999999998</v>
      </c>
      <c r="R236" s="186">
        <v>-1.5603450000000001</v>
      </c>
      <c r="S236" s="189">
        <v>30.370280000000001</v>
      </c>
      <c r="V236" s="211">
        <f t="shared" si="37"/>
        <v>29.23771643342684</v>
      </c>
    </row>
    <row r="237" spans="1:22" ht="14.25">
      <c r="A237" s="212">
        <v>18</v>
      </c>
      <c r="B237" s="186">
        <v>2.0391663200000001</v>
      </c>
      <c r="C237" s="186">
        <v>-1.1293200000000001E-3</v>
      </c>
      <c r="D237" s="186">
        <v>5.1595199999999997</v>
      </c>
      <c r="E237" s="186">
        <v>0.99844100000000002</v>
      </c>
      <c r="F237" s="186">
        <v>0</v>
      </c>
      <c r="G237" s="186">
        <v>6.5477280000000002</v>
      </c>
      <c r="H237" s="186">
        <v>9.0225899999999992</v>
      </c>
      <c r="I237" s="186">
        <v>2.257984</v>
      </c>
      <c r="J237" s="186">
        <v>1.190429</v>
      </c>
      <c r="K237" s="186">
        <v>0.39822099999999999</v>
      </c>
      <c r="L237" s="186">
        <v>3.548044</v>
      </c>
      <c r="M237" s="186">
        <v>8.2955500000000001E-2</v>
      </c>
      <c r="N237" s="186">
        <v>0.23642050000000001</v>
      </c>
      <c r="O237" s="189">
        <v>31.480370000000001</v>
      </c>
      <c r="P237" s="186">
        <v>-0.107447</v>
      </c>
      <c r="Q237" s="186">
        <v>-0.26667400000000002</v>
      </c>
      <c r="R237" s="186">
        <v>-0.77710599999999996</v>
      </c>
      <c r="S237" s="189">
        <v>30.329142999999998</v>
      </c>
      <c r="V237" s="211">
        <f t="shared" si="37"/>
        <v>28.661003666729457</v>
      </c>
    </row>
    <row r="238" spans="1:22" ht="14.25">
      <c r="A238" s="212">
        <v>19</v>
      </c>
      <c r="B238" s="186">
        <v>2.1796436400000001</v>
      </c>
      <c r="C238" s="186">
        <v>-1.01464E-3</v>
      </c>
      <c r="D238" s="186">
        <v>5.1626539999999999</v>
      </c>
      <c r="E238" s="186">
        <v>0.94930800000000004</v>
      </c>
      <c r="F238" s="186">
        <v>0</v>
      </c>
      <c r="G238" s="186">
        <v>6.6580389999999996</v>
      </c>
      <c r="H238" s="186">
        <v>8.1692540000000005</v>
      </c>
      <c r="I238" s="186">
        <v>1.647413</v>
      </c>
      <c r="J238" s="186">
        <v>1.3543909999999999</v>
      </c>
      <c r="K238" s="186">
        <v>0.39264500000000002</v>
      </c>
      <c r="L238" s="186">
        <v>3.5527690000000001</v>
      </c>
      <c r="M238" s="186">
        <v>8.9085499999999998E-2</v>
      </c>
      <c r="N238" s="186">
        <v>0.24181749999999999</v>
      </c>
      <c r="O238" s="189">
        <v>30.396004999999999</v>
      </c>
      <c r="P238" s="186">
        <v>-2.3347E-2</v>
      </c>
      <c r="Q238" s="186">
        <v>-0.26662999999999998</v>
      </c>
      <c r="R238" s="186">
        <v>-0.25963599999999998</v>
      </c>
      <c r="S238" s="189">
        <v>29.846392000000002</v>
      </c>
      <c r="V238" s="211">
        <f t="shared" si="37"/>
        <v>26.876077958271168</v>
      </c>
    </row>
    <row r="239" spans="1:22" ht="14.25">
      <c r="A239" s="212">
        <v>20</v>
      </c>
      <c r="B239" s="186">
        <v>2.4016296399999999</v>
      </c>
      <c r="C239" s="186">
        <v>-9.826399999999999E-4</v>
      </c>
      <c r="D239" s="186">
        <v>5.165864</v>
      </c>
      <c r="E239" s="186">
        <v>0.935056</v>
      </c>
      <c r="F239" s="186">
        <v>0</v>
      </c>
      <c r="G239" s="186">
        <v>6.9163360000000003</v>
      </c>
      <c r="H239" s="186">
        <v>7.294791</v>
      </c>
      <c r="I239" s="186">
        <v>1.026524</v>
      </c>
      <c r="J239" s="186">
        <v>1.4847220000000001</v>
      </c>
      <c r="K239" s="186">
        <v>0.38031300000000001</v>
      </c>
      <c r="L239" s="186">
        <v>3.549731</v>
      </c>
      <c r="M239" s="186">
        <v>9.5018000000000005E-2</v>
      </c>
      <c r="N239" s="186">
        <v>0.24870900000000001</v>
      </c>
      <c r="O239" s="189">
        <v>29.497710999999999</v>
      </c>
      <c r="P239" s="186">
        <v>-2.199E-3</v>
      </c>
      <c r="Q239" s="186">
        <v>-0.26663100000000001</v>
      </c>
      <c r="R239" s="186">
        <v>0.33880300000000002</v>
      </c>
      <c r="S239" s="189">
        <v>29.567684</v>
      </c>
      <c r="V239" s="211">
        <f t="shared" si="37"/>
        <v>24.730023966944419</v>
      </c>
    </row>
    <row r="240" spans="1:22" ht="14.25">
      <c r="A240" s="212">
        <v>21</v>
      </c>
      <c r="B240" s="186">
        <v>3.057691084</v>
      </c>
      <c r="C240" s="186">
        <v>1.3485916000000001E-2</v>
      </c>
      <c r="D240" s="186">
        <v>5.169073</v>
      </c>
      <c r="E240" s="186">
        <v>0.95440199999999997</v>
      </c>
      <c r="F240" s="186">
        <v>0</v>
      </c>
      <c r="G240" s="186">
        <v>8.0973629999999996</v>
      </c>
      <c r="H240" s="186">
        <v>5.8570489999999999</v>
      </c>
      <c r="I240" s="186">
        <v>0.392814</v>
      </c>
      <c r="J240" s="186">
        <v>1.292421</v>
      </c>
      <c r="K240" s="186">
        <v>0.39262999999999998</v>
      </c>
      <c r="L240" s="186">
        <v>3.5691519999999999</v>
      </c>
      <c r="M240" s="186">
        <v>9.4538499999999998E-2</v>
      </c>
      <c r="N240" s="186">
        <v>0.24788750000000001</v>
      </c>
      <c r="O240" s="189">
        <v>29.138507000000001</v>
      </c>
      <c r="P240" s="186">
        <v>-2.1199999999999999E-3</v>
      </c>
      <c r="Q240" s="186">
        <v>-0.26654299999999997</v>
      </c>
      <c r="R240" s="186">
        <v>0.99482700000000002</v>
      </c>
      <c r="S240" s="189">
        <v>29.864671000000001</v>
      </c>
      <c r="V240" s="211">
        <f t="shared" si="37"/>
        <v>20.10071758309374</v>
      </c>
    </row>
    <row r="241" spans="1:22" ht="14.25">
      <c r="A241" s="212">
        <v>22</v>
      </c>
      <c r="B241" s="186">
        <v>4.2652619999999999</v>
      </c>
      <c r="C241" s="186">
        <v>0.18344099999999999</v>
      </c>
      <c r="D241" s="186">
        <v>5.1710960000000004</v>
      </c>
      <c r="E241" s="186">
        <v>1.027136</v>
      </c>
      <c r="F241" s="186">
        <v>0</v>
      </c>
      <c r="G241" s="186">
        <v>8.5175560000000008</v>
      </c>
      <c r="H241" s="186">
        <v>4.5003929999999999</v>
      </c>
      <c r="I241" s="186">
        <v>2.7545E-2</v>
      </c>
      <c r="J241" s="186">
        <v>0.80074199999999995</v>
      </c>
      <c r="K241" s="186">
        <v>0.38838299999999998</v>
      </c>
      <c r="L241" s="186">
        <v>3.5972300000000001</v>
      </c>
      <c r="M241" s="186">
        <v>9.4406500000000004E-2</v>
      </c>
      <c r="N241" s="186">
        <v>0.24336450000000001</v>
      </c>
      <c r="O241" s="189">
        <v>28.816555000000001</v>
      </c>
      <c r="P241" s="186">
        <v>-1.9289999999999999E-3</v>
      </c>
      <c r="Q241" s="186">
        <v>-0.26658799999999999</v>
      </c>
      <c r="R241" s="186">
        <v>1.5486519999999999</v>
      </c>
      <c r="S241" s="189">
        <v>30.096689999999999</v>
      </c>
      <c r="V241" s="211">
        <f t="shared" si="37"/>
        <v>15.617387296989524</v>
      </c>
    </row>
    <row r="242" spans="1:22" ht="14.25">
      <c r="A242" s="212">
        <v>23</v>
      </c>
      <c r="B242" s="186">
        <v>4.4443910000000004</v>
      </c>
      <c r="C242" s="186">
        <v>0.34974499999999997</v>
      </c>
      <c r="D242" s="186">
        <v>5.1669109999999998</v>
      </c>
      <c r="E242" s="186">
        <v>1.0491220000000001</v>
      </c>
      <c r="F242" s="186">
        <v>0</v>
      </c>
      <c r="G242" s="186">
        <v>8.3500460000000007</v>
      </c>
      <c r="H242" s="186">
        <v>3.9168959999999999</v>
      </c>
      <c r="I242" s="186">
        <v>1.37E-4</v>
      </c>
      <c r="J242" s="186">
        <v>0.588611</v>
      </c>
      <c r="K242" s="186">
        <v>0.39701500000000001</v>
      </c>
      <c r="L242" s="186">
        <v>3.5950139999999999</v>
      </c>
      <c r="M242" s="186">
        <v>9.4004000000000004E-2</v>
      </c>
      <c r="N242" s="186">
        <v>0.24513399999999999</v>
      </c>
      <c r="O242" s="189">
        <v>28.197026000000001</v>
      </c>
      <c r="P242" s="186">
        <v>-1.9380000000000001E-3</v>
      </c>
      <c r="Q242" s="186">
        <v>-0.26580999999999999</v>
      </c>
      <c r="R242" s="186">
        <v>1.108052</v>
      </c>
      <c r="S242" s="189">
        <v>29.037330000000001</v>
      </c>
      <c r="V242" s="211">
        <f t="shared" si="37"/>
        <v>13.891167103935004</v>
      </c>
    </row>
    <row r="243" spans="1:22" ht="14.25">
      <c r="A243" s="212">
        <v>24</v>
      </c>
      <c r="B243" s="186">
        <v>3.528632</v>
      </c>
      <c r="C243" s="186">
        <v>3.4653999999999997E-2</v>
      </c>
      <c r="D243" s="186">
        <v>5.1730349999999996</v>
      </c>
      <c r="E243" s="186">
        <v>1.041733</v>
      </c>
      <c r="F243" s="186">
        <v>0</v>
      </c>
      <c r="G243" s="186">
        <v>8.1699579999999994</v>
      </c>
      <c r="H243" s="186">
        <v>3.650938</v>
      </c>
      <c r="I243" s="186">
        <v>4.3999999999999999E-5</v>
      </c>
      <c r="J243" s="186">
        <v>0.57138</v>
      </c>
      <c r="K243" s="186">
        <v>0.39702700000000002</v>
      </c>
      <c r="L243" s="186">
        <v>3.5701610000000001</v>
      </c>
      <c r="M243" s="186">
        <v>9.2343999999999996E-2</v>
      </c>
      <c r="N243" s="186">
        <v>0.23703299999999999</v>
      </c>
      <c r="O243" s="189">
        <v>26.466939</v>
      </c>
      <c r="P243" s="186">
        <v>-1.9319999999999999E-3</v>
      </c>
      <c r="Q243" s="186">
        <v>-0.191548</v>
      </c>
      <c r="R243" s="186">
        <v>0.43954500000000002</v>
      </c>
      <c r="S243" s="189">
        <v>26.713004000000002</v>
      </c>
      <c r="V243" s="211">
        <f t="shared" si="37"/>
        <v>13.794334131347791</v>
      </c>
    </row>
    <row r="244" spans="1:22" ht="14.25">
      <c r="V244" s="211" t="str">
        <f t="shared" ref="V244:V251" si="38">IFERROR(H244/O244*100,"")</f>
        <v/>
      </c>
    </row>
    <row r="245" spans="1:22" ht="14.25">
      <c r="V245" s="211" t="str">
        <f t="shared" si="38"/>
        <v/>
      </c>
    </row>
    <row r="246" spans="1:22" ht="14.25">
      <c r="V246" s="211" t="str">
        <f t="shared" si="38"/>
        <v/>
      </c>
    </row>
    <row r="247" spans="1:22" ht="14.25">
      <c r="V247" s="211" t="str">
        <f t="shared" si="38"/>
        <v/>
      </c>
    </row>
    <row r="248" spans="1:22" ht="14.25">
      <c r="V248" s="211" t="str">
        <f t="shared" si="38"/>
        <v/>
      </c>
    </row>
    <row r="249" spans="1:22" ht="14.25">
      <c r="V249" s="211" t="str">
        <f t="shared" si="38"/>
        <v/>
      </c>
    </row>
    <row r="250" spans="1:22" ht="14.25">
      <c r="V250" s="211" t="str">
        <f t="shared" si="38"/>
        <v/>
      </c>
    </row>
    <row r="251" spans="1:22" ht="14.25">
      <c r="V251" s="211" t="str">
        <f t="shared" si="38"/>
        <v/>
      </c>
    </row>
  </sheetData>
  <mergeCells count="10">
    <mergeCell ref="B176:S176"/>
    <mergeCell ref="B177:S177"/>
    <mergeCell ref="B215:S215"/>
    <mergeCell ref="B216:S216"/>
    <mergeCell ref="B217:S217"/>
    <mergeCell ref="B115:Z115"/>
    <mergeCell ref="B116:Z116"/>
    <mergeCell ref="B175:S175"/>
    <mergeCell ref="B4:J4"/>
    <mergeCell ref="B5:J5"/>
  </mergeCells>
  <conditionalFormatting sqref="V180:V210">
    <cfRule type="cellIs" dxfId="1" priority="2" operator="equal">
      <formula>$V$176</formula>
    </cfRule>
  </conditionalFormatting>
  <conditionalFormatting sqref="V220:V251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8"/>
  <dimension ref="A1:G1209"/>
  <sheetViews>
    <sheetView showGridLines="0" showRowColHeaders="0" workbookViewId="0">
      <selection activeCell="E3" sqref="E3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15" customWidth="1"/>
    <col min="7" max="7" width="7.7109375" style="216" customWidth="1"/>
  </cols>
  <sheetData>
    <row r="1" spans="1:6">
      <c r="C1" s="219" t="s">
        <v>32</v>
      </c>
      <c r="D1" s="219" t="s">
        <v>33</v>
      </c>
      <c r="E1" s="219" t="s">
        <v>34</v>
      </c>
    </row>
    <row r="2" spans="1:6">
      <c r="C2" s="315" t="s">
        <v>147</v>
      </c>
      <c r="D2" s="316"/>
      <c r="E2" s="316"/>
    </row>
    <row r="3" spans="1:6">
      <c r="A3">
        <v>0</v>
      </c>
      <c r="B3" s="46">
        <v>43252</v>
      </c>
      <c r="C3" s="294">
        <v>133.53712503799977</v>
      </c>
      <c r="D3" s="294">
        <v>64.364342968573325</v>
      </c>
      <c r="E3" s="186">
        <f>IF(C3&lt;D3,C3,D3)</f>
        <v>64.364342968573325</v>
      </c>
      <c r="F3" s="215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43253</v>
      </c>
      <c r="C4" s="294">
        <v>110.29734557600038</v>
      </c>
      <c r="D4" s="294">
        <v>64.364342968573325</v>
      </c>
      <c r="E4" s="186">
        <f t="shared" ref="E4:E67" si="0">IF(C4&lt;D4,C4,D4)</f>
        <v>64.364342968573325</v>
      </c>
      <c r="F4" s="215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43254</v>
      </c>
      <c r="C5" s="294">
        <v>133.33009142200038</v>
      </c>
      <c r="D5" s="294">
        <v>64.364342968573325</v>
      </c>
      <c r="E5" s="186">
        <f t="shared" si="0"/>
        <v>64.364342968573325</v>
      </c>
      <c r="F5" s="215" t="str">
        <f t="shared" si="1"/>
        <v/>
      </c>
    </row>
    <row r="6" spans="1:6">
      <c r="A6">
        <v>3</v>
      </c>
      <c r="B6" s="46">
        <v>43255</v>
      </c>
      <c r="C6" s="294">
        <v>125.34429112600037</v>
      </c>
      <c r="D6" s="294">
        <v>64.364342968573325</v>
      </c>
      <c r="E6" s="186">
        <f t="shared" si="0"/>
        <v>64.364342968573325</v>
      </c>
      <c r="F6" s="215" t="str">
        <f t="shared" si="1"/>
        <v/>
      </c>
    </row>
    <row r="7" spans="1:6">
      <c r="A7">
        <v>4</v>
      </c>
      <c r="B7" s="46">
        <v>43256</v>
      </c>
      <c r="C7" s="294">
        <v>108.44983464799874</v>
      </c>
      <c r="D7" s="294">
        <v>64.364342968573325</v>
      </c>
      <c r="E7" s="186">
        <f t="shared" si="0"/>
        <v>64.364342968573325</v>
      </c>
      <c r="F7" s="215" t="str">
        <f t="shared" si="1"/>
        <v/>
      </c>
    </row>
    <row r="8" spans="1:6">
      <c r="A8">
        <v>5</v>
      </c>
      <c r="B8" s="46">
        <v>43257</v>
      </c>
      <c r="C8" s="294">
        <v>152.26290827200128</v>
      </c>
      <c r="D8" s="294">
        <v>64.364342968573325</v>
      </c>
      <c r="E8" s="186">
        <f t="shared" si="0"/>
        <v>64.364342968573325</v>
      </c>
      <c r="F8" s="215" t="str">
        <f t="shared" si="1"/>
        <v/>
      </c>
    </row>
    <row r="9" spans="1:6">
      <c r="A9">
        <v>6</v>
      </c>
      <c r="B9" s="46">
        <v>43258</v>
      </c>
      <c r="C9" s="294">
        <v>122.53201015199907</v>
      </c>
      <c r="D9" s="294">
        <v>64.364342968573325</v>
      </c>
      <c r="E9" s="186">
        <f t="shared" si="0"/>
        <v>64.364342968573325</v>
      </c>
      <c r="F9" s="215" t="str">
        <f t="shared" si="1"/>
        <v/>
      </c>
    </row>
    <row r="10" spans="1:6">
      <c r="A10">
        <v>7</v>
      </c>
      <c r="B10" s="46">
        <v>43259</v>
      </c>
      <c r="C10" s="294">
        <v>155.96860897000076</v>
      </c>
      <c r="D10" s="294">
        <v>64.364342968573325</v>
      </c>
      <c r="E10" s="186">
        <f t="shared" si="0"/>
        <v>64.364342968573325</v>
      </c>
      <c r="F10" s="215" t="str">
        <f t="shared" si="1"/>
        <v/>
      </c>
    </row>
    <row r="11" spans="1:6">
      <c r="A11">
        <v>8</v>
      </c>
      <c r="B11" s="46">
        <v>43260</v>
      </c>
      <c r="C11" s="294">
        <v>156.70038058999921</v>
      </c>
      <c r="D11" s="294">
        <v>64.364342968573325</v>
      </c>
      <c r="E11" s="186">
        <f t="shared" si="0"/>
        <v>64.364342968573325</v>
      </c>
      <c r="F11" s="215" t="str">
        <f t="shared" si="1"/>
        <v/>
      </c>
    </row>
    <row r="12" spans="1:6">
      <c r="A12">
        <v>9</v>
      </c>
      <c r="B12" s="46">
        <v>43261</v>
      </c>
      <c r="C12" s="294">
        <v>160.59838424999964</v>
      </c>
      <c r="D12" s="294">
        <v>64.364342968573325</v>
      </c>
      <c r="E12" s="186">
        <f t="shared" si="0"/>
        <v>64.364342968573325</v>
      </c>
      <c r="F12" s="215" t="str">
        <f t="shared" si="1"/>
        <v/>
      </c>
    </row>
    <row r="13" spans="1:6">
      <c r="A13">
        <v>10</v>
      </c>
      <c r="B13" s="46">
        <v>43262</v>
      </c>
      <c r="C13" s="294">
        <v>172.36232985200098</v>
      </c>
      <c r="D13" s="294">
        <v>64.364342968573325</v>
      </c>
      <c r="E13" s="186">
        <f t="shared" si="0"/>
        <v>64.364342968573325</v>
      </c>
      <c r="F13" s="215" t="str">
        <f t="shared" si="1"/>
        <v/>
      </c>
    </row>
    <row r="14" spans="1:6">
      <c r="A14">
        <v>11</v>
      </c>
      <c r="B14" s="46">
        <v>43263</v>
      </c>
      <c r="C14" s="294">
        <v>141.86062300799989</v>
      </c>
      <c r="D14" s="294">
        <v>64.364342968573325</v>
      </c>
      <c r="E14" s="186">
        <f t="shared" si="0"/>
        <v>64.364342968573325</v>
      </c>
      <c r="F14" s="215" t="str">
        <f t="shared" si="1"/>
        <v/>
      </c>
    </row>
    <row r="15" spans="1:6">
      <c r="A15">
        <v>12</v>
      </c>
      <c r="B15" s="46">
        <v>43264</v>
      </c>
      <c r="C15" s="294">
        <v>134.30981026200041</v>
      </c>
      <c r="D15" s="294">
        <v>64.364342968573325</v>
      </c>
      <c r="E15" s="186">
        <f t="shared" si="0"/>
        <v>64.364342968573325</v>
      </c>
      <c r="F15" s="215" t="str">
        <f t="shared" si="1"/>
        <v/>
      </c>
    </row>
    <row r="16" spans="1:6">
      <c r="A16">
        <v>13</v>
      </c>
      <c r="B16" s="46">
        <v>43265</v>
      </c>
      <c r="C16" s="294">
        <v>154.84686982799877</v>
      </c>
      <c r="D16" s="294">
        <v>64.364342968573325</v>
      </c>
      <c r="E16" s="186">
        <f t="shared" si="0"/>
        <v>64.364342968573325</v>
      </c>
      <c r="F16" s="215" t="str">
        <f t="shared" si="1"/>
        <v/>
      </c>
    </row>
    <row r="17" spans="1:7">
      <c r="A17">
        <v>14</v>
      </c>
      <c r="B17" s="46">
        <v>43266</v>
      </c>
      <c r="C17" s="294">
        <v>126.11994040400162</v>
      </c>
      <c r="D17" s="294">
        <v>64.364342968573325</v>
      </c>
      <c r="E17" s="186">
        <f t="shared" si="0"/>
        <v>64.364342968573325</v>
      </c>
      <c r="F17" s="215" t="str">
        <f t="shared" si="1"/>
        <v>J</v>
      </c>
      <c r="G17" s="216">
        <f>IF(DAY(B17)=15,D17,"")</f>
        <v>64.364342968573325</v>
      </c>
    </row>
    <row r="18" spans="1:7">
      <c r="A18">
        <v>15</v>
      </c>
      <c r="B18" s="46">
        <v>43267</v>
      </c>
      <c r="C18" s="294">
        <v>134.16614112799948</v>
      </c>
      <c r="D18" s="294">
        <v>64.364342968573325</v>
      </c>
      <c r="E18" s="186">
        <f t="shared" si="0"/>
        <v>64.364342968573325</v>
      </c>
      <c r="F18" s="215" t="str">
        <f t="shared" si="1"/>
        <v/>
      </c>
    </row>
    <row r="19" spans="1:7">
      <c r="A19">
        <v>16</v>
      </c>
      <c r="B19" s="46">
        <v>43268</v>
      </c>
      <c r="C19" s="294">
        <v>101.77368865599892</v>
      </c>
      <c r="D19" s="294">
        <v>64.364342968573325</v>
      </c>
      <c r="E19" s="186">
        <f t="shared" si="0"/>
        <v>64.364342968573325</v>
      </c>
      <c r="F19" s="215" t="str">
        <f t="shared" si="1"/>
        <v/>
      </c>
    </row>
    <row r="20" spans="1:7">
      <c r="A20">
        <v>17</v>
      </c>
      <c r="B20" s="46">
        <v>43269</v>
      </c>
      <c r="C20" s="294">
        <v>131.88725680799996</v>
      </c>
      <c r="D20" s="294">
        <v>64.364342968573325</v>
      </c>
      <c r="E20" s="186">
        <f t="shared" si="0"/>
        <v>64.364342968573325</v>
      </c>
      <c r="F20" s="215" t="str">
        <f t="shared" si="1"/>
        <v/>
      </c>
    </row>
    <row r="21" spans="1:7">
      <c r="A21">
        <v>18</v>
      </c>
      <c r="B21" s="46">
        <v>43270</v>
      </c>
      <c r="C21" s="294">
        <v>94.370074128000383</v>
      </c>
      <c r="D21" s="294">
        <v>64.364342968573325</v>
      </c>
      <c r="E21" s="186">
        <f t="shared" si="0"/>
        <v>64.364342968573325</v>
      </c>
      <c r="F21" s="215" t="str">
        <f t="shared" si="1"/>
        <v/>
      </c>
    </row>
    <row r="22" spans="1:7">
      <c r="A22">
        <v>19</v>
      </c>
      <c r="B22" s="46">
        <v>43271</v>
      </c>
      <c r="C22" s="294">
        <v>98.643268891999753</v>
      </c>
      <c r="D22" s="294">
        <v>64.364342968573325</v>
      </c>
      <c r="E22" s="186">
        <f t="shared" si="0"/>
        <v>64.364342968573325</v>
      </c>
      <c r="F22" s="215" t="str">
        <f t="shared" si="1"/>
        <v/>
      </c>
    </row>
    <row r="23" spans="1:7">
      <c r="A23">
        <v>20</v>
      </c>
      <c r="B23" s="46">
        <v>43272</v>
      </c>
      <c r="C23" s="294">
        <v>94.469394864000989</v>
      </c>
      <c r="D23" s="294">
        <v>64.364342968573325</v>
      </c>
      <c r="E23" s="186">
        <f t="shared" si="0"/>
        <v>64.364342968573325</v>
      </c>
      <c r="F23" s="215" t="str">
        <f t="shared" si="1"/>
        <v/>
      </c>
    </row>
    <row r="24" spans="1:7">
      <c r="A24">
        <v>21</v>
      </c>
      <c r="B24" s="46">
        <v>43273</v>
      </c>
      <c r="C24" s="294">
        <v>97.863587735998834</v>
      </c>
      <c r="D24" s="294">
        <v>64.364342968573325</v>
      </c>
      <c r="E24" s="186">
        <f t="shared" si="0"/>
        <v>64.364342968573325</v>
      </c>
      <c r="F24" s="215" t="str">
        <f t="shared" si="1"/>
        <v/>
      </c>
    </row>
    <row r="25" spans="1:7">
      <c r="A25">
        <v>22</v>
      </c>
      <c r="B25" s="46">
        <v>43274</v>
      </c>
      <c r="C25" s="294">
        <v>70.112905008001448</v>
      </c>
      <c r="D25" s="294">
        <v>64.364342968573325</v>
      </c>
      <c r="E25" s="186">
        <f t="shared" si="0"/>
        <v>64.364342968573325</v>
      </c>
      <c r="F25" s="215" t="str">
        <f t="shared" si="1"/>
        <v/>
      </c>
    </row>
    <row r="26" spans="1:7">
      <c r="A26">
        <v>23</v>
      </c>
      <c r="B26" s="46">
        <v>43275</v>
      </c>
      <c r="C26" s="294">
        <v>80.629059501998753</v>
      </c>
      <c r="D26" s="294">
        <v>64.364342968573325</v>
      </c>
      <c r="E26" s="186">
        <f t="shared" si="0"/>
        <v>64.364342968573325</v>
      </c>
      <c r="F26" s="215" t="str">
        <f t="shared" si="1"/>
        <v/>
      </c>
    </row>
    <row r="27" spans="1:7">
      <c r="A27">
        <v>24</v>
      </c>
      <c r="B27" s="46">
        <v>43276</v>
      </c>
      <c r="C27" s="294">
        <v>99.260723599999821</v>
      </c>
      <c r="D27" s="294">
        <v>64.364342968573325</v>
      </c>
      <c r="E27" s="186">
        <f t="shared" si="0"/>
        <v>64.364342968573325</v>
      </c>
      <c r="F27" s="215" t="str">
        <f t="shared" si="1"/>
        <v/>
      </c>
    </row>
    <row r="28" spans="1:7">
      <c r="A28">
        <v>25</v>
      </c>
      <c r="B28" s="46">
        <v>43277</v>
      </c>
      <c r="C28" s="294">
        <v>80.488984246000967</v>
      </c>
      <c r="D28" s="294">
        <v>64.364342968573325</v>
      </c>
      <c r="E28" s="186">
        <f t="shared" si="0"/>
        <v>64.364342968573325</v>
      </c>
      <c r="F28" s="215" t="str">
        <f t="shared" si="1"/>
        <v/>
      </c>
    </row>
    <row r="29" spans="1:7">
      <c r="A29">
        <v>26</v>
      </c>
      <c r="B29" s="46">
        <v>43278</v>
      </c>
      <c r="C29" s="294">
        <v>70.639832656000195</v>
      </c>
      <c r="D29" s="294">
        <v>64.364342968573325</v>
      </c>
      <c r="E29" s="186">
        <f t="shared" si="0"/>
        <v>64.364342968573325</v>
      </c>
      <c r="F29" s="215" t="str">
        <f t="shared" si="1"/>
        <v/>
      </c>
    </row>
    <row r="30" spans="1:7">
      <c r="A30">
        <v>27</v>
      </c>
      <c r="B30" s="46">
        <v>43279</v>
      </c>
      <c r="C30" s="294">
        <v>76.723105204000333</v>
      </c>
      <c r="D30" s="294">
        <v>64.364342968573325</v>
      </c>
      <c r="E30" s="186">
        <f t="shared" si="0"/>
        <v>64.364342968573325</v>
      </c>
      <c r="F30" s="215" t="str">
        <f t="shared" si="1"/>
        <v/>
      </c>
    </row>
    <row r="31" spans="1:7">
      <c r="A31">
        <v>28</v>
      </c>
      <c r="B31" s="46">
        <v>43280</v>
      </c>
      <c r="C31" s="294">
        <v>84.375995497999099</v>
      </c>
      <c r="D31" s="294">
        <v>64.364342968573325</v>
      </c>
      <c r="E31" s="186">
        <f t="shared" si="0"/>
        <v>64.364342968573325</v>
      </c>
      <c r="F31" s="215" t="str">
        <f t="shared" si="1"/>
        <v/>
      </c>
    </row>
    <row r="32" spans="1:7">
      <c r="A32">
        <v>29</v>
      </c>
      <c r="B32" s="46">
        <v>43281</v>
      </c>
      <c r="C32" s="294">
        <v>94.439170259999344</v>
      </c>
      <c r="D32" s="294">
        <v>64.364342968573325</v>
      </c>
      <c r="E32" s="186">
        <f t="shared" si="0"/>
        <v>64.364342968573325</v>
      </c>
      <c r="F32" s="215" t="str">
        <f t="shared" si="1"/>
        <v/>
      </c>
    </row>
    <row r="33" spans="1:7">
      <c r="A33">
        <v>30</v>
      </c>
      <c r="B33" s="46">
        <v>43282</v>
      </c>
      <c r="C33" s="294">
        <v>83.442903070001222</v>
      </c>
      <c r="D33" s="294">
        <v>28.016997662909688</v>
      </c>
      <c r="E33" s="186">
        <f t="shared" si="0"/>
        <v>28.016997662909688</v>
      </c>
      <c r="F33" s="215" t="str">
        <f t="shared" si="1"/>
        <v/>
      </c>
    </row>
    <row r="34" spans="1:7">
      <c r="A34">
        <v>31</v>
      </c>
      <c r="B34" s="46">
        <v>43283</v>
      </c>
      <c r="C34" s="294">
        <v>87.552219355998915</v>
      </c>
      <c r="D34" s="294">
        <v>28.016997662909688</v>
      </c>
      <c r="E34" s="186">
        <f t="shared" si="0"/>
        <v>28.016997662909688</v>
      </c>
      <c r="F34" s="215" t="str">
        <f t="shared" si="1"/>
        <v/>
      </c>
    </row>
    <row r="35" spans="1:7">
      <c r="A35">
        <v>32</v>
      </c>
      <c r="B35" s="46">
        <v>43284</v>
      </c>
      <c r="C35" s="294">
        <v>84.88066473200044</v>
      </c>
      <c r="D35" s="294">
        <v>28.016997662909688</v>
      </c>
      <c r="E35" s="186">
        <f t="shared" si="0"/>
        <v>28.016997662909688</v>
      </c>
      <c r="F35" s="215" t="str">
        <f t="shared" si="1"/>
        <v/>
      </c>
    </row>
    <row r="36" spans="1:7">
      <c r="A36">
        <v>33</v>
      </c>
      <c r="B36" s="46">
        <v>43285</v>
      </c>
      <c r="C36" s="294">
        <v>85.820354398000092</v>
      </c>
      <c r="D36" s="294">
        <v>28.016997662909688</v>
      </c>
      <c r="E36" s="186">
        <f t="shared" si="0"/>
        <v>28.016997662909688</v>
      </c>
      <c r="F36" s="215" t="str">
        <f t="shared" si="1"/>
        <v/>
      </c>
    </row>
    <row r="37" spans="1:7">
      <c r="A37">
        <v>34</v>
      </c>
      <c r="B37" s="46">
        <v>43286</v>
      </c>
      <c r="C37" s="294">
        <v>69.123795566000467</v>
      </c>
      <c r="D37" s="294">
        <v>28.016997662909688</v>
      </c>
      <c r="E37" s="186">
        <f t="shared" si="0"/>
        <v>28.016997662909688</v>
      </c>
      <c r="F37" s="215" t="str">
        <f t="shared" si="1"/>
        <v/>
      </c>
    </row>
    <row r="38" spans="1:7">
      <c r="A38">
        <v>35</v>
      </c>
      <c r="B38" s="46">
        <v>43287</v>
      </c>
      <c r="C38" s="294">
        <v>83.784133238000351</v>
      </c>
      <c r="D38" s="294">
        <v>28.016997662909688</v>
      </c>
      <c r="E38" s="186">
        <f t="shared" si="0"/>
        <v>28.016997662909688</v>
      </c>
      <c r="F38" s="215" t="str">
        <f t="shared" si="1"/>
        <v/>
      </c>
    </row>
    <row r="39" spans="1:7">
      <c r="A39">
        <v>36</v>
      </c>
      <c r="B39" s="46">
        <v>43288</v>
      </c>
      <c r="C39" s="294">
        <v>62.529769319999858</v>
      </c>
      <c r="D39" s="294">
        <v>28.016997662909688</v>
      </c>
      <c r="E39" s="186">
        <f t="shared" si="0"/>
        <v>28.016997662909688</v>
      </c>
      <c r="F39" s="215" t="str">
        <f t="shared" si="1"/>
        <v/>
      </c>
    </row>
    <row r="40" spans="1:7">
      <c r="A40">
        <v>37</v>
      </c>
      <c r="B40" s="46">
        <v>43289</v>
      </c>
      <c r="C40" s="294">
        <v>45.655510867999546</v>
      </c>
      <c r="D40" s="294">
        <v>28.016997662909688</v>
      </c>
      <c r="E40" s="186">
        <f t="shared" si="0"/>
        <v>28.016997662909688</v>
      </c>
      <c r="F40" s="215" t="str">
        <f t="shared" si="1"/>
        <v/>
      </c>
    </row>
    <row r="41" spans="1:7">
      <c r="A41">
        <v>38</v>
      </c>
      <c r="B41" s="46">
        <v>43290</v>
      </c>
      <c r="C41" s="294">
        <v>73.347079030000401</v>
      </c>
      <c r="D41" s="294">
        <v>28.016997662909688</v>
      </c>
      <c r="E41" s="186">
        <f t="shared" si="0"/>
        <v>28.016997662909688</v>
      </c>
      <c r="F41" s="215" t="str">
        <f t="shared" si="1"/>
        <v/>
      </c>
    </row>
    <row r="42" spans="1:7">
      <c r="A42">
        <v>39</v>
      </c>
      <c r="B42" s="46">
        <v>43291</v>
      </c>
      <c r="C42" s="294">
        <v>71.813322876000214</v>
      </c>
      <c r="D42" s="294">
        <v>28.016997662909688</v>
      </c>
      <c r="E42" s="186">
        <f t="shared" si="0"/>
        <v>28.016997662909688</v>
      </c>
      <c r="F42" s="215" t="str">
        <f t="shared" si="1"/>
        <v/>
      </c>
    </row>
    <row r="43" spans="1:7">
      <c r="A43">
        <v>40</v>
      </c>
      <c r="B43" s="46">
        <v>43292</v>
      </c>
      <c r="C43" s="294">
        <v>57.828826144000296</v>
      </c>
      <c r="D43" s="294">
        <v>28.016997662909688</v>
      </c>
      <c r="E43" s="186">
        <f t="shared" si="0"/>
        <v>28.016997662909688</v>
      </c>
      <c r="F43" s="215" t="str">
        <f t="shared" si="1"/>
        <v/>
      </c>
    </row>
    <row r="44" spans="1:7">
      <c r="A44">
        <v>41</v>
      </c>
      <c r="B44" s="46">
        <v>43293</v>
      </c>
      <c r="C44" s="294">
        <v>67.78115290999979</v>
      </c>
      <c r="D44" s="294">
        <v>28.016997662909688</v>
      </c>
      <c r="E44" s="186">
        <f t="shared" si="0"/>
        <v>28.016997662909688</v>
      </c>
      <c r="F44" s="215" t="str">
        <f t="shared" si="1"/>
        <v/>
      </c>
    </row>
    <row r="45" spans="1:7">
      <c r="A45">
        <v>42</v>
      </c>
      <c r="B45" s="46">
        <v>43294</v>
      </c>
      <c r="C45" s="294">
        <v>37.368353595998762</v>
      </c>
      <c r="D45" s="294">
        <v>28.016997662909688</v>
      </c>
      <c r="E45" s="186">
        <f t="shared" si="0"/>
        <v>28.016997662909688</v>
      </c>
      <c r="F45" s="215" t="str">
        <f t="shared" si="1"/>
        <v/>
      </c>
    </row>
    <row r="46" spans="1:7">
      <c r="A46">
        <v>43</v>
      </c>
      <c r="B46" s="46">
        <v>43295</v>
      </c>
      <c r="C46" s="294">
        <v>22.442121530000588</v>
      </c>
      <c r="D46" s="294">
        <v>28.016997662909688</v>
      </c>
      <c r="E46" s="186">
        <f t="shared" si="0"/>
        <v>22.442121530000588</v>
      </c>
      <c r="F46" s="215" t="str">
        <f t="shared" si="1"/>
        <v/>
      </c>
    </row>
    <row r="47" spans="1:7">
      <c r="A47">
        <v>44</v>
      </c>
      <c r="B47" s="46">
        <v>43296</v>
      </c>
      <c r="C47" s="294">
        <v>6.4768478000008471</v>
      </c>
      <c r="D47" s="294">
        <v>28.016997662909688</v>
      </c>
      <c r="E47" s="186">
        <f t="shared" si="0"/>
        <v>6.4768478000008471</v>
      </c>
      <c r="F47" s="215" t="str">
        <f t="shared" si="1"/>
        <v>J</v>
      </c>
      <c r="G47" s="216">
        <f>IF(DAY(B47)=15,D47,"")</f>
        <v>28.016997662909688</v>
      </c>
    </row>
    <row r="48" spans="1:7">
      <c r="A48">
        <v>45</v>
      </c>
      <c r="B48" s="46">
        <v>43297</v>
      </c>
      <c r="C48" s="294">
        <v>7.1221750679984108</v>
      </c>
      <c r="D48" s="294">
        <v>28.016997662909688</v>
      </c>
      <c r="E48" s="186">
        <f t="shared" si="0"/>
        <v>7.1221750679984108</v>
      </c>
      <c r="F48" s="215" t="str">
        <f t="shared" si="1"/>
        <v/>
      </c>
    </row>
    <row r="49" spans="1:6">
      <c r="A49">
        <v>46</v>
      </c>
      <c r="B49" s="46">
        <v>43298</v>
      </c>
      <c r="C49" s="294">
        <v>5.5775102060000501</v>
      </c>
      <c r="D49" s="294">
        <v>28.016997662909688</v>
      </c>
      <c r="E49" s="186">
        <f t="shared" si="0"/>
        <v>5.5775102060000501</v>
      </c>
      <c r="F49" s="215" t="str">
        <f t="shared" si="1"/>
        <v/>
      </c>
    </row>
    <row r="50" spans="1:6">
      <c r="A50">
        <v>47</v>
      </c>
      <c r="B50" s="46">
        <v>43299</v>
      </c>
      <c r="C50" s="294">
        <v>6.9436143500001055</v>
      </c>
      <c r="D50" s="294">
        <v>28.016997662909688</v>
      </c>
      <c r="E50" s="186">
        <f t="shared" si="0"/>
        <v>6.9436143500001055</v>
      </c>
      <c r="F50" s="215" t="str">
        <f t="shared" si="1"/>
        <v/>
      </c>
    </row>
    <row r="51" spans="1:6">
      <c r="A51">
        <v>48</v>
      </c>
      <c r="B51" s="46">
        <v>43300</v>
      </c>
      <c r="C51" s="294">
        <v>8.0428851500002061</v>
      </c>
      <c r="D51" s="294">
        <v>28.016997662909688</v>
      </c>
      <c r="E51" s="186">
        <f t="shared" si="0"/>
        <v>8.0428851500002061</v>
      </c>
      <c r="F51" s="215" t="str">
        <f t="shared" si="1"/>
        <v/>
      </c>
    </row>
    <row r="52" spans="1:6">
      <c r="A52">
        <v>49</v>
      </c>
      <c r="B52" s="46">
        <v>43301</v>
      </c>
      <c r="C52" s="294">
        <v>5.3483192739994845</v>
      </c>
      <c r="D52" s="294">
        <v>28.016997662909688</v>
      </c>
      <c r="E52" s="186">
        <f t="shared" si="0"/>
        <v>5.3483192739994845</v>
      </c>
      <c r="F52" s="215" t="str">
        <f t="shared" si="1"/>
        <v/>
      </c>
    </row>
    <row r="53" spans="1:6">
      <c r="A53">
        <v>50</v>
      </c>
      <c r="B53" s="46">
        <v>43302</v>
      </c>
      <c r="C53" s="294">
        <v>4.3246602700016812</v>
      </c>
      <c r="D53" s="294">
        <v>28.016997662909688</v>
      </c>
      <c r="E53" s="186">
        <f t="shared" si="0"/>
        <v>4.3246602700016812</v>
      </c>
      <c r="F53" s="215" t="str">
        <f t="shared" si="1"/>
        <v/>
      </c>
    </row>
    <row r="54" spans="1:6">
      <c r="A54">
        <v>51</v>
      </c>
      <c r="B54" s="46">
        <v>43303</v>
      </c>
      <c r="C54" s="294">
        <v>3.1530496419999401</v>
      </c>
      <c r="D54" s="294">
        <v>28.016997662909688</v>
      </c>
      <c r="E54" s="186">
        <f t="shared" si="0"/>
        <v>3.1530496419999401</v>
      </c>
      <c r="F54" s="215" t="str">
        <f t="shared" si="1"/>
        <v/>
      </c>
    </row>
    <row r="55" spans="1:6">
      <c r="A55">
        <v>52</v>
      </c>
      <c r="B55" s="46">
        <v>43304</v>
      </c>
      <c r="C55" s="294">
        <v>61.288159533999846</v>
      </c>
      <c r="D55" s="294">
        <v>28.016997662909688</v>
      </c>
      <c r="E55" s="186">
        <f t="shared" si="0"/>
        <v>28.016997662909688</v>
      </c>
      <c r="F55" s="215" t="str">
        <f t="shared" si="1"/>
        <v/>
      </c>
    </row>
    <row r="56" spans="1:6">
      <c r="A56">
        <v>53</v>
      </c>
      <c r="B56" s="46">
        <v>43305</v>
      </c>
      <c r="C56" s="294">
        <v>54.448891888000247</v>
      </c>
      <c r="D56" s="294">
        <v>28.016997662909688</v>
      </c>
      <c r="E56" s="186">
        <f t="shared" si="0"/>
        <v>28.016997662909688</v>
      </c>
      <c r="F56" s="215" t="str">
        <f t="shared" si="1"/>
        <v/>
      </c>
    </row>
    <row r="57" spans="1:6">
      <c r="A57">
        <v>54</v>
      </c>
      <c r="B57" s="46">
        <v>43306</v>
      </c>
      <c r="C57" s="294">
        <v>48.740762289998735</v>
      </c>
      <c r="D57" s="294">
        <v>28.016997662909688</v>
      </c>
      <c r="E57" s="186">
        <f t="shared" si="0"/>
        <v>28.016997662909688</v>
      </c>
      <c r="F57" s="215" t="str">
        <f t="shared" si="1"/>
        <v/>
      </c>
    </row>
    <row r="58" spans="1:6">
      <c r="A58">
        <v>55</v>
      </c>
      <c r="B58" s="46">
        <v>43307</v>
      </c>
      <c r="C58" s="294">
        <v>48.222570548000483</v>
      </c>
      <c r="D58" s="294">
        <v>28.016997662909688</v>
      </c>
      <c r="E58" s="186">
        <f t="shared" si="0"/>
        <v>28.016997662909688</v>
      </c>
      <c r="F58" s="215" t="str">
        <f t="shared" si="1"/>
        <v/>
      </c>
    </row>
    <row r="59" spans="1:6">
      <c r="A59">
        <v>56</v>
      </c>
      <c r="B59" s="46">
        <v>43308</v>
      </c>
      <c r="C59" s="294">
        <v>48.665647313999173</v>
      </c>
      <c r="D59" s="294">
        <v>28.016997662909688</v>
      </c>
      <c r="E59" s="186">
        <f t="shared" si="0"/>
        <v>28.016997662909688</v>
      </c>
      <c r="F59" s="215" t="str">
        <f t="shared" si="1"/>
        <v/>
      </c>
    </row>
    <row r="60" spans="1:6">
      <c r="A60">
        <v>57</v>
      </c>
      <c r="B60" s="46">
        <v>43309</v>
      </c>
      <c r="C60" s="294">
        <v>41.122686298001703</v>
      </c>
      <c r="D60" s="294">
        <v>28.016997662909688</v>
      </c>
      <c r="E60" s="186">
        <f t="shared" si="0"/>
        <v>28.016997662909688</v>
      </c>
      <c r="F60" s="215" t="str">
        <f t="shared" si="1"/>
        <v/>
      </c>
    </row>
    <row r="61" spans="1:6">
      <c r="A61">
        <v>58</v>
      </c>
      <c r="B61" s="46">
        <v>43310</v>
      </c>
      <c r="C61" s="294">
        <v>36.724430007999224</v>
      </c>
      <c r="D61" s="294">
        <v>28.016997662909688</v>
      </c>
      <c r="E61" s="186">
        <f t="shared" si="0"/>
        <v>28.016997662909688</v>
      </c>
      <c r="F61" s="215" t="str">
        <f t="shared" si="1"/>
        <v/>
      </c>
    </row>
    <row r="62" spans="1:6">
      <c r="A62">
        <v>59</v>
      </c>
      <c r="B62" s="46">
        <v>43311</v>
      </c>
      <c r="C62" s="294">
        <v>43.001909232000386</v>
      </c>
      <c r="D62" s="294">
        <v>28.016997662909688</v>
      </c>
      <c r="E62" s="186">
        <f t="shared" si="0"/>
        <v>28.016997662909688</v>
      </c>
      <c r="F62" s="215" t="str">
        <f t="shared" si="1"/>
        <v/>
      </c>
    </row>
    <row r="63" spans="1:6">
      <c r="A63">
        <v>60</v>
      </c>
      <c r="B63" s="46">
        <v>43312</v>
      </c>
      <c r="C63" s="294">
        <v>34.720002079999318</v>
      </c>
      <c r="D63" s="294">
        <v>28.016997662909688</v>
      </c>
      <c r="E63" s="186">
        <f t="shared" si="0"/>
        <v>28.016997662909688</v>
      </c>
      <c r="F63" s="215" t="str">
        <f t="shared" si="1"/>
        <v/>
      </c>
    </row>
    <row r="64" spans="1:6">
      <c r="A64">
        <v>61</v>
      </c>
      <c r="B64" s="46">
        <v>43313</v>
      </c>
      <c r="C64" s="294">
        <v>50.225131983210481</v>
      </c>
      <c r="D64" s="294">
        <v>16.99706947525484</v>
      </c>
      <c r="E64" s="186">
        <f t="shared" si="0"/>
        <v>16.99706947525484</v>
      </c>
      <c r="F64" s="215" t="str">
        <f t="shared" si="1"/>
        <v/>
      </c>
    </row>
    <row r="65" spans="1:7">
      <c r="A65">
        <v>62</v>
      </c>
      <c r="B65" s="46">
        <v>43314</v>
      </c>
      <c r="C65" s="294">
        <v>61.525882113210479</v>
      </c>
      <c r="D65" s="294">
        <v>16.99706947525484</v>
      </c>
      <c r="E65" s="186">
        <f t="shared" si="0"/>
        <v>16.99706947525484</v>
      </c>
      <c r="F65" s="215" t="str">
        <f t="shared" si="1"/>
        <v/>
      </c>
    </row>
    <row r="66" spans="1:7">
      <c r="A66">
        <v>63</v>
      </c>
      <c r="B66" s="46">
        <v>43315</v>
      </c>
      <c r="C66" s="294">
        <v>73.043389039210481</v>
      </c>
      <c r="D66" s="294">
        <v>16.99706947525484</v>
      </c>
      <c r="E66" s="186">
        <f t="shared" si="0"/>
        <v>16.99706947525484</v>
      </c>
      <c r="F66" s="215" t="str">
        <f t="shared" si="1"/>
        <v/>
      </c>
    </row>
    <row r="67" spans="1:7">
      <c r="A67">
        <v>64</v>
      </c>
      <c r="B67" s="46">
        <v>43316</v>
      </c>
      <c r="C67" s="294">
        <v>47.858004181210475</v>
      </c>
      <c r="D67" s="294">
        <v>16.99706947525484</v>
      </c>
      <c r="E67" s="186">
        <f t="shared" si="0"/>
        <v>16.99706947525484</v>
      </c>
      <c r="F67" s="215" t="str">
        <f t="shared" si="1"/>
        <v/>
      </c>
    </row>
    <row r="68" spans="1:7">
      <c r="A68">
        <v>65</v>
      </c>
      <c r="B68" s="46">
        <v>43317</v>
      </c>
      <c r="C68" s="294">
        <v>38.260484667210477</v>
      </c>
      <c r="D68" s="294">
        <v>16.99706947525484</v>
      </c>
      <c r="E68" s="186">
        <f t="shared" ref="E68:E131" si="2">IF(C68&lt;D68,C68,D68)</f>
        <v>16.99706947525484</v>
      </c>
      <c r="F68" s="215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43318</v>
      </c>
      <c r="C69" s="294">
        <v>54.943769509208607</v>
      </c>
      <c r="D69" s="294">
        <v>16.99706947525484</v>
      </c>
      <c r="E69" s="186">
        <f t="shared" si="2"/>
        <v>16.99706947525484</v>
      </c>
      <c r="F69" s="215" t="str">
        <f t="shared" si="3"/>
        <v/>
      </c>
    </row>
    <row r="70" spans="1:7">
      <c r="A70">
        <v>67</v>
      </c>
      <c r="B70" s="46">
        <v>43319</v>
      </c>
      <c r="C70" s="294">
        <v>41.099467483212344</v>
      </c>
      <c r="D70" s="294">
        <v>16.99706947525484</v>
      </c>
      <c r="E70" s="186">
        <f t="shared" si="2"/>
        <v>16.99706947525484</v>
      </c>
      <c r="F70" s="215" t="str">
        <f t="shared" si="3"/>
        <v/>
      </c>
    </row>
    <row r="71" spans="1:7">
      <c r="A71">
        <v>68</v>
      </c>
      <c r="B71" s="46">
        <v>43320</v>
      </c>
      <c r="C71" s="294">
        <v>40.945786410027097</v>
      </c>
      <c r="D71" s="294">
        <v>16.99706947525484</v>
      </c>
      <c r="E71" s="186">
        <f t="shared" si="2"/>
        <v>16.99706947525484</v>
      </c>
      <c r="F71" s="215" t="str">
        <f t="shared" si="3"/>
        <v/>
      </c>
    </row>
    <row r="72" spans="1:7">
      <c r="A72">
        <v>69</v>
      </c>
      <c r="B72" s="46">
        <v>43321</v>
      </c>
      <c r="C72" s="294">
        <v>35.889768946025235</v>
      </c>
      <c r="D72" s="294">
        <v>16.99706947525484</v>
      </c>
      <c r="E72" s="186">
        <f t="shared" si="2"/>
        <v>16.99706947525484</v>
      </c>
      <c r="F72" s="215" t="str">
        <f t="shared" si="3"/>
        <v/>
      </c>
    </row>
    <row r="73" spans="1:7">
      <c r="A73">
        <v>70</v>
      </c>
      <c r="B73" s="46">
        <v>43322</v>
      </c>
      <c r="C73" s="294">
        <v>27.263751104027097</v>
      </c>
      <c r="D73" s="294">
        <v>16.99706947525484</v>
      </c>
      <c r="E73" s="186">
        <f t="shared" si="2"/>
        <v>16.99706947525484</v>
      </c>
      <c r="F73" s="215" t="str">
        <f t="shared" si="3"/>
        <v/>
      </c>
    </row>
    <row r="74" spans="1:7">
      <c r="A74">
        <v>71</v>
      </c>
      <c r="B74" s="46">
        <v>43323</v>
      </c>
      <c r="C74" s="294">
        <v>38.547140088027099</v>
      </c>
      <c r="D74" s="294">
        <v>16.99706947525484</v>
      </c>
      <c r="E74" s="186">
        <f t="shared" si="2"/>
        <v>16.99706947525484</v>
      </c>
      <c r="F74" s="215" t="str">
        <f t="shared" si="3"/>
        <v/>
      </c>
    </row>
    <row r="75" spans="1:7">
      <c r="A75">
        <v>72</v>
      </c>
      <c r="B75" s="46">
        <v>43324</v>
      </c>
      <c r="C75" s="294">
        <v>28.974149410027103</v>
      </c>
      <c r="D75" s="294">
        <v>16.99706947525484</v>
      </c>
      <c r="E75" s="186">
        <f t="shared" si="2"/>
        <v>16.99706947525484</v>
      </c>
      <c r="F75" s="215" t="str">
        <f t="shared" si="3"/>
        <v/>
      </c>
    </row>
    <row r="76" spans="1:7">
      <c r="A76">
        <v>73</v>
      </c>
      <c r="B76" s="46">
        <v>43325</v>
      </c>
      <c r="C76" s="294">
        <v>32.685722826027103</v>
      </c>
      <c r="D76" s="294">
        <v>16.99706947525484</v>
      </c>
      <c r="E76" s="186">
        <f t="shared" si="2"/>
        <v>16.99706947525484</v>
      </c>
      <c r="F76" s="215" t="str">
        <f t="shared" si="3"/>
        <v/>
      </c>
    </row>
    <row r="77" spans="1:7">
      <c r="A77">
        <v>74</v>
      </c>
      <c r="B77" s="46">
        <v>43326</v>
      </c>
      <c r="C77" s="294">
        <v>29.523825512027098</v>
      </c>
      <c r="D77" s="294">
        <v>16.99706947525484</v>
      </c>
      <c r="E77" s="186">
        <f t="shared" si="2"/>
        <v>16.99706947525484</v>
      </c>
      <c r="F77" s="215" t="str">
        <f t="shared" si="3"/>
        <v/>
      </c>
    </row>
    <row r="78" spans="1:7">
      <c r="A78">
        <v>75</v>
      </c>
      <c r="B78" s="46">
        <v>43327</v>
      </c>
      <c r="C78" s="294">
        <v>26.665017136181465</v>
      </c>
      <c r="D78" s="294">
        <v>16.99706947525484</v>
      </c>
      <c r="E78" s="186">
        <f t="shared" si="2"/>
        <v>16.99706947525484</v>
      </c>
      <c r="F78" s="215" t="str">
        <f t="shared" si="3"/>
        <v>A</v>
      </c>
      <c r="G78" s="216">
        <f t="shared" ref="G78:G109" si="4">IF(DAY(B78)=15,D78,"")</f>
        <v>16.99706947525484</v>
      </c>
    </row>
    <row r="79" spans="1:7">
      <c r="A79">
        <v>76</v>
      </c>
      <c r="B79" s="46">
        <v>43328</v>
      </c>
      <c r="C79" s="294">
        <v>34.922528152181464</v>
      </c>
      <c r="D79" s="294">
        <v>16.99706947525484</v>
      </c>
      <c r="E79" s="186">
        <f t="shared" si="2"/>
        <v>16.99706947525484</v>
      </c>
      <c r="F79" s="215" t="str">
        <f t="shared" si="3"/>
        <v/>
      </c>
    </row>
    <row r="80" spans="1:7">
      <c r="A80">
        <v>77</v>
      </c>
      <c r="B80" s="46">
        <v>43329</v>
      </c>
      <c r="C80" s="294">
        <v>20.846139648181467</v>
      </c>
      <c r="D80" s="294">
        <v>16.99706947525484</v>
      </c>
      <c r="E80" s="186">
        <f t="shared" si="2"/>
        <v>16.99706947525484</v>
      </c>
      <c r="F80" s="215" t="str">
        <f t="shared" si="3"/>
        <v/>
      </c>
    </row>
    <row r="81" spans="1:6">
      <c r="A81">
        <v>78</v>
      </c>
      <c r="B81" s="46">
        <v>43330</v>
      </c>
      <c r="C81" s="294">
        <v>22.256766180181469</v>
      </c>
      <c r="D81" s="294">
        <v>16.99706947525484</v>
      </c>
      <c r="E81" s="186">
        <f t="shared" si="2"/>
        <v>16.99706947525484</v>
      </c>
      <c r="F81" s="215" t="str">
        <f t="shared" si="3"/>
        <v/>
      </c>
    </row>
    <row r="82" spans="1:6">
      <c r="A82">
        <v>79</v>
      </c>
      <c r="B82" s="46">
        <v>43331</v>
      </c>
      <c r="C82" s="294">
        <v>21.563551994183335</v>
      </c>
      <c r="D82" s="294">
        <v>16.99706947525484</v>
      </c>
      <c r="E82" s="186">
        <f t="shared" si="2"/>
        <v>16.99706947525484</v>
      </c>
      <c r="F82" s="215" t="str">
        <f t="shared" si="3"/>
        <v/>
      </c>
    </row>
    <row r="83" spans="1:6">
      <c r="A83">
        <v>80</v>
      </c>
      <c r="B83" s="46">
        <v>43332</v>
      </c>
      <c r="C83" s="294">
        <v>52.050600474181472</v>
      </c>
      <c r="D83" s="294">
        <v>16.99706947525484</v>
      </c>
      <c r="E83" s="186">
        <f t="shared" si="2"/>
        <v>16.99706947525484</v>
      </c>
      <c r="F83" s="215" t="str">
        <f t="shared" si="3"/>
        <v/>
      </c>
    </row>
    <row r="84" spans="1:6">
      <c r="A84">
        <v>81</v>
      </c>
      <c r="B84" s="46">
        <v>43333</v>
      </c>
      <c r="C84" s="294">
        <v>49.617254990181465</v>
      </c>
      <c r="D84" s="294">
        <v>16.99706947525484</v>
      </c>
      <c r="E84" s="186">
        <f t="shared" si="2"/>
        <v>16.99706947525484</v>
      </c>
      <c r="F84" s="215" t="str">
        <f t="shared" si="3"/>
        <v/>
      </c>
    </row>
    <row r="85" spans="1:6">
      <c r="A85">
        <v>82</v>
      </c>
      <c r="B85" s="46">
        <v>43334</v>
      </c>
      <c r="C85" s="294">
        <v>47.518441093241606</v>
      </c>
      <c r="D85" s="294">
        <v>16.99706947525484</v>
      </c>
      <c r="E85" s="186">
        <f t="shared" si="2"/>
        <v>16.99706947525484</v>
      </c>
      <c r="F85" s="215" t="str">
        <f t="shared" si="3"/>
        <v/>
      </c>
    </row>
    <row r="86" spans="1:6">
      <c r="A86">
        <v>83</v>
      </c>
      <c r="B86" s="46">
        <v>43335</v>
      </c>
      <c r="C86" s="294">
        <v>48.319693417243471</v>
      </c>
      <c r="D86" s="294">
        <v>16.99706947525484</v>
      </c>
      <c r="E86" s="186">
        <f t="shared" si="2"/>
        <v>16.99706947525484</v>
      </c>
      <c r="F86" s="215" t="str">
        <f t="shared" si="3"/>
        <v/>
      </c>
    </row>
    <row r="87" spans="1:6">
      <c r="A87">
        <v>84</v>
      </c>
      <c r="B87" s="46">
        <v>43336</v>
      </c>
      <c r="C87" s="294">
        <v>30.097564563243466</v>
      </c>
      <c r="D87" s="294">
        <v>16.99706947525484</v>
      </c>
      <c r="E87" s="186">
        <f t="shared" si="2"/>
        <v>16.99706947525484</v>
      </c>
      <c r="F87" s="215" t="str">
        <f t="shared" si="3"/>
        <v/>
      </c>
    </row>
    <row r="88" spans="1:6">
      <c r="A88">
        <v>85</v>
      </c>
      <c r="B88" s="46">
        <v>43337</v>
      </c>
      <c r="C88" s="294">
        <v>11.081069043241602</v>
      </c>
      <c r="D88" s="294">
        <v>16.99706947525484</v>
      </c>
      <c r="E88" s="186">
        <f t="shared" si="2"/>
        <v>11.081069043241602</v>
      </c>
      <c r="F88" s="215" t="str">
        <f t="shared" si="3"/>
        <v/>
      </c>
    </row>
    <row r="89" spans="1:6">
      <c r="A89">
        <v>86</v>
      </c>
      <c r="B89" s="46">
        <v>43338</v>
      </c>
      <c r="C89" s="294">
        <v>13.516125849243464</v>
      </c>
      <c r="D89" s="294">
        <v>16.99706947525484</v>
      </c>
      <c r="E89" s="186">
        <f t="shared" si="2"/>
        <v>13.516125849243464</v>
      </c>
      <c r="F89" s="215" t="str">
        <f t="shared" si="3"/>
        <v/>
      </c>
    </row>
    <row r="90" spans="1:6">
      <c r="A90">
        <v>87</v>
      </c>
      <c r="B90" s="46">
        <v>43339</v>
      </c>
      <c r="C90" s="294">
        <v>46.489331559243467</v>
      </c>
      <c r="D90" s="294">
        <v>16.99706947525484</v>
      </c>
      <c r="E90" s="186">
        <f t="shared" si="2"/>
        <v>16.99706947525484</v>
      </c>
      <c r="F90" s="215" t="str">
        <f t="shared" si="3"/>
        <v/>
      </c>
    </row>
    <row r="91" spans="1:6">
      <c r="A91">
        <v>88</v>
      </c>
      <c r="B91" s="46">
        <v>43340</v>
      </c>
      <c r="C91" s="294">
        <v>40.751426009241605</v>
      </c>
      <c r="D91" s="294">
        <v>16.99706947525484</v>
      </c>
      <c r="E91" s="186">
        <f t="shared" si="2"/>
        <v>16.99706947525484</v>
      </c>
      <c r="F91" s="215" t="str">
        <f t="shared" si="3"/>
        <v/>
      </c>
    </row>
    <row r="92" spans="1:6">
      <c r="A92">
        <v>89</v>
      </c>
      <c r="B92" s="46">
        <v>43341</v>
      </c>
      <c r="C92" s="294">
        <v>34.861840490035739</v>
      </c>
      <c r="D92" s="294">
        <v>16.99706947525484</v>
      </c>
      <c r="E92" s="186">
        <f t="shared" si="2"/>
        <v>16.99706947525484</v>
      </c>
      <c r="F92" s="215" t="str">
        <f t="shared" si="3"/>
        <v/>
      </c>
    </row>
    <row r="93" spans="1:6">
      <c r="A93">
        <v>90</v>
      </c>
      <c r="B93" s="46">
        <v>43342</v>
      </c>
      <c r="C93" s="294">
        <v>43.86060615203575</v>
      </c>
      <c r="D93" s="294">
        <v>16.99706947525484</v>
      </c>
      <c r="E93" s="186">
        <f t="shared" si="2"/>
        <v>16.99706947525484</v>
      </c>
      <c r="F93" s="215" t="str">
        <f t="shared" si="3"/>
        <v/>
      </c>
    </row>
    <row r="94" spans="1:6">
      <c r="A94">
        <v>91</v>
      </c>
      <c r="B94" s="46">
        <v>43343</v>
      </c>
      <c r="C94" s="294">
        <v>28.653423582033881</v>
      </c>
      <c r="D94" s="294">
        <v>16.99706947525484</v>
      </c>
      <c r="E94" s="186">
        <f t="shared" si="2"/>
        <v>16.99706947525484</v>
      </c>
      <c r="F94" s="215" t="str">
        <f t="shared" si="3"/>
        <v/>
      </c>
    </row>
    <row r="95" spans="1:6">
      <c r="A95">
        <v>92</v>
      </c>
      <c r="B95" s="46">
        <v>43344</v>
      </c>
      <c r="C95" s="294">
        <v>16.29434298203574</v>
      </c>
      <c r="D95" s="294">
        <v>22.743378673520009</v>
      </c>
      <c r="E95" s="186">
        <f t="shared" si="2"/>
        <v>16.29434298203574</v>
      </c>
      <c r="F95" s="215" t="str">
        <f t="shared" si="3"/>
        <v/>
      </c>
    </row>
    <row r="96" spans="1:6">
      <c r="A96">
        <v>93</v>
      </c>
      <c r="B96" s="46">
        <v>43345</v>
      </c>
      <c r="C96" s="294">
        <v>28.816637316035738</v>
      </c>
      <c r="D96" s="294">
        <v>22.743378673520009</v>
      </c>
      <c r="E96" s="186">
        <f t="shared" si="2"/>
        <v>22.743378673520009</v>
      </c>
      <c r="F96" s="215" t="str">
        <f t="shared" si="3"/>
        <v/>
      </c>
    </row>
    <row r="97" spans="1:7">
      <c r="A97">
        <v>94</v>
      </c>
      <c r="B97" s="46">
        <v>43346</v>
      </c>
      <c r="C97" s="294">
        <v>39.483834496035733</v>
      </c>
      <c r="D97" s="294">
        <v>22.743378673520009</v>
      </c>
      <c r="E97" s="186">
        <f t="shared" si="2"/>
        <v>22.743378673520009</v>
      </c>
      <c r="F97" s="215" t="str">
        <f t="shared" si="3"/>
        <v/>
      </c>
    </row>
    <row r="98" spans="1:7">
      <c r="A98">
        <v>95</v>
      </c>
      <c r="B98" s="46">
        <v>43347</v>
      </c>
      <c r="C98" s="294">
        <v>33.96026485803575</v>
      </c>
      <c r="D98" s="294">
        <v>22.743378673520009</v>
      </c>
      <c r="E98" s="186">
        <f t="shared" si="2"/>
        <v>22.743378673520009</v>
      </c>
      <c r="F98" s="215" t="str">
        <f t="shared" si="3"/>
        <v/>
      </c>
    </row>
    <row r="99" spans="1:7">
      <c r="A99">
        <v>96</v>
      </c>
      <c r="B99" s="46">
        <v>43348</v>
      </c>
      <c r="C99" s="294">
        <v>37.351048555248447</v>
      </c>
      <c r="D99" s="294">
        <v>22.743378673520009</v>
      </c>
      <c r="E99" s="186">
        <f t="shared" si="2"/>
        <v>22.743378673520009</v>
      </c>
      <c r="F99" s="215" t="str">
        <f t="shared" si="3"/>
        <v/>
      </c>
    </row>
    <row r="100" spans="1:7">
      <c r="A100">
        <v>97</v>
      </c>
      <c r="B100" s="46">
        <v>43349</v>
      </c>
      <c r="C100" s="294">
        <v>26.664488277248456</v>
      </c>
      <c r="D100" s="294">
        <v>22.743378673520009</v>
      </c>
      <c r="E100" s="186">
        <f t="shared" si="2"/>
        <v>22.743378673520009</v>
      </c>
      <c r="F100" s="215" t="str">
        <f t="shared" si="3"/>
        <v/>
      </c>
    </row>
    <row r="101" spans="1:7">
      <c r="A101">
        <v>98</v>
      </c>
      <c r="B101" s="46">
        <v>43350</v>
      </c>
      <c r="C101" s="294">
        <v>24.865991769250314</v>
      </c>
      <c r="D101" s="294">
        <v>22.743378673520009</v>
      </c>
      <c r="E101" s="186">
        <f t="shared" si="2"/>
        <v>22.743378673520009</v>
      </c>
      <c r="F101" s="215" t="str">
        <f t="shared" si="3"/>
        <v/>
      </c>
    </row>
    <row r="102" spans="1:7">
      <c r="A102">
        <v>99</v>
      </c>
      <c r="B102" s="46">
        <v>43351</v>
      </c>
      <c r="C102" s="294">
        <v>29.210810431248451</v>
      </c>
      <c r="D102" s="294">
        <v>22.743378673520009</v>
      </c>
      <c r="E102" s="186">
        <f t="shared" si="2"/>
        <v>22.743378673520009</v>
      </c>
      <c r="F102" s="215" t="str">
        <f t="shared" si="3"/>
        <v/>
      </c>
    </row>
    <row r="103" spans="1:7">
      <c r="A103">
        <v>100</v>
      </c>
      <c r="B103" s="46">
        <v>43352</v>
      </c>
      <c r="C103" s="294">
        <v>19.46127643524845</v>
      </c>
      <c r="D103" s="294">
        <v>22.743378673520009</v>
      </c>
      <c r="E103" s="186">
        <f t="shared" si="2"/>
        <v>19.46127643524845</v>
      </c>
      <c r="F103" s="215" t="str">
        <f t="shared" si="3"/>
        <v/>
      </c>
    </row>
    <row r="104" spans="1:7">
      <c r="A104">
        <v>101</v>
      </c>
      <c r="B104" s="46">
        <v>43353</v>
      </c>
      <c r="C104" s="294">
        <v>34.97555358325031</v>
      </c>
      <c r="D104" s="294">
        <v>22.743378673520009</v>
      </c>
      <c r="E104" s="186">
        <f t="shared" si="2"/>
        <v>22.743378673520009</v>
      </c>
      <c r="F104" s="215" t="str">
        <f t="shared" si="3"/>
        <v/>
      </c>
    </row>
    <row r="105" spans="1:7">
      <c r="A105">
        <v>102</v>
      </c>
      <c r="B105" s="46">
        <v>43354</v>
      </c>
      <c r="C105" s="294">
        <v>52.272047133248456</v>
      </c>
      <c r="D105" s="294">
        <v>22.743378673520009</v>
      </c>
      <c r="E105" s="186">
        <f t="shared" si="2"/>
        <v>22.743378673520009</v>
      </c>
      <c r="F105" s="215" t="str">
        <f t="shared" si="3"/>
        <v/>
      </c>
    </row>
    <row r="106" spans="1:7">
      <c r="A106">
        <v>103</v>
      </c>
      <c r="B106" s="46">
        <v>43355</v>
      </c>
      <c r="C106" s="294">
        <v>55.017085317802554</v>
      </c>
      <c r="D106" s="294">
        <v>22.743378673520009</v>
      </c>
      <c r="E106" s="186">
        <f t="shared" si="2"/>
        <v>22.743378673520009</v>
      </c>
      <c r="F106" s="215" t="str">
        <f t="shared" si="3"/>
        <v/>
      </c>
    </row>
    <row r="107" spans="1:7">
      <c r="A107">
        <v>104</v>
      </c>
      <c r="B107" s="46">
        <v>43356</v>
      </c>
      <c r="C107" s="294">
        <v>51.866999353802548</v>
      </c>
      <c r="D107" s="294">
        <v>22.743378673520009</v>
      </c>
      <c r="E107" s="186">
        <f t="shared" si="2"/>
        <v>22.743378673520009</v>
      </c>
      <c r="F107" s="215" t="str">
        <f t="shared" si="3"/>
        <v/>
      </c>
    </row>
    <row r="108" spans="1:7">
      <c r="A108">
        <v>105</v>
      </c>
      <c r="B108" s="46">
        <v>43357</v>
      </c>
      <c r="C108" s="294">
        <v>36.70443928780255</v>
      </c>
      <c r="D108" s="294">
        <v>22.743378673520009</v>
      </c>
      <c r="E108" s="186">
        <f t="shared" si="2"/>
        <v>22.743378673520009</v>
      </c>
      <c r="F108" s="215" t="str">
        <f t="shared" si="3"/>
        <v/>
      </c>
    </row>
    <row r="109" spans="1:7">
      <c r="A109">
        <v>106</v>
      </c>
      <c r="B109" s="46">
        <v>43358</v>
      </c>
      <c r="C109" s="294">
        <v>15.317967983802555</v>
      </c>
      <c r="D109" s="294">
        <v>22.743378673520009</v>
      </c>
      <c r="E109" s="186">
        <f t="shared" si="2"/>
        <v>15.317967983802555</v>
      </c>
      <c r="F109" s="215" t="str">
        <f t="shared" si="3"/>
        <v>S</v>
      </c>
      <c r="G109" s="216">
        <f t="shared" si="4"/>
        <v>22.743378673520009</v>
      </c>
    </row>
    <row r="110" spans="1:7">
      <c r="A110">
        <v>107</v>
      </c>
      <c r="B110" s="46">
        <v>43359</v>
      </c>
      <c r="C110" s="294">
        <v>8.5635028258025478</v>
      </c>
      <c r="D110" s="294">
        <v>22.743378673520009</v>
      </c>
      <c r="E110" s="186">
        <f t="shared" si="2"/>
        <v>8.5635028258025478</v>
      </c>
      <c r="F110" s="215" t="str">
        <f t="shared" si="3"/>
        <v/>
      </c>
    </row>
    <row r="111" spans="1:7">
      <c r="A111">
        <v>108</v>
      </c>
      <c r="B111" s="46">
        <v>43360</v>
      </c>
      <c r="C111" s="294">
        <v>14.357926075802549</v>
      </c>
      <c r="D111" s="294">
        <v>22.743378673520009</v>
      </c>
      <c r="E111" s="186">
        <f t="shared" si="2"/>
        <v>14.357926075802549</v>
      </c>
      <c r="F111" s="215" t="str">
        <f t="shared" si="3"/>
        <v/>
      </c>
    </row>
    <row r="112" spans="1:7">
      <c r="A112">
        <v>109</v>
      </c>
      <c r="B112" s="46">
        <v>43361</v>
      </c>
      <c r="C112" s="294">
        <v>28.287417725802545</v>
      </c>
      <c r="D112" s="294">
        <v>22.743378673520009</v>
      </c>
      <c r="E112" s="186">
        <f t="shared" si="2"/>
        <v>22.743378673520009</v>
      </c>
      <c r="F112" s="215" t="str">
        <f t="shared" si="3"/>
        <v/>
      </c>
    </row>
    <row r="113" spans="1:6">
      <c r="A113">
        <v>110</v>
      </c>
      <c r="B113" s="46">
        <v>43362</v>
      </c>
      <c r="C113" s="294">
        <v>52.46800354169644</v>
      </c>
      <c r="D113" s="294">
        <v>22.743378673520009</v>
      </c>
      <c r="E113" s="186">
        <f t="shared" si="2"/>
        <v>22.743378673520009</v>
      </c>
      <c r="F113" s="215" t="str">
        <f t="shared" si="3"/>
        <v/>
      </c>
    </row>
    <row r="114" spans="1:6">
      <c r="A114">
        <v>111</v>
      </c>
      <c r="B114" s="46">
        <v>43363</v>
      </c>
      <c r="C114" s="294">
        <v>48.679917139698297</v>
      </c>
      <c r="D114" s="294">
        <v>22.743378673520009</v>
      </c>
      <c r="E114" s="186">
        <f t="shared" si="2"/>
        <v>22.743378673520009</v>
      </c>
      <c r="F114" s="215" t="str">
        <f t="shared" si="3"/>
        <v/>
      </c>
    </row>
    <row r="115" spans="1:6">
      <c r="A115">
        <v>112</v>
      </c>
      <c r="B115" s="46">
        <v>43364</v>
      </c>
      <c r="C115" s="294">
        <v>41.435194311696442</v>
      </c>
      <c r="D115" s="294">
        <v>22.743378673520009</v>
      </c>
      <c r="E115" s="186">
        <f t="shared" si="2"/>
        <v>22.743378673520009</v>
      </c>
      <c r="F115" s="215" t="str">
        <f t="shared" si="3"/>
        <v/>
      </c>
    </row>
    <row r="116" spans="1:6">
      <c r="A116">
        <v>113</v>
      </c>
      <c r="B116" s="46">
        <v>43365</v>
      </c>
      <c r="C116" s="294">
        <v>15.697499941696435</v>
      </c>
      <c r="D116" s="294">
        <v>22.743378673520009</v>
      </c>
      <c r="E116" s="186">
        <f t="shared" si="2"/>
        <v>15.697499941696435</v>
      </c>
      <c r="F116" s="215" t="str">
        <f t="shared" si="3"/>
        <v/>
      </c>
    </row>
    <row r="117" spans="1:6">
      <c r="A117">
        <v>114</v>
      </c>
      <c r="B117" s="46">
        <v>43366</v>
      </c>
      <c r="C117" s="294">
        <v>5.7475459036983008</v>
      </c>
      <c r="D117" s="294">
        <v>22.743378673520009</v>
      </c>
      <c r="E117" s="186">
        <f t="shared" si="2"/>
        <v>5.7475459036983008</v>
      </c>
      <c r="F117" s="215" t="str">
        <f t="shared" si="3"/>
        <v/>
      </c>
    </row>
    <row r="118" spans="1:6">
      <c r="A118">
        <v>115</v>
      </c>
      <c r="B118" s="46">
        <v>43367</v>
      </c>
      <c r="C118" s="294">
        <v>18.110724911696437</v>
      </c>
      <c r="D118" s="294">
        <v>22.743378673520009</v>
      </c>
      <c r="E118" s="186">
        <f t="shared" si="2"/>
        <v>18.110724911696437</v>
      </c>
      <c r="F118" s="215" t="str">
        <f t="shared" si="3"/>
        <v/>
      </c>
    </row>
    <row r="119" spans="1:6">
      <c r="A119">
        <v>116</v>
      </c>
      <c r="B119" s="46">
        <v>43368</v>
      </c>
      <c r="C119" s="294">
        <v>18.962033891696432</v>
      </c>
      <c r="D119" s="294">
        <v>22.743378673520009</v>
      </c>
      <c r="E119" s="186">
        <f t="shared" si="2"/>
        <v>18.962033891696432</v>
      </c>
      <c r="F119" s="215" t="str">
        <f t="shared" si="3"/>
        <v/>
      </c>
    </row>
    <row r="120" spans="1:6">
      <c r="A120">
        <v>117</v>
      </c>
      <c r="B120" s="46">
        <v>43369</v>
      </c>
      <c r="C120" s="294">
        <v>10.506583021213366</v>
      </c>
      <c r="D120" s="294">
        <v>22.743378673520009</v>
      </c>
      <c r="E120" s="186">
        <f t="shared" si="2"/>
        <v>10.506583021213366</v>
      </c>
      <c r="F120" s="215" t="str">
        <f t="shared" si="3"/>
        <v/>
      </c>
    </row>
    <row r="121" spans="1:6">
      <c r="A121">
        <v>118</v>
      </c>
      <c r="B121" s="46">
        <v>43370</v>
      </c>
      <c r="C121" s="294">
        <v>10.024327815213372</v>
      </c>
      <c r="D121" s="294">
        <v>22.743378673520009</v>
      </c>
      <c r="E121" s="186">
        <f t="shared" si="2"/>
        <v>10.024327815213372</v>
      </c>
      <c r="F121" s="215" t="str">
        <f t="shared" si="3"/>
        <v/>
      </c>
    </row>
    <row r="122" spans="1:6">
      <c r="A122">
        <v>119</v>
      </c>
      <c r="B122" s="46">
        <v>43371</v>
      </c>
      <c r="C122" s="294">
        <v>10.118638751212435</v>
      </c>
      <c r="D122" s="294">
        <v>22.743378673520009</v>
      </c>
      <c r="E122" s="186">
        <f t="shared" si="2"/>
        <v>10.118638751212435</v>
      </c>
      <c r="F122" s="215" t="str">
        <f t="shared" si="3"/>
        <v/>
      </c>
    </row>
    <row r="123" spans="1:6">
      <c r="A123">
        <v>120</v>
      </c>
      <c r="B123" s="46">
        <v>43372</v>
      </c>
      <c r="C123" s="294">
        <v>8.9131956272133692</v>
      </c>
      <c r="D123" s="294">
        <v>22.743378673520009</v>
      </c>
      <c r="E123" s="186">
        <f t="shared" si="2"/>
        <v>8.9131956272133692</v>
      </c>
      <c r="F123" s="215" t="str">
        <f t="shared" si="3"/>
        <v/>
      </c>
    </row>
    <row r="124" spans="1:6">
      <c r="A124">
        <v>121</v>
      </c>
      <c r="B124" s="46">
        <v>43373</v>
      </c>
      <c r="C124" s="294">
        <v>8.1930394632124379</v>
      </c>
      <c r="D124" s="294">
        <v>22.743378673520009</v>
      </c>
      <c r="E124" s="186">
        <f t="shared" si="2"/>
        <v>8.1930394632124379</v>
      </c>
      <c r="F124" s="215" t="str">
        <f t="shared" si="3"/>
        <v/>
      </c>
    </row>
    <row r="125" spans="1:6">
      <c r="A125">
        <v>122</v>
      </c>
      <c r="B125" s="46">
        <v>43374</v>
      </c>
      <c r="C125" s="294">
        <v>7.3986204952133701</v>
      </c>
      <c r="D125" s="294">
        <v>45.741764250654825</v>
      </c>
      <c r="E125" s="186">
        <f t="shared" si="2"/>
        <v>7.3986204952133701</v>
      </c>
      <c r="F125" s="215" t="str">
        <f t="shared" si="3"/>
        <v/>
      </c>
    </row>
    <row r="126" spans="1:6">
      <c r="A126">
        <v>123</v>
      </c>
      <c r="B126" s="46">
        <v>43375</v>
      </c>
      <c r="C126" s="294">
        <v>4.609804207212437</v>
      </c>
      <c r="D126" s="294">
        <v>45.741764250654825</v>
      </c>
      <c r="E126" s="186">
        <f t="shared" si="2"/>
        <v>4.609804207212437</v>
      </c>
      <c r="F126" s="215" t="str">
        <f t="shared" si="3"/>
        <v/>
      </c>
    </row>
    <row r="127" spans="1:6">
      <c r="A127">
        <v>124</v>
      </c>
      <c r="B127" s="46">
        <v>43376</v>
      </c>
      <c r="C127" s="294">
        <v>2.3887407607003261</v>
      </c>
      <c r="D127" s="294">
        <v>45.741764250654825</v>
      </c>
      <c r="E127" s="186">
        <f t="shared" si="2"/>
        <v>2.3887407607003261</v>
      </c>
      <c r="F127" s="215" t="str">
        <f t="shared" si="3"/>
        <v/>
      </c>
    </row>
    <row r="128" spans="1:6">
      <c r="A128">
        <v>125</v>
      </c>
      <c r="B128" s="46">
        <v>43377</v>
      </c>
      <c r="C128" s="294">
        <v>7.0064342647012596</v>
      </c>
      <c r="D128" s="294">
        <v>45.741764250654825</v>
      </c>
      <c r="E128" s="186">
        <f t="shared" si="2"/>
        <v>7.0064342647012596</v>
      </c>
      <c r="F128" s="215" t="str">
        <f t="shared" si="3"/>
        <v/>
      </c>
    </row>
    <row r="129" spans="1:7">
      <c r="A129">
        <v>126</v>
      </c>
      <c r="B129" s="46">
        <v>43378</v>
      </c>
      <c r="C129" s="294">
        <v>5.9097920727003297</v>
      </c>
      <c r="D129" s="294">
        <v>45.741764250654825</v>
      </c>
      <c r="E129" s="186">
        <f t="shared" si="2"/>
        <v>5.9097920727003297</v>
      </c>
      <c r="F129" s="215" t="str">
        <f t="shared" si="3"/>
        <v/>
      </c>
    </row>
    <row r="130" spans="1:7">
      <c r="A130">
        <v>127</v>
      </c>
      <c r="B130" s="46">
        <v>43379</v>
      </c>
      <c r="C130" s="294">
        <v>3.9427618527003285</v>
      </c>
      <c r="D130" s="294">
        <v>45.741764250654825</v>
      </c>
      <c r="E130" s="186">
        <f t="shared" si="2"/>
        <v>3.9427618527003285</v>
      </c>
      <c r="F130" s="215" t="str">
        <f t="shared" si="3"/>
        <v/>
      </c>
    </row>
    <row r="131" spans="1:7">
      <c r="A131">
        <v>128</v>
      </c>
      <c r="B131" s="46">
        <v>43380</v>
      </c>
      <c r="C131" s="294">
        <v>1.9604446107003277</v>
      </c>
      <c r="D131" s="294">
        <v>45.741764250654825</v>
      </c>
      <c r="E131" s="186">
        <f t="shared" si="2"/>
        <v>1.9604446107003277</v>
      </c>
      <c r="F131" s="215" t="str">
        <f t="shared" si="3"/>
        <v/>
      </c>
    </row>
    <row r="132" spans="1:7">
      <c r="A132">
        <v>129</v>
      </c>
      <c r="B132" s="46">
        <v>43381</v>
      </c>
      <c r="C132" s="294">
        <v>2.4853065447012632</v>
      </c>
      <c r="D132" s="294">
        <v>45.741764250654825</v>
      </c>
      <c r="E132" s="186">
        <f t="shared" ref="E132:E195" si="5">IF(C132&lt;D132,C132,D132)</f>
        <v>2.4853065447012632</v>
      </c>
      <c r="F132" s="215" t="str">
        <f t="shared" ref="F132:F195" si="6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43382</v>
      </c>
      <c r="C133" s="294">
        <v>5.0754817527003322</v>
      </c>
      <c r="D133" s="294">
        <v>45.741764250654825</v>
      </c>
      <c r="E133" s="186">
        <f t="shared" si="5"/>
        <v>5.0754817527003322</v>
      </c>
      <c r="F133" s="215" t="str">
        <f t="shared" si="6"/>
        <v/>
      </c>
    </row>
    <row r="134" spans="1:7">
      <c r="A134">
        <v>131</v>
      </c>
      <c r="B134" s="46">
        <v>43383</v>
      </c>
      <c r="C134" s="294">
        <v>29.921168912888817</v>
      </c>
      <c r="D134" s="294">
        <v>45.741764250654825</v>
      </c>
      <c r="E134" s="186">
        <f t="shared" si="5"/>
        <v>29.921168912888817</v>
      </c>
      <c r="F134" s="215" t="str">
        <f t="shared" si="6"/>
        <v/>
      </c>
    </row>
    <row r="135" spans="1:7">
      <c r="A135">
        <v>132</v>
      </c>
      <c r="B135" s="46">
        <v>43384</v>
      </c>
      <c r="C135" s="294">
        <v>25.387030768888813</v>
      </c>
      <c r="D135" s="294">
        <v>45.741764250654825</v>
      </c>
      <c r="E135" s="186">
        <f t="shared" si="5"/>
        <v>25.387030768888813</v>
      </c>
      <c r="F135" s="215" t="str">
        <f t="shared" si="6"/>
        <v/>
      </c>
    </row>
    <row r="136" spans="1:7">
      <c r="A136">
        <v>133</v>
      </c>
      <c r="B136" s="46">
        <v>43385</v>
      </c>
      <c r="C136" s="294">
        <v>26.288014220888815</v>
      </c>
      <c r="D136" s="294">
        <v>45.741764250654825</v>
      </c>
      <c r="E136" s="186">
        <f t="shared" si="5"/>
        <v>26.288014220888815</v>
      </c>
      <c r="F136" s="215" t="str">
        <f t="shared" si="6"/>
        <v/>
      </c>
    </row>
    <row r="137" spans="1:7">
      <c r="A137">
        <v>134</v>
      </c>
      <c r="B137" s="46">
        <v>43386</v>
      </c>
      <c r="C137" s="294">
        <v>14.197880838888818</v>
      </c>
      <c r="D137" s="294">
        <v>45.741764250654825</v>
      </c>
      <c r="E137" s="186">
        <f t="shared" si="5"/>
        <v>14.197880838888818</v>
      </c>
      <c r="F137" s="215" t="str">
        <f t="shared" si="6"/>
        <v/>
      </c>
    </row>
    <row r="138" spans="1:7">
      <c r="A138">
        <v>135</v>
      </c>
      <c r="B138" s="46">
        <v>43387</v>
      </c>
      <c r="C138" s="294">
        <v>17.363311476889745</v>
      </c>
      <c r="D138" s="294">
        <v>45.741764250654825</v>
      </c>
      <c r="E138" s="186">
        <f t="shared" si="5"/>
        <v>17.363311476889745</v>
      </c>
      <c r="F138" s="215" t="str">
        <f t="shared" si="6"/>
        <v/>
      </c>
    </row>
    <row r="139" spans="1:7">
      <c r="A139">
        <v>136</v>
      </c>
      <c r="B139" s="46">
        <v>43388</v>
      </c>
      <c r="C139" s="294">
        <v>36.118517392888819</v>
      </c>
      <c r="D139" s="294">
        <v>45.741764250654825</v>
      </c>
      <c r="E139" s="186">
        <f t="shared" si="5"/>
        <v>36.118517392888819</v>
      </c>
      <c r="F139" s="215" t="str">
        <f t="shared" si="6"/>
        <v>O</v>
      </c>
      <c r="G139" s="216">
        <f>IF(DAY(B139)=15,D139,"")</f>
        <v>45.741764250654825</v>
      </c>
    </row>
    <row r="140" spans="1:7">
      <c r="A140">
        <v>137</v>
      </c>
      <c r="B140" s="46">
        <v>43389</v>
      </c>
      <c r="C140" s="294">
        <v>65.71111752088882</v>
      </c>
      <c r="D140" s="294">
        <v>45.741764250654825</v>
      </c>
      <c r="E140" s="186">
        <f t="shared" si="5"/>
        <v>45.741764250654825</v>
      </c>
      <c r="F140" s="215" t="str">
        <f t="shared" si="6"/>
        <v/>
      </c>
    </row>
    <row r="141" spans="1:7">
      <c r="A141">
        <v>138</v>
      </c>
      <c r="B141" s="46">
        <v>43390</v>
      </c>
      <c r="C141" s="294">
        <v>73.385188114986491</v>
      </c>
      <c r="D141" s="294">
        <v>45.741764250654825</v>
      </c>
      <c r="E141" s="186">
        <f t="shared" si="5"/>
        <v>45.741764250654825</v>
      </c>
      <c r="F141" s="215" t="str">
        <f t="shared" si="6"/>
        <v/>
      </c>
    </row>
    <row r="142" spans="1:7">
      <c r="A142">
        <v>139</v>
      </c>
      <c r="B142" s="46">
        <v>43391</v>
      </c>
      <c r="C142" s="294">
        <v>45.949748128986485</v>
      </c>
      <c r="D142" s="294">
        <v>45.741764250654825</v>
      </c>
      <c r="E142" s="186">
        <f t="shared" si="5"/>
        <v>45.741764250654825</v>
      </c>
      <c r="F142" s="215" t="str">
        <f t="shared" si="6"/>
        <v/>
      </c>
    </row>
    <row r="143" spans="1:7">
      <c r="A143">
        <v>140</v>
      </c>
      <c r="B143" s="46">
        <v>43392</v>
      </c>
      <c r="C143" s="294">
        <v>49.229851926986491</v>
      </c>
      <c r="D143" s="294">
        <v>45.741764250654825</v>
      </c>
      <c r="E143" s="186">
        <f t="shared" si="5"/>
        <v>45.741764250654825</v>
      </c>
      <c r="F143" s="215" t="str">
        <f t="shared" si="6"/>
        <v/>
      </c>
    </row>
    <row r="144" spans="1:7">
      <c r="A144">
        <v>141</v>
      </c>
      <c r="B144" s="46">
        <v>43393</v>
      </c>
      <c r="C144" s="294">
        <v>45.339036974987422</v>
      </c>
      <c r="D144" s="294">
        <v>45.741764250654825</v>
      </c>
      <c r="E144" s="186">
        <f t="shared" si="5"/>
        <v>45.339036974987422</v>
      </c>
      <c r="F144" s="215" t="str">
        <f t="shared" si="6"/>
        <v/>
      </c>
    </row>
    <row r="145" spans="1:6">
      <c r="A145">
        <v>142</v>
      </c>
      <c r="B145" s="46">
        <v>43394</v>
      </c>
      <c r="C145" s="294">
        <v>45.970911122986486</v>
      </c>
      <c r="D145" s="294">
        <v>45.741764250654825</v>
      </c>
      <c r="E145" s="186">
        <f t="shared" si="5"/>
        <v>45.741764250654825</v>
      </c>
      <c r="F145" s="215" t="str">
        <f t="shared" si="6"/>
        <v/>
      </c>
    </row>
    <row r="146" spans="1:6">
      <c r="A146">
        <v>143</v>
      </c>
      <c r="B146" s="46">
        <v>43395</v>
      </c>
      <c r="C146" s="294">
        <v>44.120979864986488</v>
      </c>
      <c r="D146" s="294">
        <v>45.741764250654825</v>
      </c>
      <c r="E146" s="186">
        <f t="shared" si="5"/>
        <v>44.120979864986488</v>
      </c>
      <c r="F146" s="215" t="str">
        <f t="shared" si="6"/>
        <v/>
      </c>
    </row>
    <row r="147" spans="1:6">
      <c r="A147">
        <v>144</v>
      </c>
      <c r="B147" s="46">
        <v>43396</v>
      </c>
      <c r="C147" s="294">
        <v>42.554396610986494</v>
      </c>
      <c r="D147" s="294">
        <v>45.741764250654825</v>
      </c>
      <c r="E147" s="186">
        <f t="shared" si="5"/>
        <v>42.554396610986494</v>
      </c>
      <c r="F147" s="215" t="str">
        <f t="shared" si="6"/>
        <v/>
      </c>
    </row>
    <row r="148" spans="1:6">
      <c r="A148">
        <v>145</v>
      </c>
      <c r="B148" s="46">
        <v>43397</v>
      </c>
      <c r="C148" s="294">
        <v>32.042032314450054</v>
      </c>
      <c r="D148" s="294">
        <v>45.741764250654825</v>
      </c>
      <c r="E148" s="186">
        <f t="shared" si="5"/>
        <v>32.042032314450054</v>
      </c>
      <c r="F148" s="215" t="str">
        <f t="shared" si="6"/>
        <v/>
      </c>
    </row>
    <row r="149" spans="1:6">
      <c r="A149">
        <v>146</v>
      </c>
      <c r="B149" s="46">
        <v>43398</v>
      </c>
      <c r="C149" s="294">
        <v>46.542265682450044</v>
      </c>
      <c r="D149" s="294">
        <v>45.741764250654825</v>
      </c>
      <c r="E149" s="186">
        <f t="shared" si="5"/>
        <v>45.741764250654825</v>
      </c>
      <c r="F149" s="215" t="str">
        <f t="shared" si="6"/>
        <v/>
      </c>
    </row>
    <row r="150" spans="1:6">
      <c r="A150">
        <v>147</v>
      </c>
      <c r="B150" s="46">
        <v>43399</v>
      </c>
      <c r="C150" s="294">
        <v>49.274852104450055</v>
      </c>
      <c r="D150" s="294">
        <v>45.741764250654825</v>
      </c>
      <c r="E150" s="186">
        <f t="shared" si="5"/>
        <v>45.741764250654825</v>
      </c>
      <c r="F150" s="215" t="str">
        <f t="shared" si="6"/>
        <v/>
      </c>
    </row>
    <row r="151" spans="1:6">
      <c r="A151">
        <v>148</v>
      </c>
      <c r="B151" s="46">
        <v>43400</v>
      </c>
      <c r="C151" s="294">
        <v>19.380238686450053</v>
      </c>
      <c r="D151" s="294">
        <v>45.741764250654825</v>
      </c>
      <c r="E151" s="186">
        <f t="shared" si="5"/>
        <v>19.380238686450053</v>
      </c>
      <c r="F151" s="215" t="str">
        <f t="shared" si="6"/>
        <v/>
      </c>
    </row>
    <row r="152" spans="1:6">
      <c r="A152">
        <v>149</v>
      </c>
      <c r="B152" s="46">
        <v>43401</v>
      </c>
      <c r="C152" s="294">
        <v>11.52307071845005</v>
      </c>
      <c r="D152" s="294">
        <v>45.741764250654825</v>
      </c>
      <c r="E152" s="186">
        <f t="shared" si="5"/>
        <v>11.52307071845005</v>
      </c>
      <c r="F152" s="215" t="str">
        <f t="shared" si="6"/>
        <v/>
      </c>
    </row>
    <row r="153" spans="1:6">
      <c r="A153">
        <v>150</v>
      </c>
      <c r="B153" s="46">
        <v>43402</v>
      </c>
      <c r="C153" s="294">
        <v>16.50693054445005</v>
      </c>
      <c r="D153" s="294">
        <v>45.741764250654825</v>
      </c>
      <c r="E153" s="186">
        <f t="shared" si="5"/>
        <v>16.50693054445005</v>
      </c>
      <c r="F153" s="215" t="str">
        <f t="shared" si="6"/>
        <v/>
      </c>
    </row>
    <row r="154" spans="1:6">
      <c r="A154">
        <v>151</v>
      </c>
      <c r="B154" s="46">
        <v>43403</v>
      </c>
      <c r="C154" s="294">
        <v>46.011846108450044</v>
      </c>
      <c r="D154" s="294">
        <v>45.741764250654825</v>
      </c>
      <c r="E154" s="186">
        <f t="shared" si="5"/>
        <v>45.741764250654825</v>
      </c>
      <c r="F154" s="215" t="str">
        <f t="shared" si="6"/>
        <v/>
      </c>
    </row>
    <row r="155" spans="1:6">
      <c r="A155">
        <v>152</v>
      </c>
      <c r="B155" s="46">
        <v>43404</v>
      </c>
      <c r="C155" s="294">
        <v>76.009693372363614</v>
      </c>
      <c r="D155" s="294">
        <v>45.741764250654825</v>
      </c>
      <c r="E155" s="186">
        <f t="shared" si="5"/>
        <v>45.741764250654825</v>
      </c>
      <c r="F155" s="215" t="str">
        <f t="shared" si="6"/>
        <v/>
      </c>
    </row>
    <row r="156" spans="1:6">
      <c r="A156">
        <v>153</v>
      </c>
      <c r="B156" s="46">
        <v>43405</v>
      </c>
      <c r="C156" s="294">
        <v>43.416546616363625</v>
      </c>
      <c r="D156" s="294">
        <v>80.413851096189973</v>
      </c>
      <c r="E156" s="186">
        <f t="shared" si="5"/>
        <v>43.416546616363625</v>
      </c>
      <c r="F156" s="215" t="str">
        <f t="shared" si="6"/>
        <v/>
      </c>
    </row>
    <row r="157" spans="1:6">
      <c r="A157">
        <v>154</v>
      </c>
      <c r="B157" s="46">
        <v>43406</v>
      </c>
      <c r="C157" s="294">
        <v>47.075057798362693</v>
      </c>
      <c r="D157" s="294">
        <v>80.413851096189973</v>
      </c>
      <c r="E157" s="186">
        <f t="shared" si="5"/>
        <v>47.075057798362693</v>
      </c>
      <c r="F157" s="215" t="str">
        <f t="shared" si="6"/>
        <v/>
      </c>
    </row>
    <row r="158" spans="1:6">
      <c r="A158">
        <v>155</v>
      </c>
      <c r="B158" s="46">
        <v>43407</v>
      </c>
      <c r="C158" s="294">
        <v>47.243531606363618</v>
      </c>
      <c r="D158" s="294">
        <v>80.413851096189973</v>
      </c>
      <c r="E158" s="186">
        <f t="shared" si="5"/>
        <v>47.243531606363618</v>
      </c>
      <c r="F158" s="215" t="str">
        <f t="shared" si="6"/>
        <v/>
      </c>
    </row>
    <row r="159" spans="1:6">
      <c r="A159">
        <v>156</v>
      </c>
      <c r="B159" s="46">
        <v>43408</v>
      </c>
      <c r="C159" s="294">
        <v>43.315809924363627</v>
      </c>
      <c r="D159" s="294">
        <v>80.413851096189973</v>
      </c>
      <c r="E159" s="186">
        <f t="shared" si="5"/>
        <v>43.315809924363627</v>
      </c>
      <c r="F159" s="215" t="str">
        <f t="shared" si="6"/>
        <v/>
      </c>
    </row>
    <row r="160" spans="1:6">
      <c r="A160">
        <v>157</v>
      </c>
      <c r="B160" s="46">
        <v>43409</v>
      </c>
      <c r="C160" s="294">
        <v>57.857351662362696</v>
      </c>
      <c r="D160" s="294">
        <v>80.413851096189973</v>
      </c>
      <c r="E160" s="186">
        <f t="shared" si="5"/>
        <v>57.857351662362696</v>
      </c>
      <c r="F160" s="215" t="str">
        <f t="shared" si="6"/>
        <v/>
      </c>
    </row>
    <row r="161" spans="1:7">
      <c r="A161">
        <v>158</v>
      </c>
      <c r="B161" s="46">
        <v>43410</v>
      </c>
      <c r="C161" s="294">
        <v>48.876081674363625</v>
      </c>
      <c r="D161" s="294">
        <v>80.413851096189973</v>
      </c>
      <c r="E161" s="186">
        <f t="shared" si="5"/>
        <v>48.876081674363625</v>
      </c>
      <c r="F161" s="215" t="str">
        <f t="shared" si="6"/>
        <v/>
      </c>
    </row>
    <row r="162" spans="1:7">
      <c r="A162">
        <v>159</v>
      </c>
      <c r="B162" s="46">
        <v>43411</v>
      </c>
      <c r="C162" s="294">
        <v>86.689850459148872</v>
      </c>
      <c r="D162" s="294">
        <v>80.413851096189973</v>
      </c>
      <c r="E162" s="186">
        <f t="shared" si="5"/>
        <v>80.413851096189973</v>
      </c>
      <c r="F162" s="215" t="str">
        <f t="shared" si="6"/>
        <v/>
      </c>
    </row>
    <row r="163" spans="1:7">
      <c r="A163">
        <v>160</v>
      </c>
      <c r="B163" s="46">
        <v>43412</v>
      </c>
      <c r="C163" s="294">
        <v>90.691329073148879</v>
      </c>
      <c r="D163" s="294">
        <v>80.413851096189973</v>
      </c>
      <c r="E163" s="186">
        <f t="shared" si="5"/>
        <v>80.413851096189973</v>
      </c>
      <c r="F163" s="215" t="str">
        <f t="shared" si="6"/>
        <v/>
      </c>
    </row>
    <row r="164" spans="1:7">
      <c r="A164">
        <v>161</v>
      </c>
      <c r="B164" s="46">
        <v>43413</v>
      </c>
      <c r="C164" s="294">
        <v>92.796391639148879</v>
      </c>
      <c r="D164" s="294">
        <v>80.413851096189973</v>
      </c>
      <c r="E164" s="186">
        <f t="shared" si="5"/>
        <v>80.413851096189973</v>
      </c>
      <c r="F164" s="215" t="str">
        <f t="shared" si="6"/>
        <v/>
      </c>
    </row>
    <row r="165" spans="1:7">
      <c r="A165">
        <v>162</v>
      </c>
      <c r="B165" s="46">
        <v>43414</v>
      </c>
      <c r="C165" s="294">
        <v>94.994770411147954</v>
      </c>
      <c r="D165" s="294">
        <v>80.413851096189973</v>
      </c>
      <c r="E165" s="186">
        <f t="shared" si="5"/>
        <v>80.413851096189973</v>
      </c>
      <c r="F165" s="215" t="str">
        <f t="shared" si="6"/>
        <v/>
      </c>
    </row>
    <row r="166" spans="1:7">
      <c r="A166">
        <v>163</v>
      </c>
      <c r="B166" s="46">
        <v>43415</v>
      </c>
      <c r="C166" s="294">
        <v>98.084029529148893</v>
      </c>
      <c r="D166" s="294">
        <v>80.413851096189973</v>
      </c>
      <c r="E166" s="186">
        <f t="shared" si="5"/>
        <v>80.413851096189973</v>
      </c>
      <c r="F166" s="215" t="str">
        <f t="shared" si="6"/>
        <v/>
      </c>
    </row>
    <row r="167" spans="1:7">
      <c r="A167">
        <v>164</v>
      </c>
      <c r="B167" s="46">
        <v>43416</v>
      </c>
      <c r="C167" s="294">
        <v>121.64374552914889</v>
      </c>
      <c r="D167" s="294">
        <v>80.413851096189973</v>
      </c>
      <c r="E167" s="186">
        <f t="shared" si="5"/>
        <v>80.413851096189973</v>
      </c>
      <c r="F167" s="215" t="str">
        <f t="shared" si="6"/>
        <v/>
      </c>
    </row>
    <row r="168" spans="1:7">
      <c r="A168">
        <v>165</v>
      </c>
      <c r="B168" s="46">
        <v>43417</v>
      </c>
      <c r="C168" s="294">
        <v>115.98538030914888</v>
      </c>
      <c r="D168" s="294">
        <v>80.413851096189973</v>
      </c>
      <c r="E168" s="186">
        <f t="shared" si="5"/>
        <v>80.413851096189973</v>
      </c>
      <c r="F168" s="215" t="str">
        <f t="shared" si="6"/>
        <v/>
      </c>
    </row>
    <row r="169" spans="1:7">
      <c r="A169">
        <v>166</v>
      </c>
      <c r="B169" s="46">
        <v>43418</v>
      </c>
      <c r="C169" s="294">
        <v>92.884565129739187</v>
      </c>
      <c r="D169" s="294">
        <v>80.413851096189973</v>
      </c>
      <c r="E169" s="186">
        <f t="shared" si="5"/>
        <v>80.413851096189973</v>
      </c>
      <c r="F169" s="215" t="str">
        <f t="shared" si="6"/>
        <v/>
      </c>
    </row>
    <row r="170" spans="1:7">
      <c r="A170">
        <v>167</v>
      </c>
      <c r="B170" s="46">
        <v>43419</v>
      </c>
      <c r="C170" s="294">
        <v>99.53025571373918</v>
      </c>
      <c r="D170" s="294">
        <v>80.413851096189973</v>
      </c>
      <c r="E170" s="186">
        <f t="shared" si="5"/>
        <v>80.413851096189973</v>
      </c>
      <c r="F170" s="215" t="str">
        <f t="shared" si="6"/>
        <v>N</v>
      </c>
      <c r="G170" s="216">
        <f t="shared" ref="G170" si="7">IF(DAY(B170)=15,D170,"")</f>
        <v>80.413851096189973</v>
      </c>
    </row>
    <row r="171" spans="1:7">
      <c r="A171">
        <v>168</v>
      </c>
      <c r="B171" s="46">
        <v>43420</v>
      </c>
      <c r="C171" s="294">
        <v>100.64944806573826</v>
      </c>
      <c r="D171" s="294">
        <v>80.413851096189973</v>
      </c>
      <c r="E171" s="186">
        <f t="shared" si="5"/>
        <v>80.413851096189973</v>
      </c>
      <c r="F171" s="215" t="str">
        <f t="shared" si="6"/>
        <v/>
      </c>
    </row>
    <row r="172" spans="1:7">
      <c r="A172">
        <v>169</v>
      </c>
      <c r="B172" s="46">
        <v>43421</v>
      </c>
      <c r="C172" s="294">
        <v>76.32607546173918</v>
      </c>
      <c r="D172" s="294">
        <v>80.413851096189973</v>
      </c>
      <c r="E172" s="186">
        <f t="shared" si="5"/>
        <v>76.32607546173918</v>
      </c>
      <c r="F172" s="215" t="str">
        <f t="shared" si="6"/>
        <v/>
      </c>
    </row>
    <row r="173" spans="1:7">
      <c r="A173">
        <v>170</v>
      </c>
      <c r="B173" s="46">
        <v>43422</v>
      </c>
      <c r="C173" s="294">
        <v>72.289244381739181</v>
      </c>
      <c r="D173" s="294">
        <v>80.413851096189973</v>
      </c>
      <c r="E173" s="186">
        <f t="shared" si="5"/>
        <v>72.289244381739181</v>
      </c>
      <c r="F173" s="215" t="str">
        <f t="shared" si="6"/>
        <v/>
      </c>
    </row>
    <row r="174" spans="1:7">
      <c r="A174">
        <v>171</v>
      </c>
      <c r="B174" s="46">
        <v>43423</v>
      </c>
      <c r="C174" s="294">
        <v>107.85845773573918</v>
      </c>
      <c r="D174" s="294">
        <v>80.413851096189973</v>
      </c>
      <c r="E174" s="186">
        <f t="shared" si="5"/>
        <v>80.413851096189973</v>
      </c>
      <c r="F174" s="215" t="str">
        <f t="shared" si="6"/>
        <v/>
      </c>
    </row>
    <row r="175" spans="1:7">
      <c r="A175">
        <v>172</v>
      </c>
      <c r="B175" s="46">
        <v>43424</v>
      </c>
      <c r="C175" s="294">
        <v>95.251663345739189</v>
      </c>
      <c r="D175" s="294">
        <v>80.413851096189973</v>
      </c>
      <c r="E175" s="186">
        <f t="shared" si="5"/>
        <v>80.413851096189973</v>
      </c>
      <c r="F175" s="215" t="str">
        <f t="shared" si="6"/>
        <v/>
      </c>
    </row>
    <row r="176" spans="1:7">
      <c r="A176">
        <v>173</v>
      </c>
      <c r="B176" s="46">
        <v>43425</v>
      </c>
      <c r="C176" s="294">
        <v>84.210863363573011</v>
      </c>
      <c r="D176" s="294">
        <v>80.413851096189973</v>
      </c>
      <c r="E176" s="186">
        <f t="shared" si="5"/>
        <v>80.413851096189973</v>
      </c>
      <c r="F176" s="215" t="str">
        <f t="shared" si="6"/>
        <v/>
      </c>
    </row>
    <row r="177" spans="1:6">
      <c r="A177">
        <v>174</v>
      </c>
      <c r="B177" s="46">
        <v>43426</v>
      </c>
      <c r="C177" s="294">
        <v>100.02806360957393</v>
      </c>
      <c r="D177" s="294">
        <v>80.413851096189973</v>
      </c>
      <c r="E177" s="186">
        <f t="shared" si="5"/>
        <v>80.413851096189973</v>
      </c>
      <c r="F177" s="215" t="str">
        <f t="shared" si="6"/>
        <v/>
      </c>
    </row>
    <row r="178" spans="1:6">
      <c r="A178">
        <v>175</v>
      </c>
      <c r="B178" s="46">
        <v>43427</v>
      </c>
      <c r="C178" s="294">
        <v>93.973128249573932</v>
      </c>
      <c r="D178" s="294">
        <v>80.413851096189973</v>
      </c>
      <c r="E178" s="186">
        <f t="shared" si="5"/>
        <v>80.413851096189973</v>
      </c>
      <c r="F178" s="215" t="str">
        <f t="shared" si="6"/>
        <v/>
      </c>
    </row>
    <row r="179" spans="1:6">
      <c r="A179">
        <v>176</v>
      </c>
      <c r="B179" s="46">
        <v>43428</v>
      </c>
      <c r="C179" s="294">
        <v>71.462767399572996</v>
      </c>
      <c r="D179" s="294">
        <v>80.413851096189973</v>
      </c>
      <c r="E179" s="186">
        <f t="shared" si="5"/>
        <v>71.462767399572996</v>
      </c>
      <c r="F179" s="215" t="str">
        <f t="shared" si="6"/>
        <v/>
      </c>
    </row>
    <row r="180" spans="1:6">
      <c r="A180">
        <v>177</v>
      </c>
      <c r="B180" s="46">
        <v>43429</v>
      </c>
      <c r="C180" s="294">
        <v>73.556786463573943</v>
      </c>
      <c r="D180" s="294">
        <v>80.413851096189973</v>
      </c>
      <c r="E180" s="186">
        <f t="shared" si="5"/>
        <v>73.556786463573943</v>
      </c>
      <c r="F180" s="215" t="str">
        <f t="shared" si="6"/>
        <v/>
      </c>
    </row>
    <row r="181" spans="1:6">
      <c r="A181">
        <v>178</v>
      </c>
      <c r="B181" s="46">
        <v>43430</v>
      </c>
      <c r="C181" s="294">
        <v>89.032887399573013</v>
      </c>
      <c r="D181" s="294">
        <v>80.413851096189973</v>
      </c>
      <c r="E181" s="186">
        <f t="shared" si="5"/>
        <v>80.413851096189973</v>
      </c>
      <c r="F181" s="215" t="str">
        <f t="shared" si="6"/>
        <v/>
      </c>
    </row>
    <row r="182" spans="1:6">
      <c r="A182">
        <v>179</v>
      </c>
      <c r="B182" s="46">
        <v>43431</v>
      </c>
      <c r="C182" s="294">
        <v>91.791408073573947</v>
      </c>
      <c r="D182" s="294">
        <v>80.413851096189973</v>
      </c>
      <c r="E182" s="186">
        <f t="shared" si="5"/>
        <v>80.413851096189973</v>
      </c>
      <c r="F182" s="215" t="str">
        <f t="shared" si="6"/>
        <v/>
      </c>
    </row>
    <row r="183" spans="1:6">
      <c r="A183">
        <v>180</v>
      </c>
      <c r="B183" s="46">
        <v>43432</v>
      </c>
      <c r="C183" s="294">
        <v>100.62520183628585</v>
      </c>
      <c r="D183" s="294">
        <v>80.413851096189973</v>
      </c>
      <c r="E183" s="186">
        <f t="shared" si="5"/>
        <v>80.413851096189973</v>
      </c>
      <c r="F183" s="215" t="str">
        <f t="shared" si="6"/>
        <v/>
      </c>
    </row>
    <row r="184" spans="1:6">
      <c r="A184">
        <v>181</v>
      </c>
      <c r="B184" s="46">
        <v>43433</v>
      </c>
      <c r="C184" s="294">
        <v>106.07573600028584</v>
      </c>
      <c r="D184" s="294">
        <v>80.413851096189973</v>
      </c>
      <c r="E184" s="186">
        <f t="shared" si="5"/>
        <v>80.413851096189973</v>
      </c>
      <c r="F184" s="215" t="str">
        <f t="shared" si="6"/>
        <v/>
      </c>
    </row>
    <row r="185" spans="1:6">
      <c r="A185">
        <v>182</v>
      </c>
      <c r="B185" s="46">
        <v>43434</v>
      </c>
      <c r="C185" s="294">
        <v>97.476653356285851</v>
      </c>
      <c r="D185" s="294">
        <v>80.413851096189973</v>
      </c>
      <c r="E185" s="186">
        <f t="shared" si="5"/>
        <v>80.413851096189973</v>
      </c>
      <c r="F185" s="215" t="str">
        <f t="shared" si="6"/>
        <v/>
      </c>
    </row>
    <row r="186" spans="1:6">
      <c r="A186">
        <v>183</v>
      </c>
      <c r="B186" s="46">
        <v>43435</v>
      </c>
      <c r="C186" s="294">
        <v>90.394212360286787</v>
      </c>
      <c r="D186" s="294">
        <v>101.95753277636452</v>
      </c>
      <c r="E186" s="186">
        <f t="shared" si="5"/>
        <v>90.394212360286787</v>
      </c>
      <c r="F186" s="215" t="str">
        <f t="shared" si="6"/>
        <v/>
      </c>
    </row>
    <row r="187" spans="1:6">
      <c r="A187">
        <v>184</v>
      </c>
      <c r="B187" s="46">
        <v>43436</v>
      </c>
      <c r="C187" s="294">
        <v>84.866914290285848</v>
      </c>
      <c r="D187" s="294">
        <v>101.95753277636452</v>
      </c>
      <c r="E187" s="186">
        <f t="shared" si="5"/>
        <v>84.866914290285848</v>
      </c>
      <c r="F187" s="215" t="str">
        <f t="shared" si="6"/>
        <v/>
      </c>
    </row>
    <row r="188" spans="1:6">
      <c r="A188">
        <v>185</v>
      </c>
      <c r="B188" s="46">
        <v>43437</v>
      </c>
      <c r="C188" s="294">
        <v>108.37415833628584</v>
      </c>
      <c r="D188" s="294">
        <v>101.95753277636452</v>
      </c>
      <c r="E188" s="186">
        <f t="shared" si="5"/>
        <v>101.95753277636452</v>
      </c>
      <c r="F188" s="215" t="str">
        <f t="shared" si="6"/>
        <v/>
      </c>
    </row>
    <row r="189" spans="1:6">
      <c r="A189">
        <v>186</v>
      </c>
      <c r="B189" s="46">
        <v>43438</v>
      </c>
      <c r="C189" s="294">
        <v>126.38090736228585</v>
      </c>
      <c r="D189" s="294">
        <v>101.95753277636452</v>
      </c>
      <c r="E189" s="186">
        <f t="shared" si="5"/>
        <v>101.95753277636452</v>
      </c>
      <c r="F189" s="215" t="str">
        <f t="shared" si="6"/>
        <v/>
      </c>
    </row>
    <row r="190" spans="1:6">
      <c r="A190">
        <v>187</v>
      </c>
      <c r="B190" s="46">
        <v>43439</v>
      </c>
      <c r="C190" s="294">
        <v>87.515008344428594</v>
      </c>
      <c r="D190" s="294">
        <v>101.95753277636452</v>
      </c>
      <c r="E190" s="186">
        <f t="shared" si="5"/>
        <v>87.515008344428594</v>
      </c>
      <c r="F190" s="215" t="str">
        <f t="shared" si="6"/>
        <v/>
      </c>
    </row>
    <row r="191" spans="1:6">
      <c r="A191">
        <v>188</v>
      </c>
      <c r="B191" s="46">
        <v>43440</v>
      </c>
      <c r="C191" s="294">
        <v>77.782506294428586</v>
      </c>
      <c r="D191" s="294">
        <v>101.95753277636452</v>
      </c>
      <c r="E191" s="186">
        <f t="shared" si="5"/>
        <v>77.782506294428586</v>
      </c>
      <c r="F191" s="215" t="str">
        <f t="shared" si="6"/>
        <v/>
      </c>
    </row>
    <row r="192" spans="1:6">
      <c r="A192">
        <v>189</v>
      </c>
      <c r="B192" s="46">
        <v>43441</v>
      </c>
      <c r="C192" s="294">
        <v>62.18230000042859</v>
      </c>
      <c r="D192" s="294">
        <v>101.95753277636452</v>
      </c>
      <c r="E192" s="186">
        <f t="shared" si="5"/>
        <v>62.18230000042859</v>
      </c>
      <c r="F192" s="215" t="str">
        <f t="shared" si="6"/>
        <v/>
      </c>
    </row>
    <row r="193" spans="1:7">
      <c r="A193">
        <v>190</v>
      </c>
      <c r="B193" s="46">
        <v>43442</v>
      </c>
      <c r="C193" s="294">
        <v>55.709332724428592</v>
      </c>
      <c r="D193" s="294">
        <v>101.95753277636452</v>
      </c>
      <c r="E193" s="186">
        <f t="shared" si="5"/>
        <v>55.709332724428592</v>
      </c>
      <c r="F193" s="215" t="str">
        <f t="shared" si="6"/>
        <v/>
      </c>
    </row>
    <row r="194" spans="1:7">
      <c r="A194">
        <v>191</v>
      </c>
      <c r="B194" s="46">
        <v>43443</v>
      </c>
      <c r="C194" s="294">
        <v>55.556556698428594</v>
      </c>
      <c r="D194" s="294">
        <v>101.95753277636452</v>
      </c>
      <c r="E194" s="186">
        <f t="shared" si="5"/>
        <v>55.556556698428594</v>
      </c>
      <c r="F194" s="215" t="str">
        <f t="shared" si="6"/>
        <v/>
      </c>
    </row>
    <row r="195" spans="1:7">
      <c r="A195">
        <v>192</v>
      </c>
      <c r="B195" s="46">
        <v>43444</v>
      </c>
      <c r="C195" s="294">
        <v>67.053807550428601</v>
      </c>
      <c r="D195" s="294">
        <v>101.95753277636452</v>
      </c>
      <c r="E195" s="186">
        <f t="shared" si="5"/>
        <v>67.053807550428601</v>
      </c>
      <c r="F195" s="215" t="str">
        <f t="shared" si="6"/>
        <v/>
      </c>
    </row>
    <row r="196" spans="1:7">
      <c r="A196">
        <v>193</v>
      </c>
      <c r="B196" s="46">
        <v>43445</v>
      </c>
      <c r="C196" s="294">
        <v>96.102252704428594</v>
      </c>
      <c r="D196" s="294">
        <v>101.95753277636452</v>
      </c>
      <c r="E196" s="186">
        <f t="shared" ref="E196:E259" si="8">IF(C196&lt;D196,C196,D196)</f>
        <v>96.102252704428594</v>
      </c>
      <c r="F196" s="215" t="str">
        <f t="shared" ref="F196:F259" si="9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43446</v>
      </c>
      <c r="C197" s="294">
        <v>108.87868366227644</v>
      </c>
      <c r="D197" s="294">
        <v>101.95753277636452</v>
      </c>
      <c r="E197" s="186">
        <f t="shared" si="8"/>
        <v>101.95753277636452</v>
      </c>
      <c r="F197" s="215" t="str">
        <f t="shared" si="9"/>
        <v/>
      </c>
    </row>
    <row r="198" spans="1:7">
      <c r="A198">
        <v>195</v>
      </c>
      <c r="B198" s="46">
        <v>43447</v>
      </c>
      <c r="C198" s="294">
        <v>84.353938072275511</v>
      </c>
      <c r="D198" s="294">
        <v>101.95753277636452</v>
      </c>
      <c r="E198" s="186">
        <f t="shared" si="8"/>
        <v>84.353938072275511</v>
      </c>
      <c r="F198" s="215" t="str">
        <f t="shared" si="9"/>
        <v/>
      </c>
    </row>
    <row r="199" spans="1:7">
      <c r="A199">
        <v>196</v>
      </c>
      <c r="B199" s="46">
        <v>43448</v>
      </c>
      <c r="C199" s="294">
        <v>86.425479054275513</v>
      </c>
      <c r="D199" s="294">
        <v>101.95753277636452</v>
      </c>
      <c r="E199" s="186">
        <f t="shared" si="8"/>
        <v>86.425479054275513</v>
      </c>
      <c r="F199" s="215" t="str">
        <f t="shared" si="9"/>
        <v/>
      </c>
    </row>
    <row r="200" spans="1:7">
      <c r="A200">
        <v>197</v>
      </c>
      <c r="B200" s="46">
        <v>43449</v>
      </c>
      <c r="C200" s="294">
        <v>74.544494642275509</v>
      </c>
      <c r="D200" s="294">
        <v>101.95753277636452</v>
      </c>
      <c r="E200" s="186">
        <f t="shared" si="8"/>
        <v>74.544494642275509</v>
      </c>
      <c r="F200" s="215" t="str">
        <f t="shared" si="9"/>
        <v>D</v>
      </c>
      <c r="G200" s="216">
        <f>IF(DAY(B200)=15,D200,"")</f>
        <v>101.95753277636452</v>
      </c>
    </row>
    <row r="201" spans="1:7">
      <c r="A201">
        <v>198</v>
      </c>
      <c r="B201" s="46">
        <v>43450</v>
      </c>
      <c r="C201" s="294">
        <v>69.967279598275525</v>
      </c>
      <c r="D201" s="294">
        <v>101.95753277636452</v>
      </c>
      <c r="E201" s="186">
        <f t="shared" si="8"/>
        <v>69.967279598275525</v>
      </c>
      <c r="F201" s="215" t="str">
        <f t="shared" si="9"/>
        <v/>
      </c>
    </row>
    <row r="202" spans="1:7">
      <c r="A202">
        <v>199</v>
      </c>
      <c r="B202" s="46">
        <v>43451</v>
      </c>
      <c r="C202" s="294">
        <v>111.34327048227644</v>
      </c>
      <c r="D202" s="294">
        <v>101.95753277636452</v>
      </c>
      <c r="E202" s="186">
        <f t="shared" si="8"/>
        <v>101.95753277636452</v>
      </c>
      <c r="F202" s="215" t="str">
        <f t="shared" si="9"/>
        <v/>
      </c>
    </row>
    <row r="203" spans="1:7">
      <c r="A203">
        <v>200</v>
      </c>
      <c r="B203" s="46">
        <v>43452</v>
      </c>
      <c r="C203" s="294">
        <v>93.932545482275515</v>
      </c>
      <c r="D203" s="294">
        <v>101.95753277636452</v>
      </c>
      <c r="E203" s="186">
        <f t="shared" si="8"/>
        <v>93.932545482275515</v>
      </c>
      <c r="F203" s="215" t="str">
        <f t="shared" si="9"/>
        <v/>
      </c>
    </row>
    <row r="204" spans="1:7">
      <c r="A204">
        <v>201</v>
      </c>
      <c r="B204" s="46">
        <v>43453</v>
      </c>
      <c r="C204" s="294">
        <v>100.38242194998713</v>
      </c>
      <c r="D204" s="294">
        <v>101.95753277636452</v>
      </c>
      <c r="E204" s="186">
        <f t="shared" si="8"/>
        <v>100.38242194998713</v>
      </c>
      <c r="F204" s="215" t="str">
        <f t="shared" si="9"/>
        <v/>
      </c>
    </row>
    <row r="205" spans="1:7">
      <c r="A205">
        <v>202</v>
      </c>
      <c r="B205" s="46">
        <v>43454</v>
      </c>
      <c r="C205" s="294">
        <v>105.40698662998713</v>
      </c>
      <c r="D205" s="294">
        <v>101.95753277636452</v>
      </c>
      <c r="E205" s="186">
        <f t="shared" si="8"/>
        <v>101.95753277636452</v>
      </c>
      <c r="F205" s="215" t="str">
        <f t="shared" si="9"/>
        <v/>
      </c>
    </row>
    <row r="206" spans="1:7">
      <c r="A206">
        <v>203</v>
      </c>
      <c r="B206" s="46">
        <v>43455</v>
      </c>
      <c r="C206" s="294">
        <v>94.165243369987138</v>
      </c>
      <c r="D206" s="294">
        <v>101.95753277636452</v>
      </c>
      <c r="E206" s="186">
        <f t="shared" si="8"/>
        <v>94.165243369987138</v>
      </c>
      <c r="F206" s="215" t="str">
        <f t="shared" si="9"/>
        <v/>
      </c>
    </row>
    <row r="207" spans="1:7">
      <c r="A207">
        <v>204</v>
      </c>
      <c r="B207" s="46">
        <v>43456</v>
      </c>
      <c r="C207" s="294">
        <v>95.940931389987128</v>
      </c>
      <c r="D207" s="294">
        <v>101.95753277636452</v>
      </c>
      <c r="E207" s="186">
        <f t="shared" si="8"/>
        <v>95.940931389987128</v>
      </c>
      <c r="F207" s="215" t="str">
        <f t="shared" si="9"/>
        <v/>
      </c>
    </row>
    <row r="208" spans="1:7">
      <c r="A208">
        <v>205</v>
      </c>
      <c r="B208" s="46">
        <v>43457</v>
      </c>
      <c r="C208" s="294">
        <v>90.126315709987125</v>
      </c>
      <c r="D208" s="294">
        <v>101.95753277636452</v>
      </c>
      <c r="E208" s="186">
        <f t="shared" si="8"/>
        <v>90.126315709987125</v>
      </c>
      <c r="F208" s="215" t="str">
        <f t="shared" si="9"/>
        <v/>
      </c>
    </row>
    <row r="209" spans="1:6">
      <c r="A209">
        <v>206</v>
      </c>
      <c r="B209" s="46">
        <v>43458</v>
      </c>
      <c r="C209" s="294">
        <v>92.583022409987137</v>
      </c>
      <c r="D209" s="294">
        <v>101.95753277636452</v>
      </c>
      <c r="E209" s="186">
        <f t="shared" si="8"/>
        <v>92.583022409987137</v>
      </c>
      <c r="F209" s="215" t="str">
        <f t="shared" si="9"/>
        <v/>
      </c>
    </row>
    <row r="210" spans="1:6">
      <c r="A210">
        <v>207</v>
      </c>
      <c r="B210" s="46">
        <v>43459</v>
      </c>
      <c r="C210" s="294">
        <v>78.185484777987128</v>
      </c>
      <c r="D210" s="294">
        <v>101.95753277636452</v>
      </c>
      <c r="E210" s="186">
        <f t="shared" si="8"/>
        <v>78.185484777987128</v>
      </c>
      <c r="F210" s="215" t="str">
        <f t="shared" si="9"/>
        <v/>
      </c>
    </row>
    <row r="211" spans="1:6">
      <c r="A211">
        <v>208</v>
      </c>
      <c r="B211" s="46">
        <v>43460</v>
      </c>
      <c r="C211" s="294">
        <v>80.373116800517693</v>
      </c>
      <c r="D211" s="294">
        <v>101.95753277636452</v>
      </c>
      <c r="E211" s="186">
        <f t="shared" si="8"/>
        <v>80.373116800517693</v>
      </c>
      <c r="F211" s="215" t="str">
        <f t="shared" si="9"/>
        <v/>
      </c>
    </row>
    <row r="212" spans="1:6">
      <c r="A212">
        <v>209</v>
      </c>
      <c r="B212" s="46">
        <v>43461</v>
      </c>
      <c r="C212" s="294">
        <v>100.59527395651676</v>
      </c>
      <c r="D212" s="294">
        <v>101.95753277636452</v>
      </c>
      <c r="E212" s="186">
        <f t="shared" si="8"/>
        <v>100.59527395651676</v>
      </c>
      <c r="F212" s="215" t="str">
        <f t="shared" si="9"/>
        <v/>
      </c>
    </row>
    <row r="213" spans="1:6">
      <c r="A213">
        <v>210</v>
      </c>
      <c r="B213" s="46">
        <v>43462</v>
      </c>
      <c r="C213" s="294">
        <v>78.486777536517678</v>
      </c>
      <c r="D213" s="294">
        <v>101.95753277636452</v>
      </c>
      <c r="E213" s="186">
        <f t="shared" si="8"/>
        <v>78.486777536517678</v>
      </c>
      <c r="F213" s="215" t="str">
        <f t="shared" si="9"/>
        <v/>
      </c>
    </row>
    <row r="214" spans="1:6">
      <c r="A214">
        <v>211</v>
      </c>
      <c r="B214" s="46">
        <v>43463</v>
      </c>
      <c r="C214" s="294">
        <v>61.710580186517689</v>
      </c>
      <c r="D214" s="294">
        <v>101.95753277636452</v>
      </c>
      <c r="E214" s="186">
        <f t="shared" si="8"/>
        <v>61.710580186517689</v>
      </c>
      <c r="F214" s="215" t="str">
        <f t="shared" si="9"/>
        <v/>
      </c>
    </row>
    <row r="215" spans="1:6">
      <c r="A215">
        <v>212</v>
      </c>
      <c r="B215" s="46">
        <v>43464</v>
      </c>
      <c r="C215" s="294">
        <v>62.105505364517683</v>
      </c>
      <c r="D215" s="294">
        <v>101.95753277636452</v>
      </c>
      <c r="E215" s="186">
        <f t="shared" si="8"/>
        <v>62.105505364517683</v>
      </c>
      <c r="F215" s="215" t="str">
        <f t="shared" si="9"/>
        <v/>
      </c>
    </row>
    <row r="216" spans="1:6">
      <c r="A216">
        <v>213</v>
      </c>
      <c r="B216" s="46">
        <v>43465</v>
      </c>
      <c r="C216" s="294">
        <v>67.689349472517691</v>
      </c>
      <c r="D216" s="294">
        <v>101.95753277636452</v>
      </c>
      <c r="E216" s="186">
        <f t="shared" si="8"/>
        <v>67.689349472517691</v>
      </c>
      <c r="F216" s="215" t="str">
        <f t="shared" si="9"/>
        <v/>
      </c>
    </row>
    <row r="217" spans="1:6">
      <c r="A217">
        <v>214</v>
      </c>
      <c r="B217" s="46">
        <v>43466</v>
      </c>
      <c r="C217" s="294">
        <v>48.113297146517681</v>
      </c>
      <c r="D217" s="294">
        <v>120.59631724353227</v>
      </c>
      <c r="E217" s="186">
        <f t="shared" si="8"/>
        <v>48.113297146517681</v>
      </c>
      <c r="F217" s="215" t="str">
        <f t="shared" si="9"/>
        <v/>
      </c>
    </row>
    <row r="218" spans="1:6">
      <c r="A218">
        <v>215</v>
      </c>
      <c r="B218" s="46">
        <v>43467</v>
      </c>
      <c r="C218" s="294">
        <v>42.619816521668227</v>
      </c>
      <c r="D218" s="294">
        <v>120.59631724353227</v>
      </c>
      <c r="E218" s="186">
        <f t="shared" si="8"/>
        <v>42.619816521668227</v>
      </c>
      <c r="F218" s="215" t="str">
        <f t="shared" si="9"/>
        <v/>
      </c>
    </row>
    <row r="219" spans="1:6">
      <c r="A219">
        <v>216</v>
      </c>
      <c r="B219" s="46">
        <v>43468</v>
      </c>
      <c r="C219" s="294">
        <v>64.313447971668225</v>
      </c>
      <c r="D219" s="294">
        <v>120.59631724353227</v>
      </c>
      <c r="E219" s="186">
        <f t="shared" si="8"/>
        <v>64.313447971668225</v>
      </c>
      <c r="F219" s="215" t="str">
        <f t="shared" si="9"/>
        <v/>
      </c>
    </row>
    <row r="220" spans="1:6">
      <c r="A220">
        <v>217</v>
      </c>
      <c r="B220" s="46">
        <v>43469</v>
      </c>
      <c r="C220" s="294">
        <v>75.624265243669157</v>
      </c>
      <c r="D220" s="294">
        <v>120.59631724353227</v>
      </c>
      <c r="E220" s="186">
        <f t="shared" si="8"/>
        <v>75.624265243669157</v>
      </c>
      <c r="F220" s="215" t="str">
        <f t="shared" si="9"/>
        <v/>
      </c>
    </row>
    <row r="221" spans="1:6">
      <c r="A221">
        <v>218</v>
      </c>
      <c r="B221" s="46">
        <v>43470</v>
      </c>
      <c r="C221" s="294">
        <v>40.138169683668224</v>
      </c>
      <c r="D221" s="294">
        <v>120.59631724353227</v>
      </c>
      <c r="E221" s="186">
        <f t="shared" si="8"/>
        <v>40.138169683668224</v>
      </c>
      <c r="F221" s="215" t="str">
        <f t="shared" si="9"/>
        <v/>
      </c>
    </row>
    <row r="222" spans="1:6">
      <c r="A222">
        <v>219</v>
      </c>
      <c r="B222" s="46">
        <v>43471</v>
      </c>
      <c r="C222" s="294">
        <v>23.395089041669156</v>
      </c>
      <c r="D222" s="294">
        <v>120.59631724353227</v>
      </c>
      <c r="E222" s="186">
        <f t="shared" si="8"/>
        <v>23.395089041669156</v>
      </c>
      <c r="F222" s="215" t="str">
        <f t="shared" si="9"/>
        <v/>
      </c>
    </row>
    <row r="223" spans="1:6">
      <c r="A223">
        <v>220</v>
      </c>
      <c r="B223" s="46">
        <v>43472</v>
      </c>
      <c r="C223" s="294">
        <v>48.039766631668229</v>
      </c>
      <c r="D223" s="294">
        <v>120.59631724353227</v>
      </c>
      <c r="E223" s="186">
        <f t="shared" si="8"/>
        <v>48.039766631668229</v>
      </c>
      <c r="F223" s="215" t="str">
        <f t="shared" si="9"/>
        <v/>
      </c>
    </row>
    <row r="224" spans="1:6">
      <c r="A224">
        <v>221</v>
      </c>
      <c r="B224" s="46">
        <v>43473</v>
      </c>
      <c r="C224" s="294">
        <v>49.373965037669159</v>
      </c>
      <c r="D224" s="294">
        <v>120.59631724353227</v>
      </c>
      <c r="E224" s="186">
        <f t="shared" si="8"/>
        <v>49.373965037669159</v>
      </c>
      <c r="F224" s="215" t="str">
        <f t="shared" si="9"/>
        <v/>
      </c>
    </row>
    <row r="225" spans="1:7">
      <c r="A225">
        <v>222</v>
      </c>
      <c r="B225" s="46">
        <v>43474</v>
      </c>
      <c r="C225" s="294">
        <v>33.704585509775029</v>
      </c>
      <c r="D225" s="294">
        <v>120.59631724353227</v>
      </c>
      <c r="E225" s="186">
        <f t="shared" si="8"/>
        <v>33.704585509775029</v>
      </c>
      <c r="F225" s="215" t="str">
        <f t="shared" si="9"/>
        <v/>
      </c>
    </row>
    <row r="226" spans="1:7">
      <c r="A226">
        <v>223</v>
      </c>
      <c r="B226" s="46">
        <v>43475</v>
      </c>
      <c r="C226" s="294">
        <v>47.277197803775032</v>
      </c>
      <c r="D226" s="294">
        <v>120.59631724353227</v>
      </c>
      <c r="E226" s="186">
        <f t="shared" si="8"/>
        <v>47.277197803775032</v>
      </c>
      <c r="F226" s="215" t="str">
        <f t="shared" si="9"/>
        <v/>
      </c>
    </row>
    <row r="227" spans="1:7">
      <c r="A227">
        <v>224</v>
      </c>
      <c r="B227" s="46">
        <v>43476</v>
      </c>
      <c r="C227" s="294">
        <v>49.300718171775031</v>
      </c>
      <c r="D227" s="294">
        <v>120.59631724353227</v>
      </c>
      <c r="E227" s="186">
        <f t="shared" si="8"/>
        <v>49.300718171775031</v>
      </c>
      <c r="F227" s="215" t="str">
        <f t="shared" si="9"/>
        <v/>
      </c>
    </row>
    <row r="228" spans="1:7">
      <c r="A228">
        <v>225</v>
      </c>
      <c r="B228" s="46">
        <v>43477</v>
      </c>
      <c r="C228" s="294">
        <v>21.41234182177503</v>
      </c>
      <c r="D228" s="294">
        <v>120.59631724353227</v>
      </c>
      <c r="E228" s="186">
        <f t="shared" si="8"/>
        <v>21.41234182177503</v>
      </c>
      <c r="F228" s="215" t="str">
        <f t="shared" si="9"/>
        <v/>
      </c>
    </row>
    <row r="229" spans="1:7">
      <c r="A229">
        <v>226</v>
      </c>
      <c r="B229" s="46">
        <v>43478</v>
      </c>
      <c r="C229" s="294">
        <v>27.367468911775031</v>
      </c>
      <c r="D229" s="294">
        <v>120.59631724353227</v>
      </c>
      <c r="E229" s="186">
        <f t="shared" si="8"/>
        <v>27.367468911775031</v>
      </c>
      <c r="F229" s="215" t="str">
        <f t="shared" si="9"/>
        <v/>
      </c>
    </row>
    <row r="230" spans="1:7">
      <c r="A230">
        <v>227</v>
      </c>
      <c r="B230" s="46">
        <v>43479</v>
      </c>
      <c r="C230" s="294">
        <v>38.59618624177503</v>
      </c>
      <c r="D230" s="294">
        <v>120.59631724353227</v>
      </c>
      <c r="E230" s="186">
        <f t="shared" si="8"/>
        <v>38.59618624177503</v>
      </c>
      <c r="F230" s="215" t="str">
        <f t="shared" si="9"/>
        <v/>
      </c>
    </row>
    <row r="231" spans="1:7">
      <c r="A231">
        <v>228</v>
      </c>
      <c r="B231" s="46">
        <v>43480</v>
      </c>
      <c r="C231" s="294">
        <v>66.260391331775963</v>
      </c>
      <c r="D231" s="294">
        <v>120.59631724353227</v>
      </c>
      <c r="E231" s="186">
        <f t="shared" si="8"/>
        <v>66.260391331775963</v>
      </c>
      <c r="F231" s="215" t="str">
        <f t="shared" si="9"/>
        <v>E</v>
      </c>
      <c r="G231" s="216">
        <f t="shared" ref="G231" si="10">IF(DAY(B231)=15,D231,"")</f>
        <v>120.59631724353227</v>
      </c>
    </row>
    <row r="232" spans="1:7">
      <c r="A232">
        <v>229</v>
      </c>
      <c r="B232" s="46">
        <v>43481</v>
      </c>
      <c r="C232" s="294">
        <v>57.04045158485799</v>
      </c>
      <c r="D232" s="294">
        <v>120.59631724353227</v>
      </c>
      <c r="E232" s="186">
        <f t="shared" si="8"/>
        <v>57.04045158485799</v>
      </c>
      <c r="F232" s="215" t="str">
        <f t="shared" si="9"/>
        <v/>
      </c>
    </row>
    <row r="233" spans="1:7">
      <c r="A233">
        <v>230</v>
      </c>
      <c r="B233" s="46">
        <v>43482</v>
      </c>
      <c r="C233" s="294">
        <v>47.077626530858922</v>
      </c>
      <c r="D233" s="294">
        <v>120.59631724353227</v>
      </c>
      <c r="E233" s="186">
        <f t="shared" si="8"/>
        <v>47.077626530858922</v>
      </c>
      <c r="F233" s="215" t="str">
        <f t="shared" si="9"/>
        <v/>
      </c>
    </row>
    <row r="234" spans="1:7">
      <c r="A234">
        <v>231</v>
      </c>
      <c r="B234" s="46">
        <v>43483</v>
      </c>
      <c r="C234" s="294">
        <v>75.719266858857978</v>
      </c>
      <c r="D234" s="294">
        <v>120.59631724353227</v>
      </c>
      <c r="E234" s="186">
        <f t="shared" si="8"/>
        <v>75.719266858857978</v>
      </c>
      <c r="F234" s="215" t="str">
        <f t="shared" si="9"/>
        <v/>
      </c>
    </row>
    <row r="235" spans="1:7">
      <c r="A235">
        <v>232</v>
      </c>
      <c r="B235" s="46">
        <v>43484</v>
      </c>
      <c r="C235" s="294">
        <v>43.363908048857994</v>
      </c>
      <c r="D235" s="294">
        <v>120.59631724353227</v>
      </c>
      <c r="E235" s="186">
        <f t="shared" si="8"/>
        <v>43.363908048857994</v>
      </c>
      <c r="F235" s="215" t="str">
        <f t="shared" si="9"/>
        <v/>
      </c>
    </row>
    <row r="236" spans="1:7">
      <c r="A236">
        <v>233</v>
      </c>
      <c r="B236" s="46">
        <v>43485</v>
      </c>
      <c r="C236" s="294">
        <v>21.83003846885892</v>
      </c>
      <c r="D236" s="294">
        <v>120.59631724353227</v>
      </c>
      <c r="E236" s="186">
        <f t="shared" si="8"/>
        <v>21.83003846885892</v>
      </c>
      <c r="F236" s="215" t="str">
        <f t="shared" si="9"/>
        <v/>
      </c>
    </row>
    <row r="237" spans="1:7">
      <c r="A237">
        <v>234</v>
      </c>
      <c r="B237" s="46">
        <v>43486</v>
      </c>
      <c r="C237" s="294">
        <v>65.392766698857983</v>
      </c>
      <c r="D237" s="294">
        <v>120.59631724353227</v>
      </c>
      <c r="E237" s="186">
        <f t="shared" si="8"/>
        <v>65.392766698857983</v>
      </c>
      <c r="F237" s="215" t="str">
        <f t="shared" si="9"/>
        <v/>
      </c>
    </row>
    <row r="238" spans="1:7">
      <c r="A238">
        <v>235</v>
      </c>
      <c r="B238" s="46">
        <v>43487</v>
      </c>
      <c r="C238" s="294">
        <v>50.397212048858911</v>
      </c>
      <c r="D238" s="294">
        <v>120.59631724353227</v>
      </c>
      <c r="E238" s="186">
        <f t="shared" si="8"/>
        <v>50.397212048858911</v>
      </c>
      <c r="F238" s="215" t="str">
        <f t="shared" si="9"/>
        <v/>
      </c>
    </row>
    <row r="239" spans="1:7">
      <c r="A239">
        <v>236</v>
      </c>
      <c r="B239" s="46">
        <v>43488</v>
      </c>
      <c r="C239" s="294">
        <v>86.926067344620051</v>
      </c>
      <c r="D239" s="294">
        <v>120.59631724353227</v>
      </c>
      <c r="E239" s="186">
        <f t="shared" si="8"/>
        <v>86.926067344620051</v>
      </c>
      <c r="F239" s="215" t="str">
        <f t="shared" si="9"/>
        <v/>
      </c>
    </row>
    <row r="240" spans="1:7">
      <c r="A240">
        <v>237</v>
      </c>
      <c r="B240" s="46">
        <v>43489</v>
      </c>
      <c r="C240" s="294">
        <v>94.078569926620986</v>
      </c>
      <c r="D240" s="294">
        <v>120.59631724353227</v>
      </c>
      <c r="E240" s="186">
        <f t="shared" si="8"/>
        <v>94.078569926620986</v>
      </c>
      <c r="F240" s="215" t="str">
        <f t="shared" si="9"/>
        <v/>
      </c>
    </row>
    <row r="241" spans="1:6">
      <c r="A241">
        <v>238</v>
      </c>
      <c r="B241" s="46">
        <v>43490</v>
      </c>
      <c r="C241" s="294">
        <v>99.235658760620055</v>
      </c>
      <c r="D241" s="294">
        <v>120.59631724353227</v>
      </c>
      <c r="E241" s="186">
        <f t="shared" si="8"/>
        <v>99.235658760620055</v>
      </c>
      <c r="F241" s="215" t="str">
        <f t="shared" si="9"/>
        <v/>
      </c>
    </row>
    <row r="242" spans="1:6">
      <c r="A242">
        <v>239</v>
      </c>
      <c r="B242" s="46">
        <v>43491</v>
      </c>
      <c r="C242" s="294">
        <v>91.517316510620049</v>
      </c>
      <c r="D242" s="294">
        <v>120.59631724353227</v>
      </c>
      <c r="E242" s="186">
        <f t="shared" si="8"/>
        <v>91.517316510620049</v>
      </c>
      <c r="F242" s="215" t="str">
        <f t="shared" si="9"/>
        <v/>
      </c>
    </row>
    <row r="243" spans="1:6">
      <c r="A243">
        <v>240</v>
      </c>
      <c r="B243" s="46">
        <v>43492</v>
      </c>
      <c r="C243" s="294">
        <v>77.204728650620993</v>
      </c>
      <c r="D243" s="294">
        <v>120.59631724353227</v>
      </c>
      <c r="E243" s="186">
        <f t="shared" si="8"/>
        <v>77.204728650620993</v>
      </c>
      <c r="F243" s="215" t="str">
        <f t="shared" si="9"/>
        <v/>
      </c>
    </row>
    <row r="244" spans="1:6">
      <c r="A244">
        <v>241</v>
      </c>
      <c r="B244" s="46">
        <v>43493</v>
      </c>
      <c r="C244" s="294">
        <v>98.923464460620039</v>
      </c>
      <c r="D244" s="294">
        <v>120.59631724353227</v>
      </c>
      <c r="E244" s="186">
        <f t="shared" si="8"/>
        <v>98.923464460620039</v>
      </c>
      <c r="F244" s="215" t="str">
        <f t="shared" si="9"/>
        <v/>
      </c>
    </row>
    <row r="245" spans="1:6">
      <c r="A245">
        <v>242</v>
      </c>
      <c r="B245" s="46">
        <v>43494</v>
      </c>
      <c r="C245" s="294">
        <v>101.44524273062005</v>
      </c>
      <c r="D245" s="294">
        <v>120.59631724353227</v>
      </c>
      <c r="E245" s="186">
        <f t="shared" si="8"/>
        <v>101.44524273062005</v>
      </c>
      <c r="F245" s="215" t="str">
        <f t="shared" si="9"/>
        <v/>
      </c>
    </row>
    <row r="246" spans="1:6">
      <c r="A246">
        <v>243</v>
      </c>
      <c r="B246" s="46">
        <v>43495</v>
      </c>
      <c r="C246" s="294">
        <v>167.32214358214841</v>
      </c>
      <c r="D246" s="294">
        <v>120.59631724353227</v>
      </c>
      <c r="E246" s="186">
        <f t="shared" si="8"/>
        <v>120.59631724353227</v>
      </c>
      <c r="F246" s="215" t="str">
        <f t="shared" si="9"/>
        <v/>
      </c>
    </row>
    <row r="247" spans="1:6">
      <c r="A247">
        <v>244</v>
      </c>
      <c r="B247" s="46">
        <v>43496</v>
      </c>
      <c r="C247" s="294">
        <v>172.56405617015773</v>
      </c>
      <c r="D247" s="294">
        <v>120.59631724353227</v>
      </c>
      <c r="E247" s="186">
        <f t="shared" si="8"/>
        <v>120.59631724353227</v>
      </c>
      <c r="F247" s="215" t="str">
        <f t="shared" si="9"/>
        <v/>
      </c>
    </row>
    <row r="248" spans="1:6">
      <c r="A248">
        <v>245</v>
      </c>
      <c r="B248" s="46">
        <v>43497</v>
      </c>
      <c r="C248" s="294">
        <v>185.55380824014654</v>
      </c>
      <c r="D248" s="294">
        <v>120.04142913099631</v>
      </c>
      <c r="E248" s="186">
        <f t="shared" si="8"/>
        <v>120.04142913099631</v>
      </c>
      <c r="F248" s="215" t="str">
        <f t="shared" si="9"/>
        <v/>
      </c>
    </row>
    <row r="249" spans="1:6">
      <c r="A249">
        <v>246</v>
      </c>
      <c r="B249" s="46">
        <v>43498</v>
      </c>
      <c r="C249" s="294">
        <v>185.54341329814844</v>
      </c>
      <c r="D249" s="294">
        <v>120.04142913099631</v>
      </c>
      <c r="E249" s="186">
        <f t="shared" si="8"/>
        <v>120.04142913099631</v>
      </c>
      <c r="F249" s="215" t="str">
        <f t="shared" si="9"/>
        <v/>
      </c>
    </row>
    <row r="250" spans="1:6">
      <c r="A250">
        <v>247</v>
      </c>
      <c r="B250" s="46">
        <v>43499</v>
      </c>
      <c r="C250" s="294">
        <v>184.93688635014843</v>
      </c>
      <c r="D250" s="294">
        <v>120.04142913099631</v>
      </c>
      <c r="E250" s="186">
        <f t="shared" si="8"/>
        <v>120.04142913099631</v>
      </c>
      <c r="F250" s="215" t="str">
        <f t="shared" si="9"/>
        <v/>
      </c>
    </row>
    <row r="251" spans="1:6">
      <c r="A251">
        <v>248</v>
      </c>
      <c r="B251" s="46">
        <v>43500</v>
      </c>
      <c r="C251" s="294">
        <v>193.98394959414841</v>
      </c>
      <c r="D251" s="294">
        <v>120.04142913099631</v>
      </c>
      <c r="E251" s="186">
        <f t="shared" si="8"/>
        <v>120.04142913099631</v>
      </c>
      <c r="F251" s="215" t="str">
        <f t="shared" si="9"/>
        <v/>
      </c>
    </row>
    <row r="252" spans="1:6">
      <c r="A252">
        <v>249</v>
      </c>
      <c r="B252" s="46">
        <v>43501</v>
      </c>
      <c r="C252" s="294">
        <v>194.63379708214842</v>
      </c>
      <c r="D252" s="294">
        <v>120.04142913099631</v>
      </c>
      <c r="E252" s="186">
        <f t="shared" si="8"/>
        <v>120.04142913099631</v>
      </c>
      <c r="F252" s="215" t="str">
        <f t="shared" si="9"/>
        <v/>
      </c>
    </row>
    <row r="253" spans="1:6">
      <c r="A253">
        <v>250</v>
      </c>
      <c r="B253" s="46">
        <v>43502</v>
      </c>
      <c r="C253" s="294">
        <v>141.24407143784808</v>
      </c>
      <c r="D253" s="294">
        <v>120.04142913099631</v>
      </c>
      <c r="E253" s="186">
        <f t="shared" si="8"/>
        <v>120.04142913099631</v>
      </c>
      <c r="F253" s="215" t="str">
        <f t="shared" si="9"/>
        <v/>
      </c>
    </row>
    <row r="254" spans="1:6">
      <c r="A254">
        <v>251</v>
      </c>
      <c r="B254" s="46">
        <v>43503</v>
      </c>
      <c r="C254" s="294">
        <v>141.98757405784806</v>
      </c>
      <c r="D254" s="294">
        <v>120.04142913099631</v>
      </c>
      <c r="E254" s="186">
        <f t="shared" si="8"/>
        <v>120.04142913099631</v>
      </c>
      <c r="F254" s="215" t="str">
        <f t="shared" si="9"/>
        <v/>
      </c>
    </row>
    <row r="255" spans="1:6">
      <c r="A255">
        <v>252</v>
      </c>
      <c r="B255" s="46">
        <v>43504</v>
      </c>
      <c r="C255" s="294">
        <v>133.18402521984808</v>
      </c>
      <c r="D255" s="294">
        <v>120.04142913099631</v>
      </c>
      <c r="E255" s="186">
        <f t="shared" si="8"/>
        <v>120.04142913099631</v>
      </c>
      <c r="F255" s="215" t="str">
        <f t="shared" si="9"/>
        <v/>
      </c>
    </row>
    <row r="256" spans="1:6">
      <c r="A256">
        <v>253</v>
      </c>
      <c r="B256" s="46">
        <v>43505</v>
      </c>
      <c r="C256" s="294">
        <v>125.94839746984809</v>
      </c>
      <c r="D256" s="294">
        <v>120.04142913099631</v>
      </c>
      <c r="E256" s="186">
        <f t="shared" si="8"/>
        <v>120.04142913099631</v>
      </c>
      <c r="F256" s="215" t="str">
        <f t="shared" si="9"/>
        <v/>
      </c>
    </row>
    <row r="257" spans="1:7">
      <c r="A257">
        <v>254</v>
      </c>
      <c r="B257" s="46">
        <v>43506</v>
      </c>
      <c r="C257" s="294">
        <v>114.23968854384995</v>
      </c>
      <c r="D257" s="294">
        <v>120.04142913099631</v>
      </c>
      <c r="E257" s="186">
        <f t="shared" si="8"/>
        <v>114.23968854384995</v>
      </c>
      <c r="F257" s="215" t="str">
        <f t="shared" si="9"/>
        <v/>
      </c>
    </row>
    <row r="258" spans="1:7">
      <c r="A258">
        <v>255</v>
      </c>
      <c r="B258" s="46">
        <v>43507</v>
      </c>
      <c r="C258" s="294">
        <v>123.23415218384808</v>
      </c>
      <c r="D258" s="294">
        <v>120.04142913099631</v>
      </c>
      <c r="E258" s="186">
        <f t="shared" si="8"/>
        <v>120.04142913099631</v>
      </c>
      <c r="F258" s="215" t="str">
        <f t="shared" si="9"/>
        <v/>
      </c>
    </row>
    <row r="259" spans="1:7">
      <c r="A259">
        <v>256</v>
      </c>
      <c r="B259" s="46">
        <v>43508</v>
      </c>
      <c r="C259" s="294">
        <v>139.96216425384807</v>
      </c>
      <c r="D259" s="294">
        <v>120.04142913099631</v>
      </c>
      <c r="E259" s="186">
        <f t="shared" si="8"/>
        <v>120.04142913099631</v>
      </c>
      <c r="F259" s="215" t="str">
        <f t="shared" si="9"/>
        <v/>
      </c>
    </row>
    <row r="260" spans="1:7">
      <c r="A260">
        <v>257</v>
      </c>
      <c r="B260" s="46">
        <v>43509</v>
      </c>
      <c r="C260" s="294">
        <v>120.50735569644542</v>
      </c>
      <c r="D260" s="294">
        <v>120.04142913099631</v>
      </c>
      <c r="E260" s="186">
        <f t="shared" ref="E260:E323" si="11">IF(C260&lt;D260,C260,D260)</f>
        <v>120.04142913099631</v>
      </c>
      <c r="F260" s="215" t="str">
        <f t="shared" ref="F260:F323" si="12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43510</v>
      </c>
      <c r="C261" s="294">
        <v>103.61933332644728</v>
      </c>
      <c r="D261" s="294">
        <v>120.04142913099631</v>
      </c>
      <c r="E261" s="186">
        <f t="shared" si="11"/>
        <v>103.61933332644728</v>
      </c>
      <c r="F261" s="215" t="str">
        <f t="shared" si="12"/>
        <v/>
      </c>
    </row>
    <row r="262" spans="1:7">
      <c r="A262">
        <v>259</v>
      </c>
      <c r="B262" s="46">
        <v>43511</v>
      </c>
      <c r="C262" s="294">
        <v>107.91993847844542</v>
      </c>
      <c r="D262" s="294">
        <v>120.04142913099631</v>
      </c>
      <c r="E262" s="186">
        <f t="shared" si="11"/>
        <v>107.91993847844542</v>
      </c>
      <c r="F262" s="215" t="str">
        <f t="shared" si="12"/>
        <v>F</v>
      </c>
      <c r="G262" s="216">
        <f t="shared" ref="G262:G321" si="13">IF(DAY(B262)=15,D262,"")</f>
        <v>120.04142913099631</v>
      </c>
    </row>
    <row r="263" spans="1:7">
      <c r="A263">
        <v>260</v>
      </c>
      <c r="B263" s="46">
        <v>43512</v>
      </c>
      <c r="C263" s="294">
        <v>94.657826232447277</v>
      </c>
      <c r="D263" s="294">
        <v>120.04142913099631</v>
      </c>
      <c r="E263" s="186">
        <f t="shared" si="11"/>
        <v>94.657826232447277</v>
      </c>
      <c r="F263" s="215" t="str">
        <f t="shared" si="12"/>
        <v/>
      </c>
    </row>
    <row r="264" spans="1:7">
      <c r="A264">
        <v>261</v>
      </c>
      <c r="B264" s="46">
        <v>43513</v>
      </c>
      <c r="C264" s="294">
        <v>84.414197128447285</v>
      </c>
      <c r="D264" s="294">
        <v>120.04142913099631</v>
      </c>
      <c r="E264" s="186">
        <f t="shared" si="11"/>
        <v>84.414197128447285</v>
      </c>
      <c r="F264" s="215" t="str">
        <f t="shared" si="12"/>
        <v/>
      </c>
    </row>
    <row r="265" spans="1:7">
      <c r="A265">
        <v>262</v>
      </c>
      <c r="B265" s="46">
        <v>43514</v>
      </c>
      <c r="C265" s="294">
        <v>109.91337516244728</v>
      </c>
      <c r="D265" s="294">
        <v>120.04142913099631</v>
      </c>
      <c r="E265" s="186">
        <f t="shared" si="11"/>
        <v>109.91337516244728</v>
      </c>
      <c r="F265" s="215" t="str">
        <f t="shared" si="12"/>
        <v/>
      </c>
    </row>
    <row r="266" spans="1:7">
      <c r="A266">
        <v>263</v>
      </c>
      <c r="B266" s="46">
        <v>43515</v>
      </c>
      <c r="C266" s="294">
        <v>119.44001481844542</v>
      </c>
      <c r="D266" s="294">
        <v>120.04142913099631</v>
      </c>
      <c r="E266" s="186">
        <f t="shared" si="11"/>
        <v>119.44001481844542</v>
      </c>
      <c r="F266" s="215" t="str">
        <f t="shared" si="12"/>
        <v/>
      </c>
    </row>
    <row r="267" spans="1:7">
      <c r="A267">
        <v>264</v>
      </c>
      <c r="B267" s="46">
        <v>43516</v>
      </c>
      <c r="C267" s="294">
        <v>87.654566587945766</v>
      </c>
      <c r="D267" s="294">
        <v>120.04142913099631</v>
      </c>
      <c r="E267" s="186">
        <f t="shared" si="11"/>
        <v>87.654566587945766</v>
      </c>
      <c r="F267" s="215" t="str">
        <f t="shared" si="12"/>
        <v/>
      </c>
    </row>
    <row r="268" spans="1:7">
      <c r="A268">
        <v>265</v>
      </c>
      <c r="B268" s="46">
        <v>43517</v>
      </c>
      <c r="C268" s="294">
        <v>79.100640777947632</v>
      </c>
      <c r="D268" s="294">
        <v>120.04142913099631</v>
      </c>
      <c r="E268" s="186">
        <f t="shared" si="11"/>
        <v>79.100640777947632</v>
      </c>
      <c r="F268" s="215" t="str">
        <f t="shared" si="12"/>
        <v/>
      </c>
    </row>
    <row r="269" spans="1:7">
      <c r="A269">
        <v>266</v>
      </c>
      <c r="B269" s="46">
        <v>43518</v>
      </c>
      <c r="C269" s="294">
        <v>75.29656747794948</v>
      </c>
      <c r="D269" s="294">
        <v>120.04142913099631</v>
      </c>
      <c r="E269" s="186">
        <f t="shared" si="11"/>
        <v>75.29656747794948</v>
      </c>
      <c r="F269" s="215" t="str">
        <f t="shared" si="12"/>
        <v/>
      </c>
    </row>
    <row r="270" spans="1:7">
      <c r="A270">
        <v>267</v>
      </c>
      <c r="B270" s="46">
        <v>43519</v>
      </c>
      <c r="C270" s="294">
        <v>64.67373701394763</v>
      </c>
      <c r="D270" s="294">
        <v>120.04142913099631</v>
      </c>
      <c r="E270" s="186">
        <f t="shared" si="11"/>
        <v>64.67373701394763</v>
      </c>
      <c r="F270" s="215" t="str">
        <f t="shared" si="12"/>
        <v/>
      </c>
    </row>
    <row r="271" spans="1:7">
      <c r="A271">
        <v>268</v>
      </c>
      <c r="B271" s="46">
        <v>43520</v>
      </c>
      <c r="C271" s="294">
        <v>66.547907371945769</v>
      </c>
      <c r="D271" s="294">
        <v>120.04142913099631</v>
      </c>
      <c r="E271" s="186">
        <f t="shared" si="11"/>
        <v>66.547907371945769</v>
      </c>
      <c r="F271" s="215" t="str">
        <f t="shared" si="12"/>
        <v/>
      </c>
    </row>
    <row r="272" spans="1:7">
      <c r="A272">
        <v>269</v>
      </c>
      <c r="B272" s="46">
        <v>43521</v>
      </c>
      <c r="C272" s="294">
        <v>91.929126957949492</v>
      </c>
      <c r="D272" s="294">
        <v>120.04142913099631</v>
      </c>
      <c r="E272" s="186">
        <f t="shared" si="11"/>
        <v>91.929126957949492</v>
      </c>
      <c r="F272" s="215" t="str">
        <f t="shared" si="12"/>
        <v/>
      </c>
    </row>
    <row r="273" spans="1:6">
      <c r="A273">
        <v>270</v>
      </c>
      <c r="B273" s="46">
        <v>43522</v>
      </c>
      <c r="C273" s="294">
        <v>75.529221327947624</v>
      </c>
      <c r="D273" s="294">
        <v>120.04142913099631</v>
      </c>
      <c r="E273" s="186">
        <f t="shared" si="11"/>
        <v>75.529221327947624</v>
      </c>
      <c r="F273" s="215" t="str">
        <f t="shared" si="12"/>
        <v/>
      </c>
    </row>
    <row r="274" spans="1:6">
      <c r="A274">
        <v>271</v>
      </c>
      <c r="B274" s="46">
        <v>43523</v>
      </c>
      <c r="C274" s="294">
        <v>69.289263910232478</v>
      </c>
      <c r="D274" s="294">
        <v>120.04142913099631</v>
      </c>
      <c r="E274" s="186">
        <f t="shared" si="11"/>
        <v>69.289263910232478</v>
      </c>
      <c r="F274" s="215" t="str">
        <f t="shared" si="12"/>
        <v/>
      </c>
    </row>
    <row r="275" spans="1:6">
      <c r="A275">
        <v>272</v>
      </c>
      <c r="B275" s="46">
        <v>43524</v>
      </c>
      <c r="C275" s="294">
        <v>63.050286326230605</v>
      </c>
      <c r="D275" s="294">
        <v>120.04142913099631</v>
      </c>
      <c r="E275" s="186">
        <f t="shared" si="11"/>
        <v>63.050286326230605</v>
      </c>
      <c r="F275" s="215" t="str">
        <f t="shared" si="12"/>
        <v/>
      </c>
    </row>
    <row r="276" spans="1:6">
      <c r="A276">
        <v>273</v>
      </c>
      <c r="B276" s="46">
        <v>43525</v>
      </c>
      <c r="C276" s="294">
        <v>70.277278594230609</v>
      </c>
      <c r="D276" s="294">
        <v>132.90693384979679</v>
      </c>
      <c r="E276" s="186">
        <f t="shared" si="11"/>
        <v>70.277278594230609</v>
      </c>
      <c r="F276" s="215" t="str">
        <f t="shared" si="12"/>
        <v/>
      </c>
    </row>
    <row r="277" spans="1:6">
      <c r="A277">
        <v>274</v>
      </c>
      <c r="B277" s="46">
        <v>43526</v>
      </c>
      <c r="C277" s="294">
        <v>55.063279526230609</v>
      </c>
      <c r="D277" s="294">
        <v>132.90693384979679</v>
      </c>
      <c r="E277" s="186">
        <f t="shared" si="11"/>
        <v>55.063279526230609</v>
      </c>
      <c r="F277" s="215" t="str">
        <f t="shared" si="12"/>
        <v/>
      </c>
    </row>
    <row r="278" spans="1:6">
      <c r="A278">
        <v>275</v>
      </c>
      <c r="B278" s="46">
        <v>43527</v>
      </c>
      <c r="C278" s="294">
        <v>40.958432326230607</v>
      </c>
      <c r="D278" s="294">
        <v>132.90693384979679</v>
      </c>
      <c r="E278" s="186">
        <f t="shared" si="11"/>
        <v>40.958432326230607</v>
      </c>
      <c r="F278" s="215" t="str">
        <f t="shared" si="12"/>
        <v/>
      </c>
    </row>
    <row r="279" spans="1:6">
      <c r="A279">
        <v>276</v>
      </c>
      <c r="B279" s="46">
        <v>43528</v>
      </c>
      <c r="C279" s="294">
        <v>48.805438076230608</v>
      </c>
      <c r="D279" s="294">
        <v>132.90693384979679</v>
      </c>
      <c r="E279" s="186">
        <f t="shared" si="11"/>
        <v>48.805438076230608</v>
      </c>
      <c r="F279" s="215" t="str">
        <f t="shared" si="12"/>
        <v/>
      </c>
    </row>
    <row r="280" spans="1:6">
      <c r="A280">
        <v>277</v>
      </c>
      <c r="B280" s="46">
        <v>43529</v>
      </c>
      <c r="C280" s="294">
        <v>50.547411536228744</v>
      </c>
      <c r="D280" s="294">
        <v>132.90693384979679</v>
      </c>
      <c r="E280" s="186">
        <f t="shared" si="11"/>
        <v>50.547411536228744</v>
      </c>
      <c r="F280" s="215" t="str">
        <f t="shared" si="12"/>
        <v/>
      </c>
    </row>
    <row r="281" spans="1:6">
      <c r="A281">
        <v>278</v>
      </c>
      <c r="B281" s="46">
        <v>43530</v>
      </c>
      <c r="C281" s="294">
        <v>97.01271852355444</v>
      </c>
      <c r="D281" s="294">
        <v>132.90693384979679</v>
      </c>
      <c r="E281" s="186">
        <f t="shared" si="11"/>
        <v>97.01271852355444</v>
      </c>
      <c r="F281" s="215" t="str">
        <f t="shared" si="12"/>
        <v/>
      </c>
    </row>
    <row r="282" spans="1:6">
      <c r="A282">
        <v>279</v>
      </c>
      <c r="B282" s="46">
        <v>43531</v>
      </c>
      <c r="C282" s="294">
        <v>113.77196696755446</v>
      </c>
      <c r="D282" s="294">
        <v>132.90693384979679</v>
      </c>
      <c r="E282" s="186">
        <f t="shared" si="11"/>
        <v>113.77196696755446</v>
      </c>
      <c r="F282" s="215" t="str">
        <f t="shared" si="12"/>
        <v/>
      </c>
    </row>
    <row r="283" spans="1:6">
      <c r="A283">
        <v>280</v>
      </c>
      <c r="B283" s="46">
        <v>43532</v>
      </c>
      <c r="C283" s="294">
        <v>134.49824530355446</v>
      </c>
      <c r="D283" s="294">
        <v>132.90693384979679</v>
      </c>
      <c r="E283" s="186">
        <f t="shared" si="11"/>
        <v>132.90693384979679</v>
      </c>
      <c r="F283" s="215" t="str">
        <f t="shared" si="12"/>
        <v/>
      </c>
    </row>
    <row r="284" spans="1:6">
      <c r="A284">
        <v>281</v>
      </c>
      <c r="B284" s="46">
        <v>43533</v>
      </c>
      <c r="C284" s="294">
        <v>133.48379254355444</v>
      </c>
      <c r="D284" s="294">
        <v>132.90693384979679</v>
      </c>
      <c r="E284" s="186">
        <f t="shared" si="11"/>
        <v>132.90693384979679</v>
      </c>
      <c r="F284" s="215" t="str">
        <f t="shared" si="12"/>
        <v/>
      </c>
    </row>
    <row r="285" spans="1:6">
      <c r="A285">
        <v>282</v>
      </c>
      <c r="B285" s="46">
        <v>43534</v>
      </c>
      <c r="C285" s="294">
        <v>106.05562519355446</v>
      </c>
      <c r="D285" s="294">
        <v>132.90693384979679</v>
      </c>
      <c r="E285" s="186">
        <f t="shared" si="11"/>
        <v>106.05562519355446</v>
      </c>
      <c r="F285" s="215" t="str">
        <f t="shared" si="12"/>
        <v/>
      </c>
    </row>
    <row r="286" spans="1:6">
      <c r="A286">
        <v>283</v>
      </c>
      <c r="B286" s="46">
        <v>43535</v>
      </c>
      <c r="C286" s="294">
        <v>131.23816403755447</v>
      </c>
      <c r="D286" s="294">
        <v>132.90693384979679</v>
      </c>
      <c r="E286" s="186">
        <f t="shared" si="11"/>
        <v>131.23816403755447</v>
      </c>
      <c r="F286" s="215" t="str">
        <f t="shared" si="12"/>
        <v/>
      </c>
    </row>
    <row r="287" spans="1:6">
      <c r="A287">
        <v>284</v>
      </c>
      <c r="B287" s="46">
        <v>43536</v>
      </c>
      <c r="C287" s="294">
        <v>122.21529737355259</v>
      </c>
      <c r="D287" s="294">
        <v>132.90693384979679</v>
      </c>
      <c r="E287" s="186">
        <f t="shared" si="11"/>
        <v>122.21529737355259</v>
      </c>
      <c r="F287" s="215" t="str">
        <f t="shared" si="12"/>
        <v/>
      </c>
    </row>
    <row r="288" spans="1:6">
      <c r="A288">
        <v>285</v>
      </c>
      <c r="B288" s="46">
        <v>43537</v>
      </c>
      <c r="C288" s="294">
        <v>66.401825921277947</v>
      </c>
      <c r="D288" s="294">
        <v>132.90693384979679</v>
      </c>
      <c r="E288" s="186">
        <f t="shared" si="11"/>
        <v>66.401825921277947</v>
      </c>
      <c r="F288" s="215" t="str">
        <f t="shared" si="12"/>
        <v/>
      </c>
    </row>
    <row r="289" spans="1:7">
      <c r="A289">
        <v>286</v>
      </c>
      <c r="B289" s="46">
        <v>43538</v>
      </c>
      <c r="C289" s="294">
        <v>83.578813791277952</v>
      </c>
      <c r="D289" s="294">
        <v>132.90693384979679</v>
      </c>
      <c r="E289" s="186">
        <f t="shared" si="11"/>
        <v>83.578813791277952</v>
      </c>
      <c r="F289" s="215" t="str">
        <f t="shared" si="12"/>
        <v/>
      </c>
    </row>
    <row r="290" spans="1:7">
      <c r="A290">
        <v>287</v>
      </c>
      <c r="B290" s="46">
        <v>43539</v>
      </c>
      <c r="C290" s="294">
        <v>97.28867130127982</v>
      </c>
      <c r="D290" s="294">
        <v>132.90693384979679</v>
      </c>
      <c r="E290" s="186">
        <f t="shared" si="11"/>
        <v>97.28867130127982</v>
      </c>
      <c r="F290" s="215" t="str">
        <f t="shared" si="12"/>
        <v>M</v>
      </c>
      <c r="G290" s="216">
        <f t="shared" si="13"/>
        <v>132.90693384979679</v>
      </c>
    </row>
    <row r="291" spans="1:7">
      <c r="A291">
        <v>288</v>
      </c>
      <c r="B291" s="46">
        <v>43540</v>
      </c>
      <c r="C291" s="294">
        <v>74.691771641277953</v>
      </c>
      <c r="D291" s="294">
        <v>132.90693384979679</v>
      </c>
      <c r="E291" s="186">
        <f t="shared" si="11"/>
        <v>74.691771641277953</v>
      </c>
      <c r="F291" s="215" t="str">
        <f t="shared" si="12"/>
        <v/>
      </c>
    </row>
    <row r="292" spans="1:7">
      <c r="A292">
        <v>289</v>
      </c>
      <c r="B292" s="46">
        <v>43541</v>
      </c>
      <c r="C292" s="294">
        <v>41.066370621277947</v>
      </c>
      <c r="D292" s="294">
        <v>132.90693384979679</v>
      </c>
      <c r="E292" s="186">
        <f t="shared" si="11"/>
        <v>41.066370621277947</v>
      </c>
      <c r="F292" s="215" t="str">
        <f t="shared" si="12"/>
        <v/>
      </c>
    </row>
    <row r="293" spans="1:7">
      <c r="A293">
        <v>290</v>
      </c>
      <c r="B293" s="46">
        <v>43542</v>
      </c>
      <c r="C293" s="294">
        <v>61.15964948127796</v>
      </c>
      <c r="D293" s="294">
        <v>132.90693384979679</v>
      </c>
      <c r="E293" s="186">
        <f t="shared" si="11"/>
        <v>61.15964948127796</v>
      </c>
      <c r="F293" s="215" t="str">
        <f t="shared" si="12"/>
        <v/>
      </c>
    </row>
    <row r="294" spans="1:7">
      <c r="A294">
        <v>291</v>
      </c>
      <c r="B294" s="46">
        <v>43543</v>
      </c>
      <c r="C294" s="294">
        <v>61.975206013277955</v>
      </c>
      <c r="D294" s="294">
        <v>132.90693384979679</v>
      </c>
      <c r="E294" s="186">
        <f t="shared" si="11"/>
        <v>61.975206013277955</v>
      </c>
      <c r="F294" s="215" t="str">
        <f t="shared" si="12"/>
        <v/>
      </c>
    </row>
    <row r="295" spans="1:7">
      <c r="A295">
        <v>292</v>
      </c>
      <c r="B295" s="46">
        <v>43544</v>
      </c>
      <c r="C295" s="294">
        <v>59.04501076469046</v>
      </c>
      <c r="D295" s="294">
        <v>132.90693384979679</v>
      </c>
      <c r="E295" s="186">
        <f t="shared" si="11"/>
        <v>59.04501076469046</v>
      </c>
      <c r="F295" s="215" t="str">
        <f t="shared" si="12"/>
        <v/>
      </c>
    </row>
    <row r="296" spans="1:7">
      <c r="A296">
        <v>293</v>
      </c>
      <c r="B296" s="46">
        <v>43545</v>
      </c>
      <c r="C296" s="294">
        <v>74.889885428690448</v>
      </c>
      <c r="D296" s="294">
        <v>132.90693384979679</v>
      </c>
      <c r="E296" s="186">
        <f t="shared" si="11"/>
        <v>74.889885428690448</v>
      </c>
      <c r="F296" s="215" t="str">
        <f t="shared" si="12"/>
        <v/>
      </c>
    </row>
    <row r="297" spans="1:7">
      <c r="A297">
        <v>294</v>
      </c>
      <c r="B297" s="46">
        <v>43546</v>
      </c>
      <c r="C297" s="294">
        <v>98.914973132690463</v>
      </c>
      <c r="D297" s="294">
        <v>132.90693384979679</v>
      </c>
      <c r="E297" s="186">
        <f t="shared" si="11"/>
        <v>98.914973132690463</v>
      </c>
      <c r="F297" s="215" t="str">
        <f t="shared" si="12"/>
        <v/>
      </c>
    </row>
    <row r="298" spans="1:7">
      <c r="A298">
        <v>295</v>
      </c>
      <c r="B298" s="46">
        <v>43547</v>
      </c>
      <c r="C298" s="294">
        <v>68.305593472692308</v>
      </c>
      <c r="D298" s="294">
        <v>132.90693384979679</v>
      </c>
      <c r="E298" s="186">
        <f t="shared" si="11"/>
        <v>68.305593472692308</v>
      </c>
      <c r="F298" s="215" t="str">
        <f t="shared" si="12"/>
        <v/>
      </c>
    </row>
    <row r="299" spans="1:7">
      <c r="A299">
        <v>296</v>
      </c>
      <c r="B299" s="46">
        <v>43548</v>
      </c>
      <c r="C299" s="294">
        <v>41.294560642690456</v>
      </c>
      <c r="D299" s="294">
        <v>132.90693384979679</v>
      </c>
      <c r="E299" s="186">
        <f t="shared" si="11"/>
        <v>41.294560642690456</v>
      </c>
      <c r="F299" s="215" t="str">
        <f t="shared" si="12"/>
        <v/>
      </c>
    </row>
    <row r="300" spans="1:7">
      <c r="A300">
        <v>297</v>
      </c>
      <c r="B300" s="46">
        <v>43549</v>
      </c>
      <c r="C300" s="294">
        <v>42.070215022690455</v>
      </c>
      <c r="D300" s="294">
        <v>132.90693384979679</v>
      </c>
      <c r="E300" s="186">
        <f t="shared" si="11"/>
        <v>42.070215022690455</v>
      </c>
      <c r="F300" s="215" t="str">
        <f t="shared" si="12"/>
        <v/>
      </c>
    </row>
    <row r="301" spans="1:7">
      <c r="A301">
        <v>298</v>
      </c>
      <c r="B301" s="46">
        <v>43550</v>
      </c>
      <c r="C301" s="294">
        <v>37.89081406269046</v>
      </c>
      <c r="D301" s="294">
        <v>132.90693384979679</v>
      </c>
      <c r="E301" s="186">
        <f t="shared" si="11"/>
        <v>37.89081406269046</v>
      </c>
      <c r="F301" s="215" t="str">
        <f t="shared" si="12"/>
        <v/>
      </c>
    </row>
    <row r="302" spans="1:7">
      <c r="A302">
        <v>299</v>
      </c>
      <c r="B302" s="46">
        <v>43551</v>
      </c>
      <c r="C302" s="294">
        <v>39.164603627379492</v>
      </c>
      <c r="D302" s="294">
        <v>132.90693384979679</v>
      </c>
      <c r="E302" s="186">
        <f t="shared" si="11"/>
        <v>39.164603627379492</v>
      </c>
      <c r="F302" s="215" t="str">
        <f t="shared" si="12"/>
        <v/>
      </c>
    </row>
    <row r="303" spans="1:7">
      <c r="A303">
        <v>300</v>
      </c>
      <c r="B303" s="46">
        <v>43552</v>
      </c>
      <c r="C303" s="294">
        <v>50.549527553381346</v>
      </c>
      <c r="D303" s="294">
        <v>132.90693384979679</v>
      </c>
      <c r="E303" s="186">
        <f t="shared" si="11"/>
        <v>50.549527553381346</v>
      </c>
      <c r="F303" s="215" t="str">
        <f t="shared" si="12"/>
        <v/>
      </c>
    </row>
    <row r="304" spans="1:7">
      <c r="A304">
        <v>301</v>
      </c>
      <c r="B304" s="46">
        <v>43553</v>
      </c>
      <c r="C304" s="294">
        <v>62.508611467379481</v>
      </c>
      <c r="D304" s="294">
        <v>132.90693384979679</v>
      </c>
      <c r="E304" s="186">
        <f t="shared" si="11"/>
        <v>62.508611467379481</v>
      </c>
      <c r="F304" s="215" t="str">
        <f t="shared" si="12"/>
        <v/>
      </c>
    </row>
    <row r="305" spans="1:6">
      <c r="A305">
        <v>302</v>
      </c>
      <c r="B305" s="46">
        <v>43554</v>
      </c>
      <c r="C305" s="294">
        <v>40.584141867379493</v>
      </c>
      <c r="D305" s="294">
        <v>132.90693384979679</v>
      </c>
      <c r="E305" s="186">
        <f t="shared" si="11"/>
        <v>40.584141867379493</v>
      </c>
      <c r="F305" s="215" t="str">
        <f t="shared" si="12"/>
        <v/>
      </c>
    </row>
    <row r="306" spans="1:6">
      <c r="A306">
        <v>303</v>
      </c>
      <c r="B306" s="46">
        <v>43555</v>
      </c>
      <c r="C306" s="294">
        <v>51.808680707385072</v>
      </c>
      <c r="D306" s="294">
        <v>132.90693384979679</v>
      </c>
      <c r="E306" s="186">
        <f t="shared" si="11"/>
        <v>51.808680707385072</v>
      </c>
      <c r="F306" s="215" t="str">
        <f t="shared" si="12"/>
        <v/>
      </c>
    </row>
    <row r="307" spans="1:6">
      <c r="A307">
        <v>304</v>
      </c>
      <c r="B307" s="46">
        <v>43556</v>
      </c>
      <c r="C307" s="294">
        <v>76.65771883938136</v>
      </c>
      <c r="D307" s="294">
        <v>128.77123560535</v>
      </c>
      <c r="E307" s="186">
        <f t="shared" si="11"/>
        <v>76.65771883938136</v>
      </c>
      <c r="F307" s="215" t="str">
        <f t="shared" si="12"/>
        <v/>
      </c>
    </row>
    <row r="308" spans="1:6">
      <c r="A308">
        <v>305</v>
      </c>
      <c r="B308" s="46">
        <v>43557</v>
      </c>
      <c r="C308" s="294">
        <v>73.103140955377611</v>
      </c>
      <c r="D308" s="294">
        <v>128.77123560535</v>
      </c>
      <c r="E308" s="186">
        <f t="shared" si="11"/>
        <v>73.103140955377611</v>
      </c>
      <c r="F308" s="215" t="str">
        <f t="shared" si="12"/>
        <v/>
      </c>
    </row>
    <row r="309" spans="1:6">
      <c r="A309">
        <v>306</v>
      </c>
      <c r="B309" s="46">
        <v>43558</v>
      </c>
      <c r="C309" s="294">
        <v>45.01858317977959</v>
      </c>
      <c r="D309" s="294">
        <v>128.77123560535</v>
      </c>
      <c r="E309" s="186">
        <f t="shared" si="11"/>
        <v>45.01858317977959</v>
      </c>
      <c r="F309" s="215" t="str">
        <f t="shared" si="12"/>
        <v/>
      </c>
    </row>
    <row r="310" spans="1:6">
      <c r="A310">
        <v>307</v>
      </c>
      <c r="B310" s="46">
        <v>43559</v>
      </c>
      <c r="C310" s="294">
        <v>42.325144523779592</v>
      </c>
      <c r="D310" s="294">
        <v>128.77123560535</v>
      </c>
      <c r="E310" s="186">
        <f t="shared" si="11"/>
        <v>42.325144523779592</v>
      </c>
      <c r="F310" s="215" t="str">
        <f t="shared" si="12"/>
        <v/>
      </c>
    </row>
    <row r="311" spans="1:6">
      <c r="A311">
        <v>308</v>
      </c>
      <c r="B311" s="46">
        <v>43560</v>
      </c>
      <c r="C311" s="294">
        <v>53.114143071777725</v>
      </c>
      <c r="D311" s="294">
        <v>128.77123560535</v>
      </c>
      <c r="E311" s="186">
        <f t="shared" si="11"/>
        <v>53.114143071777725</v>
      </c>
      <c r="F311" s="215" t="str">
        <f t="shared" si="12"/>
        <v/>
      </c>
    </row>
    <row r="312" spans="1:6">
      <c r="A312">
        <v>309</v>
      </c>
      <c r="B312" s="46">
        <v>43561</v>
      </c>
      <c r="C312" s="294">
        <v>35.382675467779592</v>
      </c>
      <c r="D312" s="294">
        <v>128.77123560535</v>
      </c>
      <c r="E312" s="186">
        <f t="shared" si="11"/>
        <v>35.382675467779592</v>
      </c>
      <c r="F312" s="215" t="str">
        <f t="shared" si="12"/>
        <v/>
      </c>
    </row>
    <row r="313" spans="1:6">
      <c r="A313">
        <v>310</v>
      </c>
      <c r="B313" s="46">
        <v>43562</v>
      </c>
      <c r="C313" s="294">
        <v>30.349885119777724</v>
      </c>
      <c r="D313" s="294">
        <v>128.77123560535</v>
      </c>
      <c r="E313" s="186">
        <f t="shared" si="11"/>
        <v>30.349885119777724</v>
      </c>
      <c r="F313" s="215" t="str">
        <f t="shared" si="12"/>
        <v/>
      </c>
    </row>
    <row r="314" spans="1:6">
      <c r="A314">
        <v>311</v>
      </c>
      <c r="B314" s="46">
        <v>43563</v>
      </c>
      <c r="C314" s="294">
        <v>38.869087747777733</v>
      </c>
      <c r="D314" s="294">
        <v>128.77123560535</v>
      </c>
      <c r="E314" s="186">
        <f t="shared" si="11"/>
        <v>38.869087747777733</v>
      </c>
      <c r="F314" s="215" t="str">
        <f t="shared" si="12"/>
        <v/>
      </c>
    </row>
    <row r="315" spans="1:6">
      <c r="A315">
        <v>312</v>
      </c>
      <c r="B315" s="46">
        <v>43564</v>
      </c>
      <c r="C315" s="294">
        <v>35.440293803779589</v>
      </c>
      <c r="D315" s="294">
        <v>128.77123560535</v>
      </c>
      <c r="E315" s="186">
        <f t="shared" si="11"/>
        <v>35.440293803779589</v>
      </c>
      <c r="F315" s="215" t="str">
        <f t="shared" si="12"/>
        <v/>
      </c>
    </row>
    <row r="316" spans="1:6">
      <c r="A316">
        <v>313</v>
      </c>
      <c r="B316" s="46">
        <v>43565</v>
      </c>
      <c r="C316" s="294">
        <v>73.569345241523081</v>
      </c>
      <c r="D316" s="294">
        <v>128.77123560535</v>
      </c>
      <c r="E316" s="186">
        <f t="shared" si="11"/>
        <v>73.569345241523081</v>
      </c>
      <c r="F316" s="215" t="str">
        <f t="shared" si="12"/>
        <v/>
      </c>
    </row>
    <row r="317" spans="1:6">
      <c r="A317">
        <v>314</v>
      </c>
      <c r="B317" s="46">
        <v>43566</v>
      </c>
      <c r="C317" s="294">
        <v>81.876537213523108</v>
      </c>
      <c r="D317" s="294">
        <v>128.77123560535</v>
      </c>
      <c r="E317" s="186">
        <f t="shared" si="11"/>
        <v>81.876537213523108</v>
      </c>
      <c r="F317" s="215" t="str">
        <f t="shared" si="12"/>
        <v/>
      </c>
    </row>
    <row r="318" spans="1:6">
      <c r="A318">
        <v>315</v>
      </c>
      <c r="B318" s="46">
        <v>43567</v>
      </c>
      <c r="C318" s="294">
        <v>81.248949489523099</v>
      </c>
      <c r="D318" s="294">
        <v>128.77123560535</v>
      </c>
      <c r="E318" s="186">
        <f t="shared" si="11"/>
        <v>81.248949489523099</v>
      </c>
      <c r="F318" s="215" t="str">
        <f t="shared" si="12"/>
        <v/>
      </c>
    </row>
    <row r="319" spans="1:6">
      <c r="A319">
        <v>316</v>
      </c>
      <c r="B319" s="46">
        <v>43568</v>
      </c>
      <c r="C319" s="294">
        <v>71.754454277523095</v>
      </c>
      <c r="D319" s="294">
        <v>128.77123560535</v>
      </c>
      <c r="E319" s="186">
        <f t="shared" si="11"/>
        <v>71.754454277523095</v>
      </c>
      <c r="F319" s="215" t="str">
        <f t="shared" si="12"/>
        <v/>
      </c>
    </row>
    <row r="320" spans="1:6">
      <c r="A320">
        <v>317</v>
      </c>
      <c r="B320" s="46">
        <v>43569</v>
      </c>
      <c r="C320" s="294">
        <v>65.207499237523095</v>
      </c>
      <c r="D320" s="294">
        <v>128.77123560535</v>
      </c>
      <c r="E320" s="186">
        <f t="shared" si="11"/>
        <v>65.207499237523095</v>
      </c>
      <c r="F320" s="215" t="str">
        <f t="shared" si="12"/>
        <v/>
      </c>
    </row>
    <row r="321" spans="1:7">
      <c r="A321">
        <v>318</v>
      </c>
      <c r="B321" s="46">
        <v>43570</v>
      </c>
      <c r="C321" s="294">
        <v>75.083972453521227</v>
      </c>
      <c r="D321" s="294">
        <v>128.77123560535</v>
      </c>
      <c r="E321" s="186">
        <f t="shared" si="11"/>
        <v>75.083972453521227</v>
      </c>
      <c r="F321" s="215" t="str">
        <f t="shared" si="12"/>
        <v>A</v>
      </c>
      <c r="G321" s="216">
        <f t="shared" si="13"/>
        <v>128.77123560535</v>
      </c>
    </row>
    <row r="322" spans="1:7">
      <c r="A322">
        <v>319</v>
      </c>
      <c r="B322" s="46">
        <v>43571</v>
      </c>
      <c r="C322" s="294">
        <v>82.7277009815231</v>
      </c>
      <c r="D322" s="294">
        <v>128.77123560535</v>
      </c>
      <c r="E322" s="186">
        <f t="shared" si="11"/>
        <v>82.7277009815231</v>
      </c>
      <c r="F322" s="215" t="str">
        <f t="shared" si="12"/>
        <v/>
      </c>
    </row>
    <row r="323" spans="1:7">
      <c r="A323">
        <v>320</v>
      </c>
      <c r="B323" s="46">
        <v>43572</v>
      </c>
      <c r="C323" s="294">
        <v>99.887771316209069</v>
      </c>
      <c r="D323" s="294">
        <v>128.77123560535</v>
      </c>
      <c r="E323" s="186">
        <f t="shared" si="11"/>
        <v>99.887771316209069</v>
      </c>
      <c r="F323" s="215" t="str">
        <f t="shared" si="12"/>
        <v/>
      </c>
    </row>
    <row r="324" spans="1:7">
      <c r="A324">
        <v>321</v>
      </c>
      <c r="B324" s="46">
        <v>43573</v>
      </c>
      <c r="C324" s="294">
        <v>97.503805000207208</v>
      </c>
      <c r="D324" s="294">
        <v>128.77123560535</v>
      </c>
      <c r="E324" s="186">
        <f t="shared" ref="E324:E387" si="14">IF(C324&lt;D324,C324,D324)</f>
        <v>97.503805000207208</v>
      </c>
      <c r="F324" s="215" t="str">
        <f t="shared" ref="F324:F387" si="15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43574</v>
      </c>
      <c r="C325" s="294">
        <v>76.237347956209064</v>
      </c>
      <c r="D325" s="294">
        <v>128.77123560535</v>
      </c>
      <c r="E325" s="186">
        <f t="shared" si="14"/>
        <v>76.237347956209064</v>
      </c>
      <c r="F325" s="215" t="str">
        <f t="shared" si="15"/>
        <v/>
      </c>
    </row>
    <row r="326" spans="1:7">
      <c r="A326">
        <v>323</v>
      </c>
      <c r="B326" s="46">
        <v>43575</v>
      </c>
      <c r="C326" s="294">
        <v>73.371422276207213</v>
      </c>
      <c r="D326" s="294">
        <v>128.77123560535</v>
      </c>
      <c r="E326" s="186">
        <f t="shared" si="14"/>
        <v>73.371422276207213</v>
      </c>
      <c r="F326" s="215" t="str">
        <f t="shared" si="15"/>
        <v/>
      </c>
    </row>
    <row r="327" spans="1:7">
      <c r="A327">
        <v>324</v>
      </c>
      <c r="B327" s="46">
        <v>43576</v>
      </c>
      <c r="C327" s="294">
        <v>82.086943796209056</v>
      </c>
      <c r="D327" s="294">
        <v>128.77123560535</v>
      </c>
      <c r="E327" s="186">
        <f t="shared" si="14"/>
        <v>82.086943796209056</v>
      </c>
      <c r="F327" s="215" t="str">
        <f t="shared" si="15"/>
        <v/>
      </c>
    </row>
    <row r="328" spans="1:7">
      <c r="A328">
        <v>325</v>
      </c>
      <c r="B328" s="46">
        <v>43577</v>
      </c>
      <c r="C328" s="294">
        <v>83.039042272209073</v>
      </c>
      <c r="D328" s="294">
        <v>128.77123560535</v>
      </c>
      <c r="E328" s="186">
        <f t="shared" si="14"/>
        <v>83.039042272209073</v>
      </c>
      <c r="F328" s="215" t="str">
        <f t="shared" si="15"/>
        <v/>
      </c>
    </row>
    <row r="329" spans="1:7">
      <c r="A329">
        <v>326</v>
      </c>
      <c r="B329" s="46">
        <v>43578</v>
      </c>
      <c r="C329" s="294">
        <v>84.907127912207216</v>
      </c>
      <c r="D329" s="294">
        <v>128.77123560535</v>
      </c>
      <c r="E329" s="186">
        <f t="shared" si="14"/>
        <v>84.907127912207216</v>
      </c>
      <c r="F329" s="215" t="str">
        <f t="shared" si="15"/>
        <v/>
      </c>
    </row>
    <row r="330" spans="1:7">
      <c r="A330">
        <v>327</v>
      </c>
      <c r="B330" s="46">
        <v>43579</v>
      </c>
      <c r="C330" s="294">
        <v>120.09120279154841</v>
      </c>
      <c r="D330" s="294">
        <v>128.77123560535</v>
      </c>
      <c r="E330" s="186">
        <f t="shared" si="14"/>
        <v>120.09120279154841</v>
      </c>
      <c r="F330" s="215" t="str">
        <f t="shared" si="15"/>
        <v/>
      </c>
    </row>
    <row r="331" spans="1:7">
      <c r="A331">
        <v>328</v>
      </c>
      <c r="B331" s="46">
        <v>43580</v>
      </c>
      <c r="C331" s="294">
        <v>122.04502637154656</v>
      </c>
      <c r="D331" s="294">
        <v>128.77123560535</v>
      </c>
      <c r="E331" s="186">
        <f t="shared" si="14"/>
        <v>122.04502637154656</v>
      </c>
      <c r="F331" s="215" t="str">
        <f t="shared" si="15"/>
        <v/>
      </c>
    </row>
    <row r="332" spans="1:7">
      <c r="A332">
        <v>329</v>
      </c>
      <c r="B332" s="46">
        <v>43581</v>
      </c>
      <c r="C332" s="294">
        <v>133.58304685954656</v>
      </c>
      <c r="D332" s="294">
        <v>128.77123560535</v>
      </c>
      <c r="E332" s="186">
        <f t="shared" si="14"/>
        <v>128.77123560535</v>
      </c>
      <c r="F332" s="215" t="str">
        <f t="shared" si="15"/>
        <v/>
      </c>
    </row>
    <row r="333" spans="1:7">
      <c r="A333">
        <v>330</v>
      </c>
      <c r="B333" s="46">
        <v>43582</v>
      </c>
      <c r="C333" s="294">
        <v>132.51193723154842</v>
      </c>
      <c r="D333" s="294">
        <v>128.77123560535</v>
      </c>
      <c r="E333" s="186">
        <f t="shared" si="14"/>
        <v>128.77123560535</v>
      </c>
      <c r="F333" s="215" t="str">
        <f t="shared" si="15"/>
        <v/>
      </c>
    </row>
    <row r="334" spans="1:7">
      <c r="A334">
        <v>331</v>
      </c>
      <c r="B334" s="46">
        <v>43583</v>
      </c>
      <c r="C334" s="294">
        <v>124.74557389154842</v>
      </c>
      <c r="D334" s="294">
        <v>128.77123560535</v>
      </c>
      <c r="E334" s="186">
        <f t="shared" si="14"/>
        <v>124.74557389154842</v>
      </c>
      <c r="F334" s="215" t="str">
        <f t="shared" si="15"/>
        <v/>
      </c>
    </row>
    <row r="335" spans="1:7">
      <c r="A335">
        <v>332</v>
      </c>
      <c r="B335" s="46">
        <v>43584</v>
      </c>
      <c r="C335" s="294">
        <v>140.23924516354651</v>
      </c>
      <c r="D335" s="294">
        <v>128.77123560535</v>
      </c>
      <c r="E335" s="186">
        <f t="shared" si="14"/>
        <v>128.77123560535</v>
      </c>
      <c r="F335" s="215" t="str">
        <f t="shared" si="15"/>
        <v/>
      </c>
    </row>
    <row r="336" spans="1:7">
      <c r="A336">
        <v>333</v>
      </c>
      <c r="B336" s="46">
        <v>43585</v>
      </c>
      <c r="C336" s="294">
        <v>139.9016715475484</v>
      </c>
      <c r="D336" s="294">
        <v>128.77123560535</v>
      </c>
      <c r="E336" s="186">
        <f t="shared" si="14"/>
        <v>128.77123560535</v>
      </c>
      <c r="F336" s="215" t="str">
        <f t="shared" si="15"/>
        <v/>
      </c>
    </row>
    <row r="337" spans="1:7">
      <c r="A337">
        <v>334</v>
      </c>
      <c r="B337" s="46">
        <v>43586</v>
      </c>
      <c r="C337" s="294">
        <v>105.71601703098868</v>
      </c>
      <c r="D337" s="294">
        <v>105.65373260469035</v>
      </c>
      <c r="E337" s="186">
        <f t="shared" si="14"/>
        <v>105.65373260469035</v>
      </c>
      <c r="F337" s="215" t="str">
        <f t="shared" si="15"/>
        <v/>
      </c>
    </row>
    <row r="338" spans="1:7">
      <c r="A338">
        <v>335</v>
      </c>
      <c r="B338" s="46">
        <v>43587</v>
      </c>
      <c r="C338" s="294">
        <v>100.06853757899054</v>
      </c>
      <c r="D338" s="294">
        <v>105.65373260469035</v>
      </c>
      <c r="E338" s="186">
        <f t="shared" si="14"/>
        <v>100.06853757899054</v>
      </c>
      <c r="F338" s="215" t="str">
        <f t="shared" si="15"/>
        <v/>
      </c>
    </row>
    <row r="339" spans="1:7">
      <c r="A339">
        <v>336</v>
      </c>
      <c r="B339" s="46">
        <v>43588</v>
      </c>
      <c r="C339" s="294">
        <v>102.81004228298868</v>
      </c>
      <c r="D339" s="294">
        <v>105.65373260469035</v>
      </c>
      <c r="E339" s="186">
        <f t="shared" si="14"/>
        <v>102.81004228298868</v>
      </c>
      <c r="F339" s="215" t="str">
        <f t="shared" si="15"/>
        <v/>
      </c>
    </row>
    <row r="340" spans="1:7">
      <c r="A340">
        <v>337</v>
      </c>
      <c r="B340" s="46">
        <v>43589</v>
      </c>
      <c r="C340" s="294">
        <v>101.23971845099054</v>
      </c>
      <c r="D340" s="294">
        <v>105.65373260469035</v>
      </c>
      <c r="E340" s="186">
        <f t="shared" si="14"/>
        <v>101.23971845099054</v>
      </c>
      <c r="F340" s="215" t="str">
        <f t="shared" si="15"/>
        <v/>
      </c>
    </row>
    <row r="341" spans="1:7">
      <c r="A341">
        <v>338</v>
      </c>
      <c r="B341" s="46">
        <v>43590</v>
      </c>
      <c r="C341" s="294">
        <v>93.939445794990547</v>
      </c>
      <c r="D341" s="294">
        <v>105.65373260469035</v>
      </c>
      <c r="E341" s="186">
        <f t="shared" si="14"/>
        <v>93.939445794990547</v>
      </c>
      <c r="F341" s="215" t="str">
        <f t="shared" si="15"/>
        <v/>
      </c>
    </row>
    <row r="342" spans="1:7">
      <c r="A342">
        <v>339</v>
      </c>
      <c r="B342" s="46">
        <v>43591</v>
      </c>
      <c r="C342" s="294">
        <v>113.58412743498869</v>
      </c>
      <c r="D342" s="294">
        <v>105.65373260469035</v>
      </c>
      <c r="E342" s="186">
        <f t="shared" si="14"/>
        <v>105.65373260469035</v>
      </c>
      <c r="F342" s="215" t="str">
        <f t="shared" si="15"/>
        <v/>
      </c>
    </row>
    <row r="343" spans="1:7">
      <c r="A343">
        <v>340</v>
      </c>
      <c r="B343" s="46">
        <v>43592</v>
      </c>
      <c r="C343" s="294">
        <v>103.93047935099054</v>
      </c>
      <c r="D343" s="294">
        <v>105.65373260469035</v>
      </c>
      <c r="E343" s="186">
        <f t="shared" si="14"/>
        <v>103.93047935099054</v>
      </c>
      <c r="F343" s="215" t="str">
        <f t="shared" si="15"/>
        <v/>
      </c>
    </row>
    <row r="344" spans="1:7">
      <c r="A344">
        <v>341</v>
      </c>
      <c r="B344" s="46">
        <v>43593</v>
      </c>
      <c r="C344" s="294">
        <v>66.189202729308803</v>
      </c>
      <c r="D344" s="294">
        <v>105.65373260469035</v>
      </c>
      <c r="E344" s="186">
        <f t="shared" si="14"/>
        <v>66.189202729308803</v>
      </c>
      <c r="F344" s="215" t="str">
        <f t="shared" si="15"/>
        <v/>
      </c>
    </row>
    <row r="345" spans="1:7">
      <c r="A345">
        <v>342</v>
      </c>
      <c r="B345" s="46">
        <v>43594</v>
      </c>
      <c r="C345" s="294">
        <v>74.412695409306934</v>
      </c>
      <c r="D345" s="294">
        <v>105.65373260469035</v>
      </c>
      <c r="E345" s="186">
        <f t="shared" si="14"/>
        <v>74.412695409306934</v>
      </c>
      <c r="F345" s="215" t="str">
        <f t="shared" si="15"/>
        <v/>
      </c>
    </row>
    <row r="346" spans="1:7">
      <c r="A346">
        <v>343</v>
      </c>
      <c r="B346" s="46">
        <v>43595</v>
      </c>
      <c r="C346" s="294">
        <v>83.627382461306937</v>
      </c>
      <c r="D346" s="294">
        <v>105.65373260469035</v>
      </c>
      <c r="E346" s="186">
        <f t="shared" si="14"/>
        <v>83.627382461306937</v>
      </c>
      <c r="F346" s="215" t="str">
        <f t="shared" si="15"/>
        <v/>
      </c>
    </row>
    <row r="347" spans="1:7">
      <c r="A347">
        <v>344</v>
      </c>
      <c r="B347" s="46">
        <v>43596</v>
      </c>
      <c r="C347" s="294">
        <v>75.943218089306924</v>
      </c>
      <c r="D347" s="294">
        <v>105.65373260469035</v>
      </c>
      <c r="E347" s="186">
        <f t="shared" si="14"/>
        <v>75.943218089306924</v>
      </c>
      <c r="F347" s="215" t="str">
        <f t="shared" si="15"/>
        <v/>
      </c>
    </row>
    <row r="348" spans="1:7">
      <c r="A348">
        <v>345</v>
      </c>
      <c r="B348" s="46">
        <v>43597</v>
      </c>
      <c r="C348" s="294">
        <v>66.288154533306923</v>
      </c>
      <c r="D348" s="294">
        <v>105.65373260469035</v>
      </c>
      <c r="E348" s="186">
        <f t="shared" si="14"/>
        <v>66.288154533306923</v>
      </c>
      <c r="F348" s="215" t="str">
        <f t="shared" si="15"/>
        <v/>
      </c>
    </row>
    <row r="349" spans="1:7">
      <c r="A349">
        <v>346</v>
      </c>
      <c r="B349" s="46">
        <v>43598</v>
      </c>
      <c r="C349" s="294">
        <v>71.954015609306921</v>
      </c>
      <c r="D349" s="294">
        <v>105.65373260469035</v>
      </c>
      <c r="E349" s="186">
        <f t="shared" si="14"/>
        <v>71.954015609306921</v>
      </c>
      <c r="F349" s="215" t="str">
        <f t="shared" si="15"/>
        <v/>
      </c>
    </row>
    <row r="350" spans="1:7">
      <c r="A350">
        <v>347</v>
      </c>
      <c r="B350" s="46">
        <v>43599</v>
      </c>
      <c r="C350" s="294">
        <v>75.274204213308792</v>
      </c>
      <c r="D350" s="294">
        <v>105.65373260469035</v>
      </c>
      <c r="E350" s="186">
        <f t="shared" si="14"/>
        <v>75.274204213308792</v>
      </c>
      <c r="F350" s="215" t="str">
        <f t="shared" si="15"/>
        <v/>
      </c>
    </row>
    <row r="351" spans="1:7">
      <c r="A351">
        <v>348</v>
      </c>
      <c r="B351" s="46">
        <v>43600</v>
      </c>
      <c r="C351" s="294">
        <v>74.34173817415514</v>
      </c>
      <c r="D351" s="294">
        <v>105.65373260469035</v>
      </c>
      <c r="E351" s="186">
        <f t="shared" si="14"/>
        <v>74.34173817415514</v>
      </c>
      <c r="F351" s="215" t="str">
        <f t="shared" si="15"/>
        <v>M</v>
      </c>
      <c r="G351" s="216">
        <f t="shared" ref="G351" si="16">IF(DAY(B351)=15,D351,"")</f>
        <v>105.65373260469035</v>
      </c>
    </row>
    <row r="352" spans="1:7">
      <c r="A352">
        <v>349</v>
      </c>
      <c r="B352" s="46">
        <v>43601</v>
      </c>
      <c r="C352" s="294">
        <v>67.959188766156998</v>
      </c>
      <c r="D352" s="294">
        <v>105.65373260469035</v>
      </c>
      <c r="E352" s="186">
        <f t="shared" si="14"/>
        <v>67.959188766156998</v>
      </c>
      <c r="F352" s="215" t="str">
        <f t="shared" si="15"/>
        <v/>
      </c>
    </row>
    <row r="353" spans="1:6">
      <c r="A353">
        <v>350</v>
      </c>
      <c r="B353" s="46">
        <v>43602</v>
      </c>
      <c r="C353" s="294">
        <v>65.692982786156989</v>
      </c>
      <c r="D353" s="294">
        <v>105.65373260469035</v>
      </c>
      <c r="E353" s="186">
        <f t="shared" si="14"/>
        <v>65.692982786156989</v>
      </c>
      <c r="F353" s="215" t="str">
        <f t="shared" si="15"/>
        <v/>
      </c>
    </row>
    <row r="354" spans="1:6">
      <c r="A354">
        <v>351</v>
      </c>
      <c r="B354" s="46">
        <v>43603</v>
      </c>
      <c r="C354" s="294">
        <v>64.505841354155137</v>
      </c>
      <c r="D354" s="294">
        <v>105.65373260469035</v>
      </c>
      <c r="E354" s="186">
        <f t="shared" si="14"/>
        <v>64.505841354155137</v>
      </c>
      <c r="F354" s="215" t="str">
        <f t="shared" si="15"/>
        <v/>
      </c>
    </row>
    <row r="355" spans="1:6">
      <c r="A355">
        <v>352</v>
      </c>
      <c r="B355" s="46">
        <v>43604</v>
      </c>
      <c r="C355" s="294">
        <v>60.628721762158854</v>
      </c>
      <c r="D355" s="294">
        <v>105.65373260469035</v>
      </c>
      <c r="E355" s="186">
        <f t="shared" si="14"/>
        <v>60.628721762158854</v>
      </c>
      <c r="F355" s="215" t="str">
        <f t="shared" si="15"/>
        <v/>
      </c>
    </row>
    <row r="356" spans="1:6">
      <c r="A356">
        <v>353</v>
      </c>
      <c r="B356" s="46">
        <v>43605</v>
      </c>
      <c r="C356" s="294">
        <v>72.604453906155129</v>
      </c>
      <c r="D356" s="294">
        <v>105.65373260469035</v>
      </c>
      <c r="E356" s="186">
        <f t="shared" si="14"/>
        <v>72.604453906155129</v>
      </c>
      <c r="F356" s="215" t="str">
        <f t="shared" si="15"/>
        <v/>
      </c>
    </row>
    <row r="357" spans="1:6">
      <c r="A357">
        <v>354</v>
      </c>
      <c r="B357" s="46">
        <v>43606</v>
      </c>
      <c r="C357" s="294">
        <v>76.283293826155131</v>
      </c>
      <c r="D357" s="294">
        <v>105.65373260469035</v>
      </c>
      <c r="E357" s="186">
        <f t="shared" si="14"/>
        <v>76.283293826155131</v>
      </c>
      <c r="F357" s="215" t="str">
        <f t="shared" si="15"/>
        <v/>
      </c>
    </row>
    <row r="358" spans="1:6">
      <c r="A358">
        <v>355</v>
      </c>
      <c r="B358" s="46">
        <v>43607</v>
      </c>
      <c r="C358" s="294">
        <v>65.635779093736303</v>
      </c>
      <c r="D358" s="294">
        <v>105.65373260469035</v>
      </c>
      <c r="E358" s="186">
        <f t="shared" si="14"/>
        <v>65.635779093736303</v>
      </c>
      <c r="F358" s="215" t="str">
        <f t="shared" si="15"/>
        <v/>
      </c>
    </row>
    <row r="359" spans="1:6">
      <c r="A359">
        <v>356</v>
      </c>
      <c r="B359" s="46">
        <v>43608</v>
      </c>
      <c r="C359" s="294">
        <v>60.05188925373443</v>
      </c>
      <c r="D359" s="294">
        <v>105.65373260469035</v>
      </c>
      <c r="E359" s="186">
        <f t="shared" si="14"/>
        <v>60.05188925373443</v>
      </c>
      <c r="F359" s="215" t="str">
        <f t="shared" si="15"/>
        <v/>
      </c>
    </row>
    <row r="360" spans="1:6">
      <c r="A360">
        <v>357</v>
      </c>
      <c r="B360" s="46">
        <v>43609</v>
      </c>
      <c r="C360" s="294">
        <v>59.146729805736292</v>
      </c>
      <c r="D360" s="294">
        <v>105.65373260469035</v>
      </c>
      <c r="E360" s="186">
        <f t="shared" si="14"/>
        <v>59.146729805736292</v>
      </c>
      <c r="F360" s="215" t="str">
        <f t="shared" si="15"/>
        <v/>
      </c>
    </row>
    <row r="361" spans="1:6">
      <c r="A361">
        <v>358</v>
      </c>
      <c r="B361" s="46">
        <v>43610</v>
      </c>
      <c r="C361" s="294">
        <v>57.372487131732569</v>
      </c>
      <c r="D361" s="294">
        <v>105.65373260469035</v>
      </c>
      <c r="E361" s="186">
        <f t="shared" si="14"/>
        <v>57.372487131732569</v>
      </c>
      <c r="F361" s="215" t="str">
        <f t="shared" si="15"/>
        <v/>
      </c>
    </row>
    <row r="362" spans="1:6">
      <c r="A362">
        <v>359</v>
      </c>
      <c r="B362" s="46">
        <v>43611</v>
      </c>
      <c r="C362" s="294">
        <v>54.61047347173816</v>
      </c>
      <c r="D362" s="294">
        <v>105.65373260469035</v>
      </c>
      <c r="E362" s="186">
        <f t="shared" si="14"/>
        <v>54.61047347173816</v>
      </c>
      <c r="F362" s="215" t="str">
        <f t="shared" si="15"/>
        <v/>
      </c>
    </row>
    <row r="363" spans="1:6">
      <c r="A363">
        <v>360</v>
      </c>
      <c r="B363" s="46">
        <v>43612</v>
      </c>
      <c r="C363" s="294">
        <v>58.416215127732571</v>
      </c>
      <c r="D363" s="294">
        <v>105.65373260469035</v>
      </c>
      <c r="E363" s="186">
        <f t="shared" si="14"/>
        <v>58.416215127732571</v>
      </c>
      <c r="F363" s="215" t="str">
        <f t="shared" si="15"/>
        <v/>
      </c>
    </row>
    <row r="364" spans="1:6">
      <c r="A364">
        <v>361</v>
      </c>
      <c r="B364" s="46">
        <v>43613</v>
      </c>
      <c r="C364" s="294">
        <v>53.367108333734429</v>
      </c>
      <c r="D364" s="294">
        <v>105.65373260469035</v>
      </c>
      <c r="E364" s="186">
        <f t="shared" si="14"/>
        <v>53.367108333734429</v>
      </c>
      <c r="F364" s="215" t="str">
        <f t="shared" si="15"/>
        <v/>
      </c>
    </row>
    <row r="365" spans="1:6">
      <c r="A365">
        <v>362</v>
      </c>
      <c r="B365" s="46">
        <v>43614</v>
      </c>
      <c r="C365" s="294">
        <v>46.932252174643338</v>
      </c>
      <c r="D365" s="294">
        <v>105.65373260469035</v>
      </c>
      <c r="E365" s="186">
        <f t="shared" si="14"/>
        <v>46.932252174643338</v>
      </c>
      <c r="F365" s="215" t="str">
        <f t="shared" si="15"/>
        <v/>
      </c>
    </row>
    <row r="366" spans="1:6">
      <c r="A366">
        <v>363</v>
      </c>
      <c r="B366" s="46">
        <v>43615</v>
      </c>
      <c r="C366" s="294">
        <v>47.351127922641481</v>
      </c>
      <c r="D366" s="294">
        <v>105.65373260469035</v>
      </c>
      <c r="E366" s="186">
        <f t="shared" si="14"/>
        <v>47.351127922641481</v>
      </c>
      <c r="F366" s="215" t="str">
        <f t="shared" si="15"/>
        <v/>
      </c>
    </row>
    <row r="367" spans="1:6">
      <c r="A367">
        <v>364</v>
      </c>
      <c r="B367" s="46">
        <v>43616</v>
      </c>
      <c r="C367" s="294">
        <v>54.088175124643342</v>
      </c>
      <c r="D367" s="294">
        <v>105.65373260469035</v>
      </c>
      <c r="E367" s="186">
        <f t="shared" si="14"/>
        <v>54.088175124643342</v>
      </c>
      <c r="F367" s="215" t="str">
        <f t="shared" si="15"/>
        <v/>
      </c>
    </row>
    <row r="368" spans="1:6">
      <c r="A368">
        <v>365</v>
      </c>
      <c r="B368" s="46">
        <v>43617</v>
      </c>
      <c r="C368" s="294">
        <v>46.029502642641482</v>
      </c>
      <c r="D368" s="294">
        <v>65.26716544621334</v>
      </c>
      <c r="E368" s="186">
        <f t="shared" si="14"/>
        <v>46.029502642641482</v>
      </c>
      <c r="F368" s="215" t="str">
        <f t="shared" si="15"/>
        <v/>
      </c>
    </row>
    <row r="369" spans="1:7">
      <c r="A369">
        <v>366</v>
      </c>
      <c r="B369" s="46">
        <v>43618</v>
      </c>
      <c r="C369" s="294">
        <v>41.259647216643344</v>
      </c>
      <c r="D369" s="294">
        <v>65.26716544621334</v>
      </c>
      <c r="E369" s="186">
        <f t="shared" si="14"/>
        <v>41.259647216643344</v>
      </c>
      <c r="F369" s="215" t="str">
        <f t="shared" si="15"/>
        <v/>
      </c>
    </row>
    <row r="370" spans="1:7">
      <c r="A370">
        <v>367</v>
      </c>
      <c r="B370" s="46">
        <v>43619</v>
      </c>
      <c r="C370" s="294">
        <v>49.633967986643341</v>
      </c>
      <c r="D370" s="294">
        <v>65.26716544621334</v>
      </c>
      <c r="E370" s="186">
        <f t="shared" si="14"/>
        <v>49.633967986643341</v>
      </c>
      <c r="F370" s="215" t="str">
        <f t="shared" si="15"/>
        <v/>
      </c>
    </row>
    <row r="371" spans="1:7">
      <c r="A371">
        <v>368</v>
      </c>
      <c r="B371" s="46">
        <v>43620</v>
      </c>
      <c r="C371" s="294">
        <v>42.163067116641486</v>
      </c>
      <c r="D371" s="294">
        <v>65.26716544621334</v>
      </c>
      <c r="E371" s="186">
        <f t="shared" si="14"/>
        <v>42.163067116641486</v>
      </c>
      <c r="F371" s="215" t="str">
        <f t="shared" si="15"/>
        <v/>
      </c>
    </row>
    <row r="372" spans="1:7">
      <c r="A372">
        <v>369</v>
      </c>
      <c r="B372" s="46">
        <v>43621</v>
      </c>
      <c r="C372" s="294">
        <v>44.063425011716376</v>
      </c>
      <c r="D372" s="294">
        <v>65.26716544621334</v>
      </c>
      <c r="E372" s="186">
        <f t="shared" si="14"/>
        <v>44.063425011716376</v>
      </c>
      <c r="F372" s="215" t="str">
        <f t="shared" si="15"/>
        <v/>
      </c>
    </row>
    <row r="373" spans="1:7">
      <c r="A373">
        <v>370</v>
      </c>
      <c r="B373" s="46">
        <v>43622</v>
      </c>
      <c r="C373" s="294">
        <v>41.283456523716374</v>
      </c>
      <c r="D373" s="294">
        <v>65.26716544621334</v>
      </c>
      <c r="E373" s="186">
        <f t="shared" si="14"/>
        <v>41.283456523716374</v>
      </c>
      <c r="F373" s="215" t="str">
        <f t="shared" si="15"/>
        <v/>
      </c>
    </row>
    <row r="374" spans="1:7">
      <c r="A374">
        <v>371</v>
      </c>
      <c r="B374" s="46">
        <v>43623</v>
      </c>
      <c r="C374" s="294">
        <v>46.541849791718242</v>
      </c>
      <c r="D374" s="294">
        <v>65.26716544621334</v>
      </c>
      <c r="E374" s="186">
        <f t="shared" si="14"/>
        <v>46.541849791718242</v>
      </c>
      <c r="F374" s="215" t="str">
        <f t="shared" si="15"/>
        <v/>
      </c>
    </row>
    <row r="375" spans="1:7">
      <c r="A375">
        <v>372</v>
      </c>
      <c r="B375" s="46">
        <v>43624</v>
      </c>
      <c r="C375" s="294">
        <v>36.370185447716374</v>
      </c>
      <c r="D375" s="294">
        <v>65.26716544621334</v>
      </c>
      <c r="E375" s="186">
        <f t="shared" si="14"/>
        <v>36.370185447716374</v>
      </c>
      <c r="F375" s="215" t="str">
        <f t="shared" si="15"/>
        <v/>
      </c>
    </row>
    <row r="376" spans="1:7">
      <c r="A376">
        <v>373</v>
      </c>
      <c r="B376" s="46">
        <v>43625</v>
      </c>
      <c r="C376" s="294">
        <v>36.215956243718239</v>
      </c>
      <c r="D376" s="294">
        <v>65.26716544621334</v>
      </c>
      <c r="E376" s="186">
        <f t="shared" si="14"/>
        <v>36.215956243718239</v>
      </c>
      <c r="F376" s="215" t="str">
        <f t="shared" si="15"/>
        <v/>
      </c>
    </row>
    <row r="377" spans="1:7">
      <c r="A377">
        <v>374</v>
      </c>
      <c r="B377" s="46">
        <v>43626</v>
      </c>
      <c r="C377" s="294">
        <v>34.954237279718242</v>
      </c>
      <c r="D377" s="294">
        <v>65.26716544621334</v>
      </c>
      <c r="E377" s="186">
        <f t="shared" si="14"/>
        <v>34.954237279718242</v>
      </c>
      <c r="F377" s="215" t="str">
        <f t="shared" si="15"/>
        <v/>
      </c>
    </row>
    <row r="378" spans="1:7">
      <c r="A378">
        <v>375</v>
      </c>
      <c r="B378" s="46">
        <v>43627</v>
      </c>
      <c r="C378" s="294">
        <v>40.592416139716377</v>
      </c>
      <c r="D378" s="294">
        <v>65.26716544621334</v>
      </c>
      <c r="E378" s="186">
        <f t="shared" si="14"/>
        <v>40.592416139716377</v>
      </c>
      <c r="F378" s="215" t="str">
        <f t="shared" si="15"/>
        <v/>
      </c>
    </row>
    <row r="379" spans="1:7">
      <c r="A379">
        <v>376</v>
      </c>
      <c r="B379" s="46">
        <v>43628</v>
      </c>
      <c r="C379" s="294">
        <v>39.241911186815599</v>
      </c>
      <c r="D379" s="294">
        <v>65.26716544621334</v>
      </c>
      <c r="E379" s="186">
        <f t="shared" si="14"/>
        <v>39.241911186815599</v>
      </c>
      <c r="F379" s="215" t="str">
        <f t="shared" si="15"/>
        <v/>
      </c>
    </row>
    <row r="380" spans="1:7">
      <c r="A380">
        <v>377</v>
      </c>
      <c r="B380" s="46">
        <v>43629</v>
      </c>
      <c r="C380" s="294">
        <v>28.634086794815595</v>
      </c>
      <c r="D380" s="294">
        <v>65.26716544621334</v>
      </c>
      <c r="E380" s="186">
        <f t="shared" si="14"/>
        <v>28.634086794815595</v>
      </c>
      <c r="F380" s="215" t="str">
        <f t="shared" si="15"/>
        <v/>
      </c>
    </row>
    <row r="381" spans="1:7">
      <c r="A381">
        <v>378</v>
      </c>
      <c r="B381" s="46">
        <v>43630</v>
      </c>
      <c r="C381" s="294">
        <v>32.436906178815597</v>
      </c>
      <c r="D381" s="294">
        <v>65.26716544621334</v>
      </c>
      <c r="E381" s="186">
        <f t="shared" si="14"/>
        <v>32.436906178815597</v>
      </c>
      <c r="F381" s="215" t="str">
        <f t="shared" si="15"/>
        <v/>
      </c>
    </row>
    <row r="382" spans="1:7">
      <c r="A382">
        <v>379</v>
      </c>
      <c r="B382" s="46">
        <v>43631</v>
      </c>
      <c r="C382" s="294">
        <v>29.753917250813736</v>
      </c>
      <c r="D382" s="294">
        <v>65.26716544621334</v>
      </c>
      <c r="E382" s="186">
        <f t="shared" si="14"/>
        <v>29.753917250813736</v>
      </c>
      <c r="F382" s="215" t="str">
        <f t="shared" si="15"/>
        <v>J</v>
      </c>
      <c r="G382" s="216">
        <f t="shared" ref="G382" si="17">IF(DAY(B382)=15,D382,"")</f>
        <v>65.26716544621334</v>
      </c>
    </row>
    <row r="383" spans="1:7">
      <c r="A383">
        <v>380</v>
      </c>
      <c r="B383" s="46">
        <v>43632</v>
      </c>
      <c r="C383" s="294">
        <v>32.905156950815595</v>
      </c>
      <c r="D383" s="294">
        <v>65.26716544621334</v>
      </c>
      <c r="E383" s="186">
        <f t="shared" si="14"/>
        <v>32.905156950815595</v>
      </c>
      <c r="F383" s="215" t="str">
        <f t="shared" si="15"/>
        <v/>
      </c>
    </row>
    <row r="384" spans="1:7">
      <c r="A384">
        <v>381</v>
      </c>
      <c r="B384" s="46">
        <v>43633</v>
      </c>
      <c r="C384" s="294">
        <v>39.089365578817457</v>
      </c>
      <c r="D384" s="294">
        <v>65.26716544621334</v>
      </c>
      <c r="E384" s="186">
        <f t="shared" si="14"/>
        <v>39.089365578817457</v>
      </c>
      <c r="F384" s="215" t="str">
        <f t="shared" si="15"/>
        <v/>
      </c>
    </row>
    <row r="385" spans="1:6">
      <c r="A385">
        <v>382</v>
      </c>
      <c r="B385" s="46">
        <v>43634</v>
      </c>
      <c r="C385" s="294">
        <v>30.561841338813736</v>
      </c>
      <c r="D385" s="294">
        <v>65.26716544621334</v>
      </c>
      <c r="E385" s="186">
        <f t="shared" si="14"/>
        <v>30.561841338813736</v>
      </c>
      <c r="F385" s="215" t="str">
        <f t="shared" si="15"/>
        <v/>
      </c>
    </row>
    <row r="386" spans="1:6">
      <c r="A386">
        <v>383</v>
      </c>
      <c r="B386" s="46">
        <v>43635</v>
      </c>
      <c r="C386" s="294">
        <v>41.62450739765319</v>
      </c>
      <c r="D386" s="294">
        <v>65.26716544621334</v>
      </c>
      <c r="E386" s="186">
        <f t="shared" si="14"/>
        <v>41.62450739765319</v>
      </c>
      <c r="F386" s="215" t="str">
        <f t="shared" si="15"/>
        <v/>
      </c>
    </row>
    <row r="387" spans="1:6">
      <c r="A387">
        <v>384</v>
      </c>
      <c r="B387" s="46">
        <v>43636</v>
      </c>
      <c r="C387" s="294">
        <v>34.637508205653198</v>
      </c>
      <c r="D387" s="294">
        <v>65.26716544621334</v>
      </c>
      <c r="E387" s="186">
        <f t="shared" si="14"/>
        <v>34.637508205653198</v>
      </c>
      <c r="F387" s="215" t="str">
        <f t="shared" si="15"/>
        <v/>
      </c>
    </row>
    <row r="388" spans="1:6">
      <c r="A388">
        <v>385</v>
      </c>
      <c r="B388" s="46">
        <v>43637</v>
      </c>
      <c r="C388" s="294">
        <v>40.418200057653195</v>
      </c>
      <c r="D388" s="294">
        <v>65.26716544621334</v>
      </c>
      <c r="E388" s="186">
        <f t="shared" ref="E388:E397" si="18">IF(C388&lt;D388,C388,D388)</f>
        <v>40.418200057653195</v>
      </c>
      <c r="F388" s="215" t="str">
        <f t="shared" ref="F388:F398" si="19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43638</v>
      </c>
      <c r="C389" s="294">
        <v>28.832433745655056</v>
      </c>
      <c r="D389" s="294">
        <v>65.26716544621334</v>
      </c>
      <c r="E389" s="186">
        <f t="shared" si="18"/>
        <v>28.832433745655056</v>
      </c>
      <c r="F389" s="215" t="str">
        <f t="shared" si="19"/>
        <v/>
      </c>
    </row>
    <row r="390" spans="1:6">
      <c r="A390">
        <v>387</v>
      </c>
      <c r="B390" s="46">
        <v>43639</v>
      </c>
      <c r="C390" s="294">
        <v>27.133252947651329</v>
      </c>
      <c r="D390" s="294">
        <v>65.26716544621334</v>
      </c>
      <c r="E390" s="186">
        <f t="shared" si="18"/>
        <v>27.133252947651329</v>
      </c>
      <c r="F390" s="215" t="str">
        <f t="shared" si="19"/>
        <v/>
      </c>
    </row>
    <row r="391" spans="1:6">
      <c r="A391">
        <v>388</v>
      </c>
      <c r="B391" s="46">
        <v>43640</v>
      </c>
      <c r="C391" s="294">
        <v>32.879115653653194</v>
      </c>
      <c r="D391" s="294">
        <v>65.26716544621334</v>
      </c>
      <c r="E391" s="186">
        <f t="shared" si="18"/>
        <v>32.879115653653194</v>
      </c>
      <c r="F391" s="215" t="str">
        <f t="shared" si="19"/>
        <v/>
      </c>
    </row>
    <row r="392" spans="1:6">
      <c r="A392">
        <v>389</v>
      </c>
      <c r="B392" s="46">
        <v>43641</v>
      </c>
      <c r="C392" s="294">
        <v>46.052716117655059</v>
      </c>
      <c r="D392" s="294">
        <v>65.26716544621334</v>
      </c>
      <c r="E392" s="186">
        <f t="shared" si="18"/>
        <v>46.052716117655059</v>
      </c>
      <c r="F392" s="215" t="str">
        <f t="shared" si="19"/>
        <v/>
      </c>
    </row>
    <row r="393" spans="1:6">
      <c r="A393">
        <v>390</v>
      </c>
      <c r="B393" s="46">
        <v>43642</v>
      </c>
      <c r="C393" s="294">
        <v>29.624145615292452</v>
      </c>
      <c r="D393" s="294">
        <v>65.26716544621334</v>
      </c>
      <c r="E393" s="186">
        <f t="shared" si="18"/>
        <v>29.624145615292452</v>
      </c>
      <c r="F393" s="215" t="str">
        <f t="shared" si="19"/>
        <v/>
      </c>
    </row>
    <row r="394" spans="1:6">
      <c r="A394">
        <v>391</v>
      </c>
      <c r="B394" s="46">
        <v>43643</v>
      </c>
      <c r="C394" s="294">
        <v>25.52030535529618</v>
      </c>
      <c r="D394" s="294">
        <v>65.26716544621334</v>
      </c>
      <c r="E394" s="186">
        <f t="shared" si="18"/>
        <v>25.52030535529618</v>
      </c>
      <c r="F394" s="215" t="str">
        <f t="shared" si="19"/>
        <v/>
      </c>
    </row>
    <row r="395" spans="1:6">
      <c r="A395">
        <v>392</v>
      </c>
      <c r="B395" s="46">
        <v>43644</v>
      </c>
      <c r="C395" s="294">
        <v>35.373072383292453</v>
      </c>
      <c r="D395" s="294">
        <v>65.26716544621334</v>
      </c>
      <c r="E395" s="186">
        <f t="shared" si="18"/>
        <v>35.373072383292453</v>
      </c>
      <c r="F395" s="215" t="str">
        <f t="shared" si="19"/>
        <v/>
      </c>
    </row>
    <row r="396" spans="1:6">
      <c r="A396">
        <v>393</v>
      </c>
      <c r="B396" s="46">
        <v>43645</v>
      </c>
      <c r="C396" s="294">
        <v>19.260006891294317</v>
      </c>
      <c r="D396" s="294">
        <v>65.26716544621334</v>
      </c>
      <c r="E396" s="186">
        <f t="shared" si="18"/>
        <v>19.260006891294317</v>
      </c>
      <c r="F396" s="215" t="str">
        <f t="shared" si="19"/>
        <v/>
      </c>
    </row>
    <row r="397" spans="1:6">
      <c r="A397">
        <v>394</v>
      </c>
      <c r="B397" s="46">
        <v>43646</v>
      </c>
      <c r="C397" s="294">
        <v>18.127347819294314</v>
      </c>
      <c r="D397" s="294">
        <v>65.26716544621334</v>
      </c>
      <c r="E397" s="186">
        <f t="shared" si="18"/>
        <v>18.127347819294314</v>
      </c>
      <c r="F397" s="215" t="str">
        <f t="shared" si="19"/>
        <v/>
      </c>
    </row>
    <row r="398" spans="1:6">
      <c r="B398" s="46"/>
      <c r="C398" s="186"/>
      <c r="D398" s="186"/>
      <c r="E398" s="186"/>
      <c r="F398" s="215" t="str">
        <f t="shared" si="19"/>
        <v/>
      </c>
    </row>
    <row r="399" spans="1:6">
      <c r="B399" s="46"/>
      <c r="C399" s="186"/>
      <c r="D399" s="186"/>
      <c r="E399" s="186"/>
      <c r="F399" s="215" t="str">
        <f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C400" s="186" t="s">
        <v>588</v>
      </c>
      <c r="D400" s="186" t="s">
        <v>588</v>
      </c>
      <c r="E400" s="186" t="str">
        <f t="shared" ref="E400:E451" si="20">IF(C400&lt;D400,C400,D400)</f>
        <v/>
      </c>
      <c r="F400" s="215" t="str">
        <f t="shared" ref="F400:F412" si="21">IF(DAY(B400)=15,IF(MONTH(B400)=1,"E",IF(MONTH(B400)=2,"F",IF(MONTH(B400)=3,"M",IF(MONTH(B400)=4,"A",IF(MONTH(B400)=5,"M",IF(MONTH(B400)=6,"J",IF(MONTH(B400)=7,"J",IF(MONTH(B400)=8,"A",IF(MONTH(B400)=9,"S",IF(MONTH(B400)=10,"O",IF(MONTH(B400)=11,"N",IF(MONTH(B400)=12,"D","")))))))))))),"")</f>
        <v/>
      </c>
    </row>
    <row r="401" spans="3:7">
      <c r="C401" s="186" t="s">
        <v>588</v>
      </c>
      <c r="D401" s="186" t="s">
        <v>588</v>
      </c>
      <c r="E401" s="186" t="str">
        <f t="shared" si="20"/>
        <v/>
      </c>
      <c r="F401" s="215" t="str">
        <f t="shared" si="21"/>
        <v/>
      </c>
    </row>
    <row r="402" spans="3:7">
      <c r="C402" s="186" t="s">
        <v>588</v>
      </c>
      <c r="D402" s="186" t="s">
        <v>588</v>
      </c>
      <c r="E402" s="186" t="str">
        <f t="shared" si="20"/>
        <v/>
      </c>
      <c r="F402" s="215" t="str">
        <f t="shared" si="21"/>
        <v/>
      </c>
    </row>
    <row r="403" spans="3:7">
      <c r="C403" s="186" t="s">
        <v>588</v>
      </c>
      <c r="D403" s="186" t="s">
        <v>588</v>
      </c>
      <c r="E403" s="186" t="str">
        <f t="shared" si="20"/>
        <v/>
      </c>
      <c r="F403" s="215" t="str">
        <f t="shared" si="21"/>
        <v/>
      </c>
    </row>
    <row r="404" spans="3:7">
      <c r="C404" s="186" t="s">
        <v>588</v>
      </c>
      <c r="D404" s="186" t="s">
        <v>588</v>
      </c>
      <c r="E404" s="186" t="str">
        <f t="shared" si="20"/>
        <v/>
      </c>
      <c r="F404" s="215" t="str">
        <f t="shared" si="21"/>
        <v/>
      </c>
    </row>
    <row r="405" spans="3:7">
      <c r="C405" s="186" t="s">
        <v>588</v>
      </c>
      <c r="D405" s="186" t="s">
        <v>588</v>
      </c>
      <c r="E405" s="186" t="str">
        <f t="shared" si="20"/>
        <v/>
      </c>
      <c r="F405" s="215" t="str">
        <f t="shared" si="21"/>
        <v/>
      </c>
    </row>
    <row r="406" spans="3:7">
      <c r="C406" s="186" t="s">
        <v>588</v>
      </c>
      <c r="D406" s="186" t="s">
        <v>588</v>
      </c>
      <c r="E406" s="186" t="str">
        <f t="shared" si="20"/>
        <v/>
      </c>
      <c r="F406" s="215" t="str">
        <f t="shared" si="21"/>
        <v/>
      </c>
    </row>
    <row r="407" spans="3:7">
      <c r="C407" s="186" t="s">
        <v>588</v>
      </c>
      <c r="D407" s="186" t="s">
        <v>588</v>
      </c>
      <c r="E407" s="186" t="str">
        <f t="shared" si="20"/>
        <v/>
      </c>
      <c r="F407" s="215" t="str">
        <f t="shared" si="21"/>
        <v/>
      </c>
    </row>
    <row r="408" spans="3:7">
      <c r="C408" s="186" t="s">
        <v>588</v>
      </c>
      <c r="D408" s="186" t="s">
        <v>588</v>
      </c>
      <c r="E408" s="186" t="str">
        <f t="shared" si="20"/>
        <v/>
      </c>
      <c r="F408" s="215" t="str">
        <f t="shared" si="21"/>
        <v/>
      </c>
    </row>
    <row r="409" spans="3:7">
      <c r="C409" s="186" t="s">
        <v>588</v>
      </c>
      <c r="D409" s="186" t="s">
        <v>588</v>
      </c>
      <c r="E409" s="186" t="str">
        <f t="shared" si="20"/>
        <v/>
      </c>
      <c r="F409" s="215" t="str">
        <f t="shared" si="21"/>
        <v/>
      </c>
    </row>
    <row r="410" spans="3:7">
      <c r="C410" s="186" t="s">
        <v>588</v>
      </c>
      <c r="D410" s="186" t="s">
        <v>588</v>
      </c>
      <c r="E410" s="186" t="str">
        <f t="shared" si="20"/>
        <v/>
      </c>
      <c r="F410" s="215" t="str">
        <f t="shared" si="21"/>
        <v/>
      </c>
    </row>
    <row r="411" spans="3:7">
      <c r="C411" s="186" t="s">
        <v>588</v>
      </c>
      <c r="D411" s="186" t="s">
        <v>588</v>
      </c>
      <c r="E411" s="186" t="str">
        <f t="shared" si="20"/>
        <v/>
      </c>
      <c r="F411" s="215" t="str">
        <f t="shared" si="21"/>
        <v/>
      </c>
      <c r="G411" s="216" t="str">
        <f t="shared" ref="G411:G412" si="22">IF(DAY(B411)=15,D411,"")</f>
        <v/>
      </c>
    </row>
    <row r="412" spans="3:7">
      <c r="C412" s="186" t="s">
        <v>588</v>
      </c>
      <c r="D412" s="186" t="s">
        <v>588</v>
      </c>
      <c r="E412" s="186" t="str">
        <f t="shared" si="20"/>
        <v/>
      </c>
      <c r="F412" s="215" t="str">
        <f t="shared" si="21"/>
        <v/>
      </c>
      <c r="G412" s="216" t="str">
        <f t="shared" si="22"/>
        <v/>
      </c>
    </row>
    <row r="413" spans="3:7">
      <c r="C413" s="186" t="s">
        <v>588</v>
      </c>
      <c r="D413" s="186" t="s">
        <v>588</v>
      </c>
      <c r="E413" s="186" t="str">
        <f t="shared" si="20"/>
        <v/>
      </c>
    </row>
    <row r="414" spans="3:7">
      <c r="C414" s="186" t="s">
        <v>588</v>
      </c>
      <c r="D414" s="186" t="s">
        <v>588</v>
      </c>
      <c r="E414" s="186" t="str">
        <f t="shared" si="20"/>
        <v/>
      </c>
    </row>
    <row r="415" spans="3:7">
      <c r="C415" s="186" t="s">
        <v>588</v>
      </c>
      <c r="D415" s="186" t="s">
        <v>588</v>
      </c>
      <c r="E415" s="186" t="str">
        <f t="shared" si="20"/>
        <v/>
      </c>
    </row>
    <row r="416" spans="3:7">
      <c r="C416" s="186" t="s">
        <v>588</v>
      </c>
      <c r="D416" s="186" t="s">
        <v>588</v>
      </c>
      <c r="E416" s="186" t="str">
        <f t="shared" si="20"/>
        <v/>
      </c>
    </row>
    <row r="417" spans="3:5">
      <c r="C417" s="186" t="s">
        <v>588</v>
      </c>
      <c r="D417" s="186" t="s">
        <v>588</v>
      </c>
      <c r="E417" s="186" t="str">
        <f t="shared" si="20"/>
        <v/>
      </c>
    </row>
    <row r="418" spans="3:5">
      <c r="C418" s="186" t="s">
        <v>588</v>
      </c>
      <c r="D418" s="186" t="s">
        <v>588</v>
      </c>
      <c r="E418" s="186" t="str">
        <f t="shared" si="20"/>
        <v/>
      </c>
    </row>
    <row r="419" spans="3:5">
      <c r="C419" s="186" t="s">
        <v>588</v>
      </c>
      <c r="D419" s="186" t="s">
        <v>588</v>
      </c>
      <c r="E419" s="186" t="str">
        <f t="shared" si="20"/>
        <v/>
      </c>
    </row>
    <row r="420" spans="3:5">
      <c r="C420" s="186" t="s">
        <v>588</v>
      </c>
      <c r="D420" s="186" t="s">
        <v>588</v>
      </c>
      <c r="E420" s="186" t="str">
        <f t="shared" si="20"/>
        <v/>
      </c>
    </row>
    <row r="421" spans="3:5">
      <c r="C421" s="186" t="s">
        <v>588</v>
      </c>
      <c r="D421" s="186" t="s">
        <v>588</v>
      </c>
      <c r="E421" s="186" t="str">
        <f t="shared" si="20"/>
        <v/>
      </c>
    </row>
    <row r="422" spans="3:5">
      <c r="C422" s="186" t="s">
        <v>588</v>
      </c>
      <c r="D422" s="186" t="s">
        <v>588</v>
      </c>
      <c r="E422" s="186" t="str">
        <f t="shared" si="20"/>
        <v/>
      </c>
    </row>
    <row r="423" spans="3:5">
      <c r="C423" s="186" t="s">
        <v>588</v>
      </c>
      <c r="D423" s="186" t="s">
        <v>588</v>
      </c>
      <c r="E423" s="186" t="str">
        <f t="shared" si="20"/>
        <v/>
      </c>
    </row>
    <row r="424" spans="3:5">
      <c r="C424" s="186" t="s">
        <v>588</v>
      </c>
      <c r="D424" s="186" t="s">
        <v>588</v>
      </c>
      <c r="E424" s="186" t="str">
        <f t="shared" si="20"/>
        <v/>
      </c>
    </row>
    <row r="425" spans="3:5">
      <c r="C425" s="186" t="s">
        <v>588</v>
      </c>
      <c r="D425" s="186" t="s">
        <v>588</v>
      </c>
      <c r="E425" s="186" t="str">
        <f t="shared" si="20"/>
        <v/>
      </c>
    </row>
    <row r="426" spans="3:5">
      <c r="C426" s="186" t="s">
        <v>588</v>
      </c>
      <c r="D426" s="186" t="s">
        <v>588</v>
      </c>
      <c r="E426" s="186" t="str">
        <f t="shared" si="20"/>
        <v/>
      </c>
    </row>
    <row r="427" spans="3:5">
      <c r="C427" s="186" t="s">
        <v>588</v>
      </c>
      <c r="D427" s="186" t="s">
        <v>588</v>
      </c>
      <c r="E427" s="186" t="str">
        <f t="shared" si="20"/>
        <v/>
      </c>
    </row>
    <row r="428" spans="3:5">
      <c r="C428" s="186" t="s">
        <v>588</v>
      </c>
      <c r="D428" s="186" t="s">
        <v>588</v>
      </c>
      <c r="E428" s="186" t="str">
        <f t="shared" si="20"/>
        <v/>
      </c>
    </row>
    <row r="429" spans="3:5">
      <c r="C429" s="186" t="s">
        <v>588</v>
      </c>
      <c r="D429" s="186" t="s">
        <v>588</v>
      </c>
      <c r="E429" s="186" t="str">
        <f t="shared" si="20"/>
        <v/>
      </c>
    </row>
    <row r="430" spans="3:5">
      <c r="C430" s="186" t="s">
        <v>588</v>
      </c>
      <c r="D430" s="186" t="s">
        <v>588</v>
      </c>
      <c r="E430" s="186" t="str">
        <f t="shared" si="20"/>
        <v/>
      </c>
    </row>
    <row r="431" spans="3:5">
      <c r="C431" s="186" t="s">
        <v>588</v>
      </c>
      <c r="D431" s="186" t="s">
        <v>588</v>
      </c>
      <c r="E431" s="186" t="str">
        <f t="shared" si="20"/>
        <v/>
      </c>
    </row>
    <row r="432" spans="3:5">
      <c r="C432" s="186" t="s">
        <v>588</v>
      </c>
      <c r="D432" s="186" t="s">
        <v>588</v>
      </c>
      <c r="E432" s="186" t="str">
        <f t="shared" si="20"/>
        <v/>
      </c>
    </row>
    <row r="433" spans="3:5">
      <c r="C433" s="186" t="s">
        <v>588</v>
      </c>
      <c r="D433" s="186" t="s">
        <v>588</v>
      </c>
      <c r="E433" s="186" t="str">
        <f t="shared" si="20"/>
        <v/>
      </c>
    </row>
    <row r="434" spans="3:5">
      <c r="C434" s="186" t="s">
        <v>588</v>
      </c>
      <c r="D434" s="186" t="s">
        <v>588</v>
      </c>
      <c r="E434" s="186" t="str">
        <f t="shared" si="20"/>
        <v/>
      </c>
    </row>
    <row r="435" spans="3:5">
      <c r="C435" s="186" t="s">
        <v>588</v>
      </c>
      <c r="D435" s="186" t="s">
        <v>588</v>
      </c>
      <c r="E435" s="186" t="str">
        <f t="shared" si="20"/>
        <v/>
      </c>
    </row>
    <row r="436" spans="3:5">
      <c r="C436" s="186" t="s">
        <v>588</v>
      </c>
      <c r="D436" s="186" t="s">
        <v>588</v>
      </c>
      <c r="E436" s="186" t="str">
        <f t="shared" si="20"/>
        <v/>
      </c>
    </row>
    <row r="437" spans="3:5">
      <c r="C437" s="186" t="s">
        <v>588</v>
      </c>
      <c r="D437" s="186" t="s">
        <v>588</v>
      </c>
      <c r="E437" s="186" t="str">
        <f t="shared" si="20"/>
        <v/>
      </c>
    </row>
    <row r="438" spans="3:5">
      <c r="C438" s="186" t="s">
        <v>588</v>
      </c>
      <c r="D438" s="186" t="s">
        <v>588</v>
      </c>
      <c r="E438" s="186" t="str">
        <f t="shared" si="20"/>
        <v/>
      </c>
    </row>
    <row r="439" spans="3:5">
      <c r="C439" s="186" t="s">
        <v>588</v>
      </c>
      <c r="D439" s="186" t="s">
        <v>588</v>
      </c>
      <c r="E439" s="186" t="str">
        <f t="shared" si="20"/>
        <v/>
      </c>
    </row>
    <row r="440" spans="3:5">
      <c r="C440" s="186" t="s">
        <v>588</v>
      </c>
      <c r="D440" s="186" t="s">
        <v>588</v>
      </c>
      <c r="E440" s="186" t="str">
        <f t="shared" si="20"/>
        <v/>
      </c>
    </row>
    <row r="441" spans="3:5">
      <c r="C441" s="186" t="s">
        <v>588</v>
      </c>
      <c r="D441" s="186" t="s">
        <v>588</v>
      </c>
      <c r="E441" s="186" t="str">
        <f t="shared" si="20"/>
        <v/>
      </c>
    </row>
    <row r="442" spans="3:5">
      <c r="C442" s="186" t="s">
        <v>588</v>
      </c>
      <c r="D442" s="186" t="s">
        <v>588</v>
      </c>
      <c r="E442" s="186" t="str">
        <f t="shared" si="20"/>
        <v/>
      </c>
    </row>
    <row r="443" spans="3:5">
      <c r="C443" s="186" t="s">
        <v>588</v>
      </c>
      <c r="D443" s="186" t="s">
        <v>588</v>
      </c>
      <c r="E443" s="186" t="str">
        <f t="shared" si="20"/>
        <v/>
      </c>
    </row>
    <row r="444" spans="3:5">
      <c r="C444" s="186" t="s">
        <v>588</v>
      </c>
      <c r="D444" s="186" t="s">
        <v>588</v>
      </c>
      <c r="E444" s="186" t="str">
        <f t="shared" si="20"/>
        <v/>
      </c>
    </row>
    <row r="445" spans="3:5">
      <c r="C445" s="186" t="s">
        <v>588</v>
      </c>
      <c r="D445" s="186" t="s">
        <v>588</v>
      </c>
      <c r="E445" s="186" t="str">
        <f t="shared" si="20"/>
        <v/>
      </c>
    </row>
    <row r="446" spans="3:5">
      <c r="C446" s="186" t="s">
        <v>588</v>
      </c>
      <c r="D446" s="186" t="s">
        <v>588</v>
      </c>
      <c r="E446" s="186" t="str">
        <f t="shared" si="20"/>
        <v/>
      </c>
    </row>
    <row r="447" spans="3:5">
      <c r="C447" s="186" t="s">
        <v>588</v>
      </c>
      <c r="D447" s="186" t="s">
        <v>588</v>
      </c>
      <c r="E447" s="186" t="str">
        <f t="shared" si="20"/>
        <v/>
      </c>
    </row>
    <row r="448" spans="3:5">
      <c r="C448" s="186" t="s">
        <v>588</v>
      </c>
      <c r="D448" s="186" t="s">
        <v>588</v>
      </c>
      <c r="E448" s="186" t="str">
        <f t="shared" si="20"/>
        <v/>
      </c>
    </row>
    <row r="449" spans="3:5">
      <c r="C449" s="186" t="s">
        <v>588</v>
      </c>
      <c r="D449" s="186" t="s">
        <v>588</v>
      </c>
      <c r="E449" s="186" t="str">
        <f t="shared" si="20"/>
        <v/>
      </c>
    </row>
    <row r="450" spans="3:5">
      <c r="C450" s="186" t="s">
        <v>588</v>
      </c>
      <c r="D450" s="186" t="s">
        <v>588</v>
      </c>
      <c r="E450" s="186" t="str">
        <f t="shared" si="20"/>
        <v/>
      </c>
    </row>
    <row r="451" spans="3:5">
      <c r="C451" s="186" t="s">
        <v>588</v>
      </c>
      <c r="D451" s="186" t="s">
        <v>588</v>
      </c>
      <c r="E451" s="186" t="str">
        <f t="shared" si="20"/>
        <v/>
      </c>
    </row>
    <row r="452" spans="3:5">
      <c r="C452" s="186" t="s">
        <v>588</v>
      </c>
      <c r="D452" s="186" t="s">
        <v>588</v>
      </c>
      <c r="E452" s="186" t="str">
        <f t="shared" ref="E452:E515" si="23">IF(C452&lt;D452,C452,D452)</f>
        <v/>
      </c>
    </row>
    <row r="453" spans="3:5">
      <c r="C453" s="186" t="s">
        <v>588</v>
      </c>
      <c r="D453" s="186" t="s">
        <v>588</v>
      </c>
      <c r="E453" s="186" t="str">
        <f t="shared" si="23"/>
        <v/>
      </c>
    </row>
    <row r="454" spans="3:5">
      <c r="C454" s="186" t="s">
        <v>588</v>
      </c>
      <c r="D454" s="186" t="s">
        <v>588</v>
      </c>
      <c r="E454" s="186" t="str">
        <f t="shared" si="23"/>
        <v/>
      </c>
    </row>
    <row r="455" spans="3:5">
      <c r="C455" s="186" t="s">
        <v>588</v>
      </c>
      <c r="D455" s="186" t="s">
        <v>588</v>
      </c>
      <c r="E455" s="186" t="str">
        <f t="shared" si="23"/>
        <v/>
      </c>
    </row>
    <row r="456" spans="3:5">
      <c r="C456" s="186" t="s">
        <v>588</v>
      </c>
      <c r="D456" s="186" t="s">
        <v>588</v>
      </c>
      <c r="E456" s="186" t="str">
        <f t="shared" si="23"/>
        <v/>
      </c>
    </row>
    <row r="457" spans="3:5">
      <c r="C457" s="186" t="s">
        <v>588</v>
      </c>
      <c r="D457" s="186" t="s">
        <v>588</v>
      </c>
      <c r="E457" s="186" t="str">
        <f t="shared" si="23"/>
        <v/>
      </c>
    </row>
    <row r="458" spans="3:5">
      <c r="C458" s="186" t="s">
        <v>588</v>
      </c>
      <c r="D458" s="186" t="s">
        <v>588</v>
      </c>
      <c r="E458" s="186" t="str">
        <f t="shared" si="23"/>
        <v/>
      </c>
    </row>
    <row r="459" spans="3:5">
      <c r="C459" s="186" t="s">
        <v>588</v>
      </c>
      <c r="D459" s="186" t="s">
        <v>588</v>
      </c>
      <c r="E459" s="186" t="str">
        <f t="shared" si="23"/>
        <v/>
      </c>
    </row>
    <row r="460" spans="3:5">
      <c r="C460" s="186" t="s">
        <v>588</v>
      </c>
      <c r="D460" s="186" t="s">
        <v>588</v>
      </c>
      <c r="E460" s="186" t="str">
        <f t="shared" si="23"/>
        <v/>
      </c>
    </row>
    <row r="461" spans="3:5">
      <c r="C461" s="186" t="s">
        <v>588</v>
      </c>
      <c r="D461" s="186" t="s">
        <v>588</v>
      </c>
      <c r="E461" s="186" t="str">
        <f t="shared" si="23"/>
        <v/>
      </c>
    </row>
    <row r="462" spans="3:5">
      <c r="C462" s="186" t="s">
        <v>588</v>
      </c>
      <c r="D462" s="186" t="s">
        <v>588</v>
      </c>
      <c r="E462" s="186" t="str">
        <f t="shared" si="23"/>
        <v/>
      </c>
    </row>
    <row r="463" spans="3:5">
      <c r="C463" s="186" t="s">
        <v>588</v>
      </c>
      <c r="D463" s="186" t="s">
        <v>588</v>
      </c>
      <c r="E463" s="186" t="str">
        <f t="shared" si="23"/>
        <v/>
      </c>
    </row>
    <row r="464" spans="3:5">
      <c r="C464" s="186" t="s">
        <v>588</v>
      </c>
      <c r="D464" s="186" t="s">
        <v>588</v>
      </c>
      <c r="E464" s="186" t="str">
        <f t="shared" si="23"/>
        <v/>
      </c>
    </row>
    <row r="465" spans="3:5">
      <c r="C465" s="186" t="s">
        <v>588</v>
      </c>
      <c r="D465" s="186" t="s">
        <v>588</v>
      </c>
      <c r="E465" s="186" t="str">
        <f t="shared" si="23"/>
        <v/>
      </c>
    </row>
    <row r="466" spans="3:5">
      <c r="C466" s="186" t="s">
        <v>588</v>
      </c>
      <c r="D466" s="186" t="s">
        <v>588</v>
      </c>
      <c r="E466" s="186" t="str">
        <f t="shared" si="23"/>
        <v/>
      </c>
    </row>
    <row r="467" spans="3:5">
      <c r="C467" s="186" t="s">
        <v>588</v>
      </c>
      <c r="D467" s="186" t="s">
        <v>588</v>
      </c>
      <c r="E467" s="186" t="str">
        <f t="shared" si="23"/>
        <v/>
      </c>
    </row>
    <row r="468" spans="3:5">
      <c r="C468" s="186" t="s">
        <v>588</v>
      </c>
      <c r="D468" s="186" t="s">
        <v>588</v>
      </c>
      <c r="E468" s="186" t="str">
        <f t="shared" si="23"/>
        <v/>
      </c>
    </row>
    <row r="469" spans="3:5">
      <c r="C469" s="186" t="s">
        <v>588</v>
      </c>
      <c r="D469" s="186" t="s">
        <v>588</v>
      </c>
      <c r="E469" s="186" t="str">
        <f t="shared" si="23"/>
        <v/>
      </c>
    </row>
    <row r="470" spans="3:5">
      <c r="C470" s="186" t="s">
        <v>588</v>
      </c>
      <c r="D470" s="186" t="s">
        <v>588</v>
      </c>
      <c r="E470" s="186" t="str">
        <f t="shared" si="23"/>
        <v/>
      </c>
    </row>
    <row r="471" spans="3:5">
      <c r="C471" s="186" t="s">
        <v>588</v>
      </c>
      <c r="D471" s="186" t="s">
        <v>588</v>
      </c>
      <c r="E471" s="186" t="str">
        <f t="shared" si="23"/>
        <v/>
      </c>
    </row>
    <row r="472" spans="3:5">
      <c r="C472" s="186" t="s">
        <v>588</v>
      </c>
      <c r="D472" s="186" t="s">
        <v>588</v>
      </c>
      <c r="E472" s="186" t="str">
        <f t="shared" si="23"/>
        <v/>
      </c>
    </row>
    <row r="473" spans="3:5">
      <c r="C473" s="186" t="s">
        <v>588</v>
      </c>
      <c r="D473" s="186" t="s">
        <v>588</v>
      </c>
      <c r="E473" s="186" t="str">
        <f t="shared" si="23"/>
        <v/>
      </c>
    </row>
    <row r="474" spans="3:5">
      <c r="C474" s="186" t="s">
        <v>588</v>
      </c>
      <c r="D474" s="186" t="s">
        <v>588</v>
      </c>
      <c r="E474" s="186" t="str">
        <f t="shared" si="23"/>
        <v/>
      </c>
    </row>
    <row r="475" spans="3:5">
      <c r="C475" s="186" t="s">
        <v>588</v>
      </c>
      <c r="D475" s="186" t="s">
        <v>588</v>
      </c>
      <c r="E475" s="186" t="str">
        <f t="shared" si="23"/>
        <v/>
      </c>
    </row>
    <row r="476" spans="3:5">
      <c r="C476" s="186" t="s">
        <v>588</v>
      </c>
      <c r="D476" s="186" t="s">
        <v>588</v>
      </c>
      <c r="E476" s="186" t="str">
        <f t="shared" si="23"/>
        <v/>
      </c>
    </row>
    <row r="477" spans="3:5">
      <c r="C477" s="186" t="s">
        <v>588</v>
      </c>
      <c r="D477" s="186" t="s">
        <v>588</v>
      </c>
      <c r="E477" s="186" t="str">
        <f t="shared" si="23"/>
        <v/>
      </c>
    </row>
    <row r="478" spans="3:5">
      <c r="C478" s="186" t="s">
        <v>588</v>
      </c>
      <c r="D478" s="186" t="s">
        <v>588</v>
      </c>
      <c r="E478" s="186" t="str">
        <f t="shared" si="23"/>
        <v/>
      </c>
    </row>
    <row r="479" spans="3:5">
      <c r="C479" s="186" t="s">
        <v>588</v>
      </c>
      <c r="D479" s="186" t="s">
        <v>588</v>
      </c>
      <c r="E479" s="186" t="str">
        <f t="shared" si="23"/>
        <v/>
      </c>
    </row>
    <row r="480" spans="3:5">
      <c r="C480" s="186" t="s">
        <v>588</v>
      </c>
      <c r="D480" s="186" t="s">
        <v>588</v>
      </c>
      <c r="E480" s="186" t="str">
        <f t="shared" si="23"/>
        <v/>
      </c>
    </row>
    <row r="481" spans="3:5">
      <c r="C481" s="186" t="s">
        <v>588</v>
      </c>
      <c r="D481" s="186" t="s">
        <v>588</v>
      </c>
      <c r="E481" s="186" t="str">
        <f t="shared" si="23"/>
        <v/>
      </c>
    </row>
    <row r="482" spans="3:5">
      <c r="C482" s="186" t="s">
        <v>588</v>
      </c>
      <c r="D482" s="186" t="s">
        <v>588</v>
      </c>
      <c r="E482" s="186" t="str">
        <f t="shared" si="23"/>
        <v/>
      </c>
    </row>
    <row r="483" spans="3:5">
      <c r="C483" s="186" t="s">
        <v>588</v>
      </c>
      <c r="D483" s="186" t="s">
        <v>588</v>
      </c>
      <c r="E483" s="186" t="str">
        <f t="shared" si="23"/>
        <v/>
      </c>
    </row>
    <row r="484" spans="3:5">
      <c r="C484" s="186" t="s">
        <v>588</v>
      </c>
      <c r="D484" s="186" t="s">
        <v>588</v>
      </c>
      <c r="E484" s="186" t="str">
        <f t="shared" si="23"/>
        <v/>
      </c>
    </row>
    <row r="485" spans="3:5">
      <c r="C485" s="186" t="s">
        <v>588</v>
      </c>
      <c r="D485" s="186" t="s">
        <v>588</v>
      </c>
      <c r="E485" s="186" t="str">
        <f t="shared" si="23"/>
        <v/>
      </c>
    </row>
    <row r="486" spans="3:5">
      <c r="C486" s="186" t="s">
        <v>588</v>
      </c>
      <c r="D486" s="186" t="s">
        <v>588</v>
      </c>
      <c r="E486" s="186" t="str">
        <f t="shared" si="23"/>
        <v/>
      </c>
    </row>
    <row r="487" spans="3:5">
      <c r="C487" s="186" t="s">
        <v>588</v>
      </c>
      <c r="D487" s="186" t="s">
        <v>588</v>
      </c>
      <c r="E487" s="186" t="str">
        <f t="shared" si="23"/>
        <v/>
      </c>
    </row>
    <row r="488" spans="3:5">
      <c r="C488" s="186" t="s">
        <v>588</v>
      </c>
      <c r="D488" s="186" t="s">
        <v>588</v>
      </c>
      <c r="E488" s="186" t="str">
        <f t="shared" si="23"/>
        <v/>
      </c>
    </row>
    <row r="489" spans="3:5">
      <c r="C489" s="186" t="s">
        <v>588</v>
      </c>
      <c r="D489" s="186" t="s">
        <v>588</v>
      </c>
      <c r="E489" s="186" t="str">
        <f t="shared" si="23"/>
        <v/>
      </c>
    </row>
    <row r="490" spans="3:5">
      <c r="C490" s="186" t="s">
        <v>588</v>
      </c>
      <c r="D490" s="186" t="s">
        <v>588</v>
      </c>
      <c r="E490" s="186" t="str">
        <f t="shared" si="23"/>
        <v/>
      </c>
    </row>
    <row r="491" spans="3:5">
      <c r="C491" s="186" t="s">
        <v>588</v>
      </c>
      <c r="D491" s="186" t="s">
        <v>588</v>
      </c>
      <c r="E491" s="186" t="str">
        <f t="shared" si="23"/>
        <v/>
      </c>
    </row>
    <row r="492" spans="3:5">
      <c r="C492" s="186" t="s">
        <v>588</v>
      </c>
      <c r="D492" s="186" t="s">
        <v>588</v>
      </c>
      <c r="E492" s="186" t="str">
        <f t="shared" si="23"/>
        <v/>
      </c>
    </row>
    <row r="493" spans="3:5">
      <c r="C493" s="186" t="s">
        <v>588</v>
      </c>
      <c r="D493" s="186" t="s">
        <v>588</v>
      </c>
      <c r="E493" s="186" t="str">
        <f t="shared" si="23"/>
        <v/>
      </c>
    </row>
    <row r="494" spans="3:5">
      <c r="C494" s="186" t="s">
        <v>588</v>
      </c>
      <c r="D494" s="186" t="s">
        <v>588</v>
      </c>
      <c r="E494" s="186" t="str">
        <f t="shared" si="23"/>
        <v/>
      </c>
    </row>
    <row r="495" spans="3:5">
      <c r="C495" s="186" t="s">
        <v>588</v>
      </c>
      <c r="D495" s="186" t="s">
        <v>588</v>
      </c>
      <c r="E495" s="186" t="str">
        <f t="shared" si="23"/>
        <v/>
      </c>
    </row>
    <row r="496" spans="3:5">
      <c r="C496" s="186" t="s">
        <v>588</v>
      </c>
      <c r="D496" s="186" t="s">
        <v>588</v>
      </c>
      <c r="E496" s="186" t="str">
        <f t="shared" si="23"/>
        <v/>
      </c>
    </row>
    <row r="497" spans="3:5">
      <c r="C497" s="186" t="s">
        <v>588</v>
      </c>
      <c r="D497" s="186" t="s">
        <v>588</v>
      </c>
      <c r="E497" s="186" t="str">
        <f t="shared" si="23"/>
        <v/>
      </c>
    </row>
    <row r="498" spans="3:5">
      <c r="C498" s="186" t="s">
        <v>588</v>
      </c>
      <c r="D498" s="186" t="s">
        <v>588</v>
      </c>
      <c r="E498" s="186" t="str">
        <f t="shared" si="23"/>
        <v/>
      </c>
    </row>
    <row r="499" spans="3:5">
      <c r="C499" s="186" t="s">
        <v>588</v>
      </c>
      <c r="D499" s="186" t="s">
        <v>588</v>
      </c>
      <c r="E499" s="186" t="str">
        <f t="shared" si="23"/>
        <v/>
      </c>
    </row>
    <row r="500" spans="3:5">
      <c r="C500" s="186" t="s">
        <v>588</v>
      </c>
      <c r="D500" s="186" t="s">
        <v>588</v>
      </c>
      <c r="E500" s="186" t="str">
        <f t="shared" si="23"/>
        <v/>
      </c>
    </row>
    <row r="501" spans="3:5">
      <c r="C501" s="186" t="s">
        <v>588</v>
      </c>
      <c r="D501" s="186" t="s">
        <v>588</v>
      </c>
      <c r="E501" s="186" t="str">
        <f t="shared" si="23"/>
        <v/>
      </c>
    </row>
    <row r="502" spans="3:5">
      <c r="C502" s="186" t="s">
        <v>588</v>
      </c>
      <c r="D502" s="186" t="s">
        <v>588</v>
      </c>
      <c r="E502" s="186" t="str">
        <f t="shared" si="23"/>
        <v/>
      </c>
    </row>
    <row r="503" spans="3:5">
      <c r="C503" s="186" t="s">
        <v>588</v>
      </c>
      <c r="D503" s="186" t="s">
        <v>588</v>
      </c>
      <c r="E503" s="186" t="str">
        <f t="shared" si="23"/>
        <v/>
      </c>
    </row>
    <row r="504" spans="3:5">
      <c r="C504" s="186" t="s">
        <v>588</v>
      </c>
      <c r="D504" s="186" t="s">
        <v>588</v>
      </c>
      <c r="E504" s="186" t="str">
        <f t="shared" si="23"/>
        <v/>
      </c>
    </row>
    <row r="505" spans="3:5">
      <c r="C505" s="186" t="s">
        <v>588</v>
      </c>
      <c r="D505" s="186" t="s">
        <v>588</v>
      </c>
      <c r="E505" s="186" t="str">
        <f t="shared" si="23"/>
        <v/>
      </c>
    </row>
    <row r="506" spans="3:5">
      <c r="C506" s="186" t="s">
        <v>588</v>
      </c>
      <c r="D506" s="186" t="s">
        <v>588</v>
      </c>
      <c r="E506" s="186" t="str">
        <f t="shared" si="23"/>
        <v/>
      </c>
    </row>
    <row r="507" spans="3:5">
      <c r="C507" s="186" t="s">
        <v>588</v>
      </c>
      <c r="D507" s="186" t="s">
        <v>588</v>
      </c>
      <c r="E507" s="186" t="str">
        <f t="shared" si="23"/>
        <v/>
      </c>
    </row>
    <row r="508" spans="3:5">
      <c r="C508" s="186" t="s">
        <v>588</v>
      </c>
      <c r="D508" s="186" t="s">
        <v>588</v>
      </c>
      <c r="E508" s="186" t="str">
        <f t="shared" si="23"/>
        <v/>
      </c>
    </row>
    <row r="509" spans="3:5">
      <c r="C509" s="186" t="s">
        <v>588</v>
      </c>
      <c r="D509" s="186" t="s">
        <v>588</v>
      </c>
      <c r="E509" s="186" t="str">
        <f t="shared" si="23"/>
        <v/>
      </c>
    </row>
    <row r="510" spans="3:5">
      <c r="C510" s="186" t="s">
        <v>588</v>
      </c>
      <c r="D510" s="186" t="s">
        <v>588</v>
      </c>
      <c r="E510" s="186" t="str">
        <f t="shared" si="23"/>
        <v/>
      </c>
    </row>
    <row r="511" spans="3:5">
      <c r="C511" s="186" t="s">
        <v>588</v>
      </c>
      <c r="D511" s="186" t="s">
        <v>588</v>
      </c>
      <c r="E511" s="186" t="str">
        <f t="shared" si="23"/>
        <v/>
      </c>
    </row>
    <row r="512" spans="3:5">
      <c r="C512" s="186" t="s">
        <v>588</v>
      </c>
      <c r="D512" s="186" t="s">
        <v>588</v>
      </c>
      <c r="E512" s="186" t="str">
        <f t="shared" si="23"/>
        <v/>
      </c>
    </row>
    <row r="513" spans="3:5">
      <c r="C513" s="186" t="s">
        <v>588</v>
      </c>
      <c r="D513" s="186" t="s">
        <v>588</v>
      </c>
      <c r="E513" s="186" t="str">
        <f t="shared" si="23"/>
        <v/>
      </c>
    </row>
    <row r="514" spans="3:5">
      <c r="C514" s="186" t="s">
        <v>588</v>
      </c>
      <c r="D514" s="186" t="s">
        <v>588</v>
      </c>
      <c r="E514" s="186" t="str">
        <f t="shared" si="23"/>
        <v/>
      </c>
    </row>
    <row r="515" spans="3:5">
      <c r="C515" s="186" t="s">
        <v>588</v>
      </c>
      <c r="D515" s="186" t="s">
        <v>588</v>
      </c>
      <c r="E515" s="186" t="str">
        <f t="shared" si="23"/>
        <v/>
      </c>
    </row>
    <row r="516" spans="3:5">
      <c r="C516" s="186" t="s">
        <v>588</v>
      </c>
      <c r="D516" s="186" t="s">
        <v>588</v>
      </c>
      <c r="E516" s="186" t="str">
        <f t="shared" ref="E516:E579" si="24">IF(C516&lt;D516,C516,D516)</f>
        <v/>
      </c>
    </row>
    <row r="517" spans="3:5">
      <c r="C517" s="186" t="s">
        <v>588</v>
      </c>
      <c r="D517" s="186" t="s">
        <v>588</v>
      </c>
      <c r="E517" s="186" t="str">
        <f t="shared" si="24"/>
        <v/>
      </c>
    </row>
    <row r="518" spans="3:5">
      <c r="C518" s="186" t="s">
        <v>588</v>
      </c>
      <c r="D518" s="186" t="s">
        <v>588</v>
      </c>
      <c r="E518" s="186" t="str">
        <f t="shared" si="24"/>
        <v/>
      </c>
    </row>
    <row r="519" spans="3:5">
      <c r="C519" s="186" t="s">
        <v>588</v>
      </c>
      <c r="D519" s="186" t="s">
        <v>588</v>
      </c>
      <c r="E519" s="186" t="str">
        <f t="shared" si="24"/>
        <v/>
      </c>
    </row>
    <row r="520" spans="3:5">
      <c r="C520" s="186" t="s">
        <v>588</v>
      </c>
      <c r="D520" s="186" t="s">
        <v>588</v>
      </c>
      <c r="E520" s="186" t="str">
        <f t="shared" si="24"/>
        <v/>
      </c>
    </row>
    <row r="521" spans="3:5">
      <c r="C521" s="186" t="s">
        <v>588</v>
      </c>
      <c r="D521" s="186" t="s">
        <v>588</v>
      </c>
      <c r="E521" s="186" t="str">
        <f t="shared" si="24"/>
        <v/>
      </c>
    </row>
    <row r="522" spans="3:5">
      <c r="C522" s="186" t="s">
        <v>588</v>
      </c>
      <c r="D522" s="186" t="s">
        <v>588</v>
      </c>
      <c r="E522" s="186" t="str">
        <f t="shared" si="24"/>
        <v/>
      </c>
    </row>
    <row r="523" spans="3:5">
      <c r="C523" s="186" t="s">
        <v>588</v>
      </c>
      <c r="D523" s="186" t="s">
        <v>588</v>
      </c>
      <c r="E523" s="186" t="str">
        <f t="shared" si="24"/>
        <v/>
      </c>
    </row>
    <row r="524" spans="3:5">
      <c r="C524" s="186" t="s">
        <v>588</v>
      </c>
      <c r="D524" s="186" t="s">
        <v>588</v>
      </c>
      <c r="E524" s="186" t="str">
        <f t="shared" si="24"/>
        <v/>
      </c>
    </row>
    <row r="525" spans="3:5">
      <c r="C525" s="186" t="s">
        <v>588</v>
      </c>
      <c r="D525" s="186" t="s">
        <v>588</v>
      </c>
      <c r="E525" s="186" t="str">
        <f t="shared" si="24"/>
        <v/>
      </c>
    </row>
    <row r="526" spans="3:5">
      <c r="C526" s="186" t="s">
        <v>588</v>
      </c>
      <c r="D526" s="186" t="s">
        <v>588</v>
      </c>
      <c r="E526" s="186" t="str">
        <f t="shared" si="24"/>
        <v/>
      </c>
    </row>
    <row r="527" spans="3:5">
      <c r="C527" s="186" t="s">
        <v>588</v>
      </c>
      <c r="D527" s="186" t="s">
        <v>588</v>
      </c>
      <c r="E527" s="186" t="str">
        <f t="shared" si="24"/>
        <v/>
      </c>
    </row>
    <row r="528" spans="3:5">
      <c r="C528" s="186" t="s">
        <v>588</v>
      </c>
      <c r="D528" s="186" t="s">
        <v>588</v>
      </c>
      <c r="E528" s="186" t="str">
        <f t="shared" si="24"/>
        <v/>
      </c>
    </row>
    <row r="529" spans="3:5">
      <c r="C529" s="186" t="s">
        <v>588</v>
      </c>
      <c r="D529" s="186" t="s">
        <v>588</v>
      </c>
      <c r="E529" s="186" t="str">
        <f t="shared" si="24"/>
        <v/>
      </c>
    </row>
    <row r="530" spans="3:5">
      <c r="C530" s="186" t="s">
        <v>588</v>
      </c>
      <c r="D530" s="186" t="s">
        <v>588</v>
      </c>
      <c r="E530" s="186" t="str">
        <f t="shared" si="24"/>
        <v/>
      </c>
    </row>
    <row r="531" spans="3:5">
      <c r="C531" s="186" t="s">
        <v>588</v>
      </c>
      <c r="D531" s="186" t="s">
        <v>588</v>
      </c>
      <c r="E531" s="186" t="str">
        <f t="shared" si="24"/>
        <v/>
      </c>
    </row>
    <row r="532" spans="3:5">
      <c r="C532" s="186" t="s">
        <v>588</v>
      </c>
      <c r="D532" s="186" t="s">
        <v>588</v>
      </c>
      <c r="E532" s="186" t="str">
        <f t="shared" si="24"/>
        <v/>
      </c>
    </row>
    <row r="533" spans="3:5">
      <c r="C533" s="186" t="s">
        <v>588</v>
      </c>
      <c r="D533" s="186" t="s">
        <v>588</v>
      </c>
      <c r="E533" s="186" t="str">
        <f t="shared" si="24"/>
        <v/>
      </c>
    </row>
    <row r="534" spans="3:5">
      <c r="C534" s="186" t="s">
        <v>588</v>
      </c>
      <c r="D534" s="186" t="s">
        <v>588</v>
      </c>
      <c r="E534" s="186" t="str">
        <f t="shared" si="24"/>
        <v/>
      </c>
    </row>
    <row r="535" spans="3:5">
      <c r="C535" s="186" t="s">
        <v>588</v>
      </c>
      <c r="D535" s="186" t="s">
        <v>588</v>
      </c>
      <c r="E535" s="186" t="str">
        <f t="shared" si="24"/>
        <v/>
      </c>
    </row>
    <row r="536" spans="3:5">
      <c r="C536" s="186" t="s">
        <v>588</v>
      </c>
      <c r="D536" s="186" t="s">
        <v>588</v>
      </c>
      <c r="E536" s="186" t="str">
        <f t="shared" si="24"/>
        <v/>
      </c>
    </row>
    <row r="537" spans="3:5">
      <c r="C537" s="186" t="s">
        <v>588</v>
      </c>
      <c r="D537" s="186" t="s">
        <v>588</v>
      </c>
      <c r="E537" s="186" t="str">
        <f t="shared" si="24"/>
        <v/>
      </c>
    </row>
    <row r="538" spans="3:5">
      <c r="C538" s="186" t="s">
        <v>588</v>
      </c>
      <c r="D538" s="186" t="s">
        <v>588</v>
      </c>
      <c r="E538" s="186" t="str">
        <f t="shared" si="24"/>
        <v/>
      </c>
    </row>
    <row r="539" spans="3:5">
      <c r="C539" s="186" t="s">
        <v>588</v>
      </c>
      <c r="D539" s="186" t="s">
        <v>588</v>
      </c>
      <c r="E539" s="186" t="str">
        <f t="shared" si="24"/>
        <v/>
      </c>
    </row>
    <row r="540" spans="3:5">
      <c r="C540" s="186" t="s">
        <v>588</v>
      </c>
      <c r="D540" s="186" t="s">
        <v>588</v>
      </c>
      <c r="E540" s="186" t="str">
        <f t="shared" si="24"/>
        <v/>
      </c>
    </row>
    <row r="541" spans="3:5">
      <c r="C541" s="186" t="s">
        <v>588</v>
      </c>
      <c r="D541" s="186" t="s">
        <v>588</v>
      </c>
      <c r="E541" s="186" t="str">
        <f t="shared" si="24"/>
        <v/>
      </c>
    </row>
    <row r="542" spans="3:5">
      <c r="C542" s="186" t="s">
        <v>588</v>
      </c>
      <c r="D542" s="186" t="s">
        <v>588</v>
      </c>
      <c r="E542" s="186" t="str">
        <f t="shared" si="24"/>
        <v/>
      </c>
    </row>
    <row r="543" spans="3:5">
      <c r="C543" s="186" t="s">
        <v>588</v>
      </c>
      <c r="D543" s="186" t="s">
        <v>588</v>
      </c>
      <c r="E543" s="186" t="str">
        <f t="shared" si="24"/>
        <v/>
      </c>
    </row>
    <row r="544" spans="3:5">
      <c r="C544" s="186" t="s">
        <v>588</v>
      </c>
      <c r="D544" s="186" t="s">
        <v>588</v>
      </c>
      <c r="E544" s="186" t="str">
        <f t="shared" si="24"/>
        <v/>
      </c>
    </row>
    <row r="545" spans="3:5">
      <c r="C545" s="186" t="s">
        <v>588</v>
      </c>
      <c r="D545" s="186" t="s">
        <v>588</v>
      </c>
      <c r="E545" s="186" t="str">
        <f t="shared" si="24"/>
        <v/>
      </c>
    </row>
    <row r="546" spans="3:5">
      <c r="C546" s="186" t="s">
        <v>588</v>
      </c>
      <c r="D546" s="186" t="s">
        <v>588</v>
      </c>
      <c r="E546" s="186" t="str">
        <f t="shared" si="24"/>
        <v/>
      </c>
    </row>
    <row r="547" spans="3:5">
      <c r="C547" s="186" t="s">
        <v>588</v>
      </c>
      <c r="D547" s="186" t="s">
        <v>588</v>
      </c>
      <c r="E547" s="186" t="str">
        <f t="shared" si="24"/>
        <v/>
      </c>
    </row>
    <row r="548" spans="3:5">
      <c r="C548" s="186" t="s">
        <v>588</v>
      </c>
      <c r="D548" s="186" t="s">
        <v>588</v>
      </c>
      <c r="E548" s="186" t="str">
        <f t="shared" si="24"/>
        <v/>
      </c>
    </row>
    <row r="549" spans="3:5">
      <c r="C549" s="186" t="s">
        <v>588</v>
      </c>
      <c r="D549" s="186" t="s">
        <v>588</v>
      </c>
      <c r="E549" s="186" t="str">
        <f t="shared" si="24"/>
        <v/>
      </c>
    </row>
    <row r="550" spans="3:5">
      <c r="C550" s="186" t="s">
        <v>588</v>
      </c>
      <c r="D550" s="186" t="s">
        <v>588</v>
      </c>
      <c r="E550" s="186" t="str">
        <f t="shared" si="24"/>
        <v/>
      </c>
    </row>
    <row r="551" spans="3:5">
      <c r="C551" s="186" t="s">
        <v>588</v>
      </c>
      <c r="D551" s="186" t="s">
        <v>588</v>
      </c>
      <c r="E551" s="186" t="str">
        <f t="shared" si="24"/>
        <v/>
      </c>
    </row>
    <row r="552" spans="3:5">
      <c r="C552" s="186" t="s">
        <v>588</v>
      </c>
      <c r="D552" s="186" t="s">
        <v>588</v>
      </c>
      <c r="E552" s="186" t="str">
        <f t="shared" si="24"/>
        <v/>
      </c>
    </row>
    <row r="553" spans="3:5">
      <c r="C553" s="186" t="s">
        <v>588</v>
      </c>
      <c r="D553" s="186" t="s">
        <v>588</v>
      </c>
      <c r="E553" s="186" t="str">
        <f t="shared" si="24"/>
        <v/>
      </c>
    </row>
    <row r="554" spans="3:5">
      <c r="C554" s="186" t="s">
        <v>588</v>
      </c>
      <c r="D554" s="186" t="s">
        <v>588</v>
      </c>
      <c r="E554" s="186" t="str">
        <f t="shared" si="24"/>
        <v/>
      </c>
    </row>
    <row r="555" spans="3:5">
      <c r="C555" s="186" t="s">
        <v>588</v>
      </c>
      <c r="D555" s="186" t="s">
        <v>588</v>
      </c>
      <c r="E555" s="186" t="str">
        <f t="shared" si="24"/>
        <v/>
      </c>
    </row>
    <row r="556" spans="3:5">
      <c r="C556" s="186" t="s">
        <v>588</v>
      </c>
      <c r="D556" s="186" t="s">
        <v>588</v>
      </c>
      <c r="E556" s="186" t="str">
        <f t="shared" si="24"/>
        <v/>
      </c>
    </row>
    <row r="557" spans="3:5">
      <c r="C557" s="186" t="s">
        <v>588</v>
      </c>
      <c r="D557" s="186" t="s">
        <v>588</v>
      </c>
      <c r="E557" s="186" t="str">
        <f t="shared" si="24"/>
        <v/>
      </c>
    </row>
    <row r="558" spans="3:5">
      <c r="C558" s="186" t="s">
        <v>588</v>
      </c>
      <c r="D558" s="186" t="s">
        <v>588</v>
      </c>
      <c r="E558" s="186" t="str">
        <f t="shared" si="24"/>
        <v/>
      </c>
    </row>
    <row r="559" spans="3:5">
      <c r="C559" s="186" t="s">
        <v>588</v>
      </c>
      <c r="D559" s="186" t="s">
        <v>588</v>
      </c>
      <c r="E559" s="186" t="str">
        <f t="shared" si="24"/>
        <v/>
      </c>
    </row>
    <row r="560" spans="3:5">
      <c r="C560" s="186" t="s">
        <v>588</v>
      </c>
      <c r="D560" s="186" t="s">
        <v>588</v>
      </c>
      <c r="E560" s="186" t="str">
        <f t="shared" si="24"/>
        <v/>
      </c>
    </row>
    <row r="561" spans="3:5">
      <c r="C561" s="186" t="s">
        <v>588</v>
      </c>
      <c r="D561" s="186" t="s">
        <v>588</v>
      </c>
      <c r="E561" s="186" t="str">
        <f t="shared" si="24"/>
        <v/>
      </c>
    </row>
    <row r="562" spans="3:5">
      <c r="C562" s="186" t="s">
        <v>588</v>
      </c>
      <c r="D562" s="186" t="s">
        <v>588</v>
      </c>
      <c r="E562" s="186" t="str">
        <f t="shared" si="24"/>
        <v/>
      </c>
    </row>
    <row r="563" spans="3:5">
      <c r="C563" s="186" t="s">
        <v>588</v>
      </c>
      <c r="D563" s="186" t="s">
        <v>588</v>
      </c>
      <c r="E563" s="186" t="str">
        <f t="shared" si="24"/>
        <v/>
      </c>
    </row>
    <row r="564" spans="3:5">
      <c r="C564" s="186" t="s">
        <v>588</v>
      </c>
      <c r="D564" s="186" t="s">
        <v>588</v>
      </c>
      <c r="E564" s="186" t="str">
        <f t="shared" si="24"/>
        <v/>
      </c>
    </row>
    <row r="565" spans="3:5">
      <c r="C565" s="186" t="s">
        <v>588</v>
      </c>
      <c r="D565" s="186" t="s">
        <v>588</v>
      </c>
      <c r="E565" s="186" t="str">
        <f t="shared" si="24"/>
        <v/>
      </c>
    </row>
    <row r="566" spans="3:5">
      <c r="C566" s="186" t="s">
        <v>588</v>
      </c>
      <c r="D566" s="186" t="s">
        <v>588</v>
      </c>
      <c r="E566" s="186" t="str">
        <f t="shared" si="24"/>
        <v/>
      </c>
    </row>
    <row r="567" spans="3:5">
      <c r="C567" s="186" t="s">
        <v>588</v>
      </c>
      <c r="D567" s="186" t="s">
        <v>588</v>
      </c>
      <c r="E567" s="186" t="str">
        <f t="shared" si="24"/>
        <v/>
      </c>
    </row>
    <row r="568" spans="3:5">
      <c r="C568" s="186" t="s">
        <v>588</v>
      </c>
      <c r="D568" s="186" t="s">
        <v>588</v>
      </c>
      <c r="E568" s="186" t="str">
        <f t="shared" si="24"/>
        <v/>
      </c>
    </row>
    <row r="569" spans="3:5">
      <c r="C569" s="186" t="s">
        <v>588</v>
      </c>
      <c r="D569" s="186" t="s">
        <v>588</v>
      </c>
      <c r="E569" s="186" t="str">
        <f t="shared" si="24"/>
        <v/>
      </c>
    </row>
    <row r="570" spans="3:5">
      <c r="C570" s="186" t="s">
        <v>588</v>
      </c>
      <c r="D570" s="186" t="s">
        <v>588</v>
      </c>
      <c r="E570" s="186" t="str">
        <f t="shared" si="24"/>
        <v/>
      </c>
    </row>
    <row r="571" spans="3:5">
      <c r="C571" s="186" t="s">
        <v>588</v>
      </c>
      <c r="D571" s="186" t="s">
        <v>588</v>
      </c>
      <c r="E571" s="186" t="str">
        <f t="shared" si="24"/>
        <v/>
      </c>
    </row>
    <row r="572" spans="3:5">
      <c r="C572" s="186" t="s">
        <v>588</v>
      </c>
      <c r="D572" s="186" t="s">
        <v>588</v>
      </c>
      <c r="E572" s="186" t="str">
        <f t="shared" si="24"/>
        <v/>
      </c>
    </row>
    <row r="573" spans="3:5">
      <c r="C573" s="186" t="s">
        <v>588</v>
      </c>
      <c r="D573" s="186" t="s">
        <v>588</v>
      </c>
      <c r="E573" s="186" t="str">
        <f t="shared" si="24"/>
        <v/>
      </c>
    </row>
    <row r="574" spans="3:5">
      <c r="C574" s="186" t="s">
        <v>588</v>
      </c>
      <c r="D574" s="186" t="s">
        <v>588</v>
      </c>
      <c r="E574" s="186" t="str">
        <f t="shared" si="24"/>
        <v/>
      </c>
    </row>
    <row r="575" spans="3:5">
      <c r="C575" s="186" t="s">
        <v>588</v>
      </c>
      <c r="D575" s="186" t="s">
        <v>588</v>
      </c>
      <c r="E575" s="186" t="str">
        <f t="shared" si="24"/>
        <v/>
      </c>
    </row>
    <row r="576" spans="3:5">
      <c r="C576" s="186" t="s">
        <v>588</v>
      </c>
      <c r="D576" s="186" t="s">
        <v>588</v>
      </c>
      <c r="E576" s="186" t="str">
        <f t="shared" si="24"/>
        <v/>
      </c>
    </row>
    <row r="577" spans="3:5">
      <c r="C577" s="186" t="s">
        <v>588</v>
      </c>
      <c r="D577" s="186" t="s">
        <v>588</v>
      </c>
      <c r="E577" s="186" t="str">
        <f t="shared" si="24"/>
        <v/>
      </c>
    </row>
    <row r="578" spans="3:5">
      <c r="C578" s="186" t="s">
        <v>588</v>
      </c>
      <c r="D578" s="186" t="s">
        <v>588</v>
      </c>
      <c r="E578" s="186" t="str">
        <f t="shared" si="24"/>
        <v/>
      </c>
    </row>
    <row r="579" spans="3:5">
      <c r="C579" s="186" t="s">
        <v>588</v>
      </c>
      <c r="D579" s="186" t="s">
        <v>588</v>
      </c>
      <c r="E579" s="186" t="str">
        <f t="shared" si="24"/>
        <v/>
      </c>
    </row>
    <row r="580" spans="3:5">
      <c r="C580" s="186" t="s">
        <v>588</v>
      </c>
      <c r="D580" s="186" t="s">
        <v>588</v>
      </c>
      <c r="E580" s="186" t="str">
        <f t="shared" ref="E580:E643" si="25">IF(C580&lt;D580,C580,D580)</f>
        <v/>
      </c>
    </row>
    <row r="581" spans="3:5">
      <c r="C581" s="186" t="s">
        <v>588</v>
      </c>
      <c r="D581" s="186" t="s">
        <v>588</v>
      </c>
      <c r="E581" s="186" t="str">
        <f t="shared" si="25"/>
        <v/>
      </c>
    </row>
    <row r="582" spans="3:5">
      <c r="C582" s="186" t="s">
        <v>588</v>
      </c>
      <c r="D582" s="186" t="s">
        <v>588</v>
      </c>
      <c r="E582" s="186" t="str">
        <f t="shared" si="25"/>
        <v/>
      </c>
    </row>
    <row r="583" spans="3:5">
      <c r="C583" s="186" t="s">
        <v>588</v>
      </c>
      <c r="D583" s="186" t="s">
        <v>588</v>
      </c>
      <c r="E583" s="186" t="str">
        <f t="shared" si="25"/>
        <v/>
      </c>
    </row>
    <row r="584" spans="3:5">
      <c r="C584" s="186" t="s">
        <v>588</v>
      </c>
      <c r="D584" s="186" t="s">
        <v>588</v>
      </c>
      <c r="E584" s="186" t="str">
        <f t="shared" si="25"/>
        <v/>
      </c>
    </row>
    <row r="585" spans="3:5">
      <c r="C585" s="186" t="s">
        <v>588</v>
      </c>
      <c r="D585" s="186" t="s">
        <v>588</v>
      </c>
      <c r="E585" s="186" t="str">
        <f t="shared" si="25"/>
        <v/>
      </c>
    </row>
    <row r="586" spans="3:5">
      <c r="C586" s="186" t="s">
        <v>588</v>
      </c>
      <c r="D586" s="186" t="s">
        <v>588</v>
      </c>
      <c r="E586" s="186" t="str">
        <f t="shared" si="25"/>
        <v/>
      </c>
    </row>
    <row r="587" spans="3:5">
      <c r="C587" s="186" t="s">
        <v>588</v>
      </c>
      <c r="D587" s="186" t="s">
        <v>588</v>
      </c>
      <c r="E587" s="186" t="str">
        <f t="shared" si="25"/>
        <v/>
      </c>
    </row>
    <row r="588" spans="3:5">
      <c r="C588" s="186" t="s">
        <v>588</v>
      </c>
      <c r="D588" s="186" t="s">
        <v>588</v>
      </c>
      <c r="E588" s="186" t="str">
        <f t="shared" si="25"/>
        <v/>
      </c>
    </row>
    <row r="589" spans="3:5">
      <c r="C589" s="186" t="s">
        <v>588</v>
      </c>
      <c r="D589" s="186" t="s">
        <v>588</v>
      </c>
      <c r="E589" s="186" t="str">
        <f t="shared" si="25"/>
        <v/>
      </c>
    </row>
    <row r="590" spans="3:5">
      <c r="C590" s="186" t="s">
        <v>588</v>
      </c>
      <c r="D590" s="186" t="s">
        <v>588</v>
      </c>
      <c r="E590" s="186" t="str">
        <f t="shared" si="25"/>
        <v/>
      </c>
    </row>
    <row r="591" spans="3:5">
      <c r="C591" s="186" t="s">
        <v>588</v>
      </c>
      <c r="D591" s="186" t="s">
        <v>588</v>
      </c>
      <c r="E591" s="186" t="str">
        <f t="shared" si="25"/>
        <v/>
      </c>
    </row>
    <row r="592" spans="3:5">
      <c r="C592" s="186" t="s">
        <v>588</v>
      </c>
      <c r="D592" s="186" t="s">
        <v>588</v>
      </c>
      <c r="E592" s="186" t="str">
        <f t="shared" si="25"/>
        <v/>
      </c>
    </row>
    <row r="593" spans="3:5">
      <c r="C593" s="186" t="s">
        <v>588</v>
      </c>
      <c r="D593" s="186" t="s">
        <v>588</v>
      </c>
      <c r="E593" s="186" t="str">
        <f t="shared" si="25"/>
        <v/>
      </c>
    </row>
    <row r="594" spans="3:5">
      <c r="C594" s="186" t="s">
        <v>588</v>
      </c>
      <c r="D594" s="186" t="s">
        <v>588</v>
      </c>
      <c r="E594" s="186" t="str">
        <f t="shared" si="25"/>
        <v/>
      </c>
    </row>
    <row r="595" spans="3:5">
      <c r="C595" s="186" t="s">
        <v>588</v>
      </c>
      <c r="D595" s="186" t="s">
        <v>588</v>
      </c>
      <c r="E595" s="186" t="str">
        <f t="shared" si="25"/>
        <v/>
      </c>
    </row>
    <row r="596" spans="3:5">
      <c r="C596" s="186" t="s">
        <v>588</v>
      </c>
      <c r="D596" s="186" t="s">
        <v>588</v>
      </c>
      <c r="E596" s="186" t="str">
        <f t="shared" si="25"/>
        <v/>
      </c>
    </row>
    <row r="597" spans="3:5">
      <c r="C597" s="186" t="s">
        <v>588</v>
      </c>
      <c r="D597" s="186" t="s">
        <v>588</v>
      </c>
      <c r="E597" s="186" t="str">
        <f t="shared" si="25"/>
        <v/>
      </c>
    </row>
    <row r="598" spans="3:5">
      <c r="C598" s="186" t="s">
        <v>588</v>
      </c>
      <c r="D598" s="186" t="s">
        <v>588</v>
      </c>
      <c r="E598" s="186" t="str">
        <f t="shared" si="25"/>
        <v/>
      </c>
    </row>
    <row r="599" spans="3:5">
      <c r="C599" s="186" t="s">
        <v>588</v>
      </c>
      <c r="D599" s="186" t="s">
        <v>588</v>
      </c>
      <c r="E599" s="186" t="str">
        <f t="shared" si="25"/>
        <v/>
      </c>
    </row>
    <row r="600" spans="3:5">
      <c r="C600" s="186" t="s">
        <v>588</v>
      </c>
      <c r="D600" s="186" t="s">
        <v>588</v>
      </c>
      <c r="E600" s="186" t="str">
        <f t="shared" si="25"/>
        <v/>
      </c>
    </row>
    <row r="601" spans="3:5">
      <c r="C601" s="186" t="s">
        <v>588</v>
      </c>
      <c r="D601" s="186" t="s">
        <v>588</v>
      </c>
      <c r="E601" s="186" t="str">
        <f t="shared" si="25"/>
        <v/>
      </c>
    </row>
    <row r="602" spans="3:5">
      <c r="C602" s="186" t="s">
        <v>588</v>
      </c>
      <c r="D602" s="186" t="s">
        <v>588</v>
      </c>
      <c r="E602" s="186" t="str">
        <f t="shared" si="25"/>
        <v/>
      </c>
    </row>
    <row r="603" spans="3:5">
      <c r="C603" s="186" t="s">
        <v>588</v>
      </c>
      <c r="D603" s="186" t="s">
        <v>588</v>
      </c>
      <c r="E603" s="186" t="str">
        <f t="shared" si="25"/>
        <v/>
      </c>
    </row>
    <row r="604" spans="3:5">
      <c r="C604" s="186" t="s">
        <v>588</v>
      </c>
      <c r="D604" s="186" t="s">
        <v>588</v>
      </c>
      <c r="E604" s="186" t="str">
        <f t="shared" si="25"/>
        <v/>
      </c>
    </row>
    <row r="605" spans="3:5">
      <c r="C605" s="186" t="s">
        <v>588</v>
      </c>
      <c r="D605" s="186" t="s">
        <v>588</v>
      </c>
      <c r="E605" s="186" t="str">
        <f t="shared" si="25"/>
        <v/>
      </c>
    </row>
    <row r="606" spans="3:5">
      <c r="C606" s="186" t="s">
        <v>588</v>
      </c>
      <c r="D606" s="186" t="s">
        <v>588</v>
      </c>
      <c r="E606" s="186" t="str">
        <f t="shared" si="25"/>
        <v/>
      </c>
    </row>
    <row r="607" spans="3:5">
      <c r="C607" s="186" t="s">
        <v>588</v>
      </c>
      <c r="D607" s="186" t="s">
        <v>588</v>
      </c>
      <c r="E607" s="186" t="str">
        <f t="shared" si="25"/>
        <v/>
      </c>
    </row>
    <row r="608" spans="3:5">
      <c r="C608" s="186" t="s">
        <v>588</v>
      </c>
      <c r="D608" s="186" t="s">
        <v>588</v>
      </c>
      <c r="E608" s="186" t="str">
        <f t="shared" si="25"/>
        <v/>
      </c>
    </row>
    <row r="609" spans="3:5">
      <c r="C609" s="186" t="s">
        <v>588</v>
      </c>
      <c r="D609" s="186" t="s">
        <v>588</v>
      </c>
      <c r="E609" s="186" t="str">
        <f t="shared" si="25"/>
        <v/>
      </c>
    </row>
    <row r="610" spans="3:5">
      <c r="C610" s="186" t="s">
        <v>588</v>
      </c>
      <c r="D610" s="186" t="s">
        <v>588</v>
      </c>
      <c r="E610" s="186" t="str">
        <f t="shared" si="25"/>
        <v/>
      </c>
    </row>
    <row r="611" spans="3:5">
      <c r="C611" s="186" t="s">
        <v>588</v>
      </c>
      <c r="D611" s="186" t="s">
        <v>588</v>
      </c>
      <c r="E611" s="186" t="str">
        <f t="shared" si="25"/>
        <v/>
      </c>
    </row>
    <row r="612" spans="3:5">
      <c r="C612" s="186" t="s">
        <v>588</v>
      </c>
      <c r="D612" s="186" t="s">
        <v>588</v>
      </c>
      <c r="E612" s="186" t="str">
        <f t="shared" si="25"/>
        <v/>
      </c>
    </row>
    <row r="613" spans="3:5">
      <c r="C613" s="186" t="s">
        <v>588</v>
      </c>
      <c r="D613" s="186" t="s">
        <v>588</v>
      </c>
      <c r="E613" s="186" t="str">
        <f t="shared" si="25"/>
        <v/>
      </c>
    </row>
    <row r="614" spans="3:5">
      <c r="C614" s="186" t="s">
        <v>588</v>
      </c>
      <c r="D614" s="186" t="s">
        <v>588</v>
      </c>
      <c r="E614" s="186" t="str">
        <f t="shared" si="25"/>
        <v/>
      </c>
    </row>
    <row r="615" spans="3:5">
      <c r="C615" s="186" t="s">
        <v>588</v>
      </c>
      <c r="D615" s="186" t="s">
        <v>588</v>
      </c>
      <c r="E615" s="186" t="str">
        <f t="shared" si="25"/>
        <v/>
      </c>
    </row>
    <row r="616" spans="3:5">
      <c r="C616" s="186" t="s">
        <v>588</v>
      </c>
      <c r="D616" s="186" t="s">
        <v>588</v>
      </c>
      <c r="E616" s="186" t="str">
        <f t="shared" si="25"/>
        <v/>
      </c>
    </row>
    <row r="617" spans="3:5">
      <c r="C617" s="186" t="s">
        <v>588</v>
      </c>
      <c r="D617" s="186" t="s">
        <v>588</v>
      </c>
      <c r="E617" s="186" t="str">
        <f t="shared" si="25"/>
        <v/>
      </c>
    </row>
    <row r="618" spans="3:5">
      <c r="C618" s="186" t="s">
        <v>588</v>
      </c>
      <c r="D618" s="186" t="s">
        <v>588</v>
      </c>
      <c r="E618" s="186" t="str">
        <f t="shared" si="25"/>
        <v/>
      </c>
    </row>
    <row r="619" spans="3:5">
      <c r="C619" s="186" t="s">
        <v>588</v>
      </c>
      <c r="D619" s="186" t="s">
        <v>588</v>
      </c>
      <c r="E619" s="186" t="str">
        <f t="shared" si="25"/>
        <v/>
      </c>
    </row>
    <row r="620" spans="3:5">
      <c r="C620" s="186" t="s">
        <v>588</v>
      </c>
      <c r="D620" s="186" t="s">
        <v>588</v>
      </c>
      <c r="E620" s="186" t="str">
        <f t="shared" si="25"/>
        <v/>
      </c>
    </row>
    <row r="621" spans="3:5">
      <c r="C621" s="186" t="s">
        <v>588</v>
      </c>
      <c r="D621" s="186" t="s">
        <v>588</v>
      </c>
      <c r="E621" s="186" t="str">
        <f t="shared" si="25"/>
        <v/>
      </c>
    </row>
    <row r="622" spans="3:5">
      <c r="C622" s="186" t="s">
        <v>588</v>
      </c>
      <c r="D622" s="186" t="s">
        <v>588</v>
      </c>
      <c r="E622" s="186" t="str">
        <f t="shared" si="25"/>
        <v/>
      </c>
    </row>
    <row r="623" spans="3:5">
      <c r="C623" s="186" t="s">
        <v>588</v>
      </c>
      <c r="D623" s="186" t="s">
        <v>588</v>
      </c>
      <c r="E623" s="186" t="str">
        <f t="shared" si="25"/>
        <v/>
      </c>
    </row>
    <row r="624" spans="3:5">
      <c r="C624" s="186" t="s">
        <v>588</v>
      </c>
      <c r="D624" s="186" t="s">
        <v>588</v>
      </c>
      <c r="E624" s="186" t="str">
        <f t="shared" si="25"/>
        <v/>
      </c>
    </row>
    <row r="625" spans="3:5">
      <c r="C625" s="186" t="s">
        <v>588</v>
      </c>
      <c r="D625" s="186" t="s">
        <v>588</v>
      </c>
      <c r="E625" s="186" t="str">
        <f t="shared" si="25"/>
        <v/>
      </c>
    </row>
    <row r="626" spans="3:5">
      <c r="C626" s="186" t="s">
        <v>588</v>
      </c>
      <c r="D626" s="186" t="s">
        <v>588</v>
      </c>
      <c r="E626" s="186" t="str">
        <f t="shared" si="25"/>
        <v/>
      </c>
    </row>
    <row r="627" spans="3:5">
      <c r="C627" s="186" t="s">
        <v>588</v>
      </c>
      <c r="D627" s="186" t="s">
        <v>588</v>
      </c>
      <c r="E627" s="186" t="str">
        <f t="shared" si="25"/>
        <v/>
      </c>
    </row>
    <row r="628" spans="3:5">
      <c r="C628" s="186" t="s">
        <v>588</v>
      </c>
      <c r="D628" s="186" t="s">
        <v>588</v>
      </c>
      <c r="E628" s="186" t="str">
        <f t="shared" si="25"/>
        <v/>
      </c>
    </row>
    <row r="629" spans="3:5">
      <c r="C629" s="186" t="s">
        <v>588</v>
      </c>
      <c r="D629" s="186" t="s">
        <v>588</v>
      </c>
      <c r="E629" s="186" t="str">
        <f t="shared" si="25"/>
        <v/>
      </c>
    </row>
    <row r="630" spans="3:5">
      <c r="C630" s="186" t="s">
        <v>588</v>
      </c>
      <c r="D630" s="186" t="s">
        <v>588</v>
      </c>
      <c r="E630" s="186" t="str">
        <f t="shared" si="25"/>
        <v/>
      </c>
    </row>
    <row r="631" spans="3:5">
      <c r="C631" s="186" t="s">
        <v>588</v>
      </c>
      <c r="D631" s="186" t="s">
        <v>588</v>
      </c>
      <c r="E631" s="186" t="str">
        <f t="shared" si="25"/>
        <v/>
      </c>
    </row>
    <row r="632" spans="3:5">
      <c r="C632" s="186" t="s">
        <v>588</v>
      </c>
      <c r="D632" s="186" t="s">
        <v>588</v>
      </c>
      <c r="E632" s="186" t="str">
        <f t="shared" si="25"/>
        <v/>
      </c>
    </row>
    <row r="633" spans="3:5">
      <c r="C633" s="186" t="s">
        <v>588</v>
      </c>
      <c r="D633" s="186" t="s">
        <v>588</v>
      </c>
      <c r="E633" s="186" t="str">
        <f t="shared" si="25"/>
        <v/>
      </c>
    </row>
    <row r="634" spans="3:5">
      <c r="C634" s="186" t="s">
        <v>588</v>
      </c>
      <c r="D634" s="186" t="s">
        <v>588</v>
      </c>
      <c r="E634" s="186" t="str">
        <f t="shared" si="25"/>
        <v/>
      </c>
    </row>
    <row r="635" spans="3:5">
      <c r="C635" s="186" t="s">
        <v>588</v>
      </c>
      <c r="D635" s="186" t="s">
        <v>588</v>
      </c>
      <c r="E635" s="186" t="str">
        <f t="shared" si="25"/>
        <v/>
      </c>
    </row>
    <row r="636" spans="3:5">
      <c r="C636" s="186" t="s">
        <v>588</v>
      </c>
      <c r="D636" s="186" t="s">
        <v>588</v>
      </c>
      <c r="E636" s="186" t="str">
        <f t="shared" si="25"/>
        <v/>
      </c>
    </row>
    <row r="637" spans="3:5">
      <c r="C637" s="186" t="s">
        <v>588</v>
      </c>
      <c r="D637" s="186" t="s">
        <v>588</v>
      </c>
      <c r="E637" s="186" t="str">
        <f t="shared" si="25"/>
        <v/>
      </c>
    </row>
    <row r="638" spans="3:5">
      <c r="C638" s="186" t="s">
        <v>588</v>
      </c>
      <c r="D638" s="186" t="s">
        <v>588</v>
      </c>
      <c r="E638" s="186" t="str">
        <f t="shared" si="25"/>
        <v/>
      </c>
    </row>
    <row r="639" spans="3:5">
      <c r="C639" s="186" t="s">
        <v>588</v>
      </c>
      <c r="D639" s="186" t="s">
        <v>588</v>
      </c>
      <c r="E639" s="186" t="str">
        <f t="shared" si="25"/>
        <v/>
      </c>
    </row>
    <row r="640" spans="3:5">
      <c r="C640" s="186" t="s">
        <v>588</v>
      </c>
      <c r="D640" s="186" t="s">
        <v>588</v>
      </c>
      <c r="E640" s="186" t="str">
        <f t="shared" si="25"/>
        <v/>
      </c>
    </row>
    <row r="641" spans="3:5">
      <c r="C641" s="186" t="s">
        <v>588</v>
      </c>
      <c r="D641" s="186" t="s">
        <v>588</v>
      </c>
      <c r="E641" s="186" t="str">
        <f t="shared" si="25"/>
        <v/>
      </c>
    </row>
    <row r="642" spans="3:5">
      <c r="C642" s="186" t="s">
        <v>588</v>
      </c>
      <c r="D642" s="186" t="s">
        <v>588</v>
      </c>
      <c r="E642" s="186" t="str">
        <f t="shared" si="25"/>
        <v/>
      </c>
    </row>
    <row r="643" spans="3:5">
      <c r="C643" s="186" t="s">
        <v>588</v>
      </c>
      <c r="D643" s="186" t="s">
        <v>588</v>
      </c>
      <c r="E643" s="186" t="str">
        <f t="shared" si="25"/>
        <v/>
      </c>
    </row>
    <row r="644" spans="3:5">
      <c r="C644" s="186" t="s">
        <v>588</v>
      </c>
      <c r="D644" s="186" t="s">
        <v>588</v>
      </c>
      <c r="E644" s="186" t="str">
        <f t="shared" ref="E644:E707" si="26">IF(C644&lt;D644,C644,D644)</f>
        <v/>
      </c>
    </row>
    <row r="645" spans="3:5">
      <c r="C645" s="186" t="s">
        <v>588</v>
      </c>
      <c r="D645" s="186" t="s">
        <v>588</v>
      </c>
      <c r="E645" s="186" t="str">
        <f t="shared" si="26"/>
        <v/>
      </c>
    </row>
    <row r="646" spans="3:5">
      <c r="C646" s="186" t="s">
        <v>588</v>
      </c>
      <c r="D646" s="186" t="s">
        <v>588</v>
      </c>
      <c r="E646" s="186" t="str">
        <f t="shared" si="26"/>
        <v/>
      </c>
    </row>
    <row r="647" spans="3:5">
      <c r="C647" s="186" t="s">
        <v>588</v>
      </c>
      <c r="D647" s="186" t="s">
        <v>588</v>
      </c>
      <c r="E647" s="186" t="str">
        <f t="shared" si="26"/>
        <v/>
      </c>
    </row>
    <row r="648" spans="3:5">
      <c r="C648" s="186" t="s">
        <v>588</v>
      </c>
      <c r="D648" s="186" t="s">
        <v>588</v>
      </c>
      <c r="E648" s="186" t="str">
        <f t="shared" si="26"/>
        <v/>
      </c>
    </row>
    <row r="649" spans="3:5">
      <c r="C649" s="186" t="s">
        <v>588</v>
      </c>
      <c r="D649" s="186" t="s">
        <v>588</v>
      </c>
      <c r="E649" s="186" t="str">
        <f t="shared" si="26"/>
        <v/>
      </c>
    </row>
    <row r="650" spans="3:5">
      <c r="C650" s="186" t="s">
        <v>588</v>
      </c>
      <c r="D650" s="186" t="s">
        <v>588</v>
      </c>
      <c r="E650" s="186" t="str">
        <f t="shared" si="26"/>
        <v/>
      </c>
    </row>
    <row r="651" spans="3:5">
      <c r="C651" s="186" t="s">
        <v>588</v>
      </c>
      <c r="D651" s="186" t="s">
        <v>588</v>
      </c>
      <c r="E651" s="186" t="str">
        <f t="shared" si="26"/>
        <v/>
      </c>
    </row>
    <row r="652" spans="3:5">
      <c r="C652" s="186" t="s">
        <v>588</v>
      </c>
      <c r="D652" s="186" t="s">
        <v>588</v>
      </c>
      <c r="E652" s="186" t="str">
        <f t="shared" si="26"/>
        <v/>
      </c>
    </row>
    <row r="653" spans="3:5">
      <c r="C653" s="186" t="s">
        <v>588</v>
      </c>
      <c r="D653" s="186" t="s">
        <v>588</v>
      </c>
      <c r="E653" s="186" t="str">
        <f t="shared" si="26"/>
        <v/>
      </c>
    </row>
    <row r="654" spans="3:5">
      <c r="C654" s="186" t="s">
        <v>588</v>
      </c>
      <c r="D654" s="186" t="s">
        <v>588</v>
      </c>
      <c r="E654" s="186" t="str">
        <f t="shared" si="26"/>
        <v/>
      </c>
    </row>
    <row r="655" spans="3:5">
      <c r="C655" s="186" t="s">
        <v>588</v>
      </c>
      <c r="D655" s="186" t="s">
        <v>588</v>
      </c>
      <c r="E655" s="186" t="str">
        <f t="shared" si="26"/>
        <v/>
      </c>
    </row>
    <row r="656" spans="3:5">
      <c r="C656" s="186" t="s">
        <v>588</v>
      </c>
      <c r="D656" s="186" t="s">
        <v>588</v>
      </c>
      <c r="E656" s="186" t="str">
        <f t="shared" si="26"/>
        <v/>
      </c>
    </row>
    <row r="657" spans="3:5">
      <c r="C657" s="186" t="s">
        <v>588</v>
      </c>
      <c r="D657" s="186" t="s">
        <v>588</v>
      </c>
      <c r="E657" s="186" t="str">
        <f t="shared" si="26"/>
        <v/>
      </c>
    </row>
    <row r="658" spans="3:5">
      <c r="C658" s="186" t="s">
        <v>588</v>
      </c>
      <c r="D658" s="186" t="s">
        <v>588</v>
      </c>
      <c r="E658" s="186" t="str">
        <f t="shared" si="26"/>
        <v/>
      </c>
    </row>
    <row r="659" spans="3:5">
      <c r="C659" s="186" t="s">
        <v>588</v>
      </c>
      <c r="D659" s="186" t="s">
        <v>588</v>
      </c>
      <c r="E659" s="186" t="str">
        <f t="shared" si="26"/>
        <v/>
      </c>
    </row>
    <row r="660" spans="3:5">
      <c r="C660" s="186" t="s">
        <v>588</v>
      </c>
      <c r="D660" s="186" t="s">
        <v>588</v>
      </c>
      <c r="E660" s="186" t="str">
        <f t="shared" si="26"/>
        <v/>
      </c>
    </row>
    <row r="661" spans="3:5">
      <c r="C661" s="186" t="s">
        <v>588</v>
      </c>
      <c r="D661" s="186" t="s">
        <v>588</v>
      </c>
      <c r="E661" s="186" t="str">
        <f t="shared" si="26"/>
        <v/>
      </c>
    </row>
    <row r="662" spans="3:5">
      <c r="C662" s="186" t="s">
        <v>588</v>
      </c>
      <c r="D662" s="186" t="s">
        <v>588</v>
      </c>
      <c r="E662" s="186" t="str">
        <f t="shared" si="26"/>
        <v/>
      </c>
    </row>
    <row r="663" spans="3:5">
      <c r="C663" s="186" t="s">
        <v>588</v>
      </c>
      <c r="D663" s="186" t="s">
        <v>588</v>
      </c>
      <c r="E663" s="186" t="str">
        <f t="shared" si="26"/>
        <v/>
      </c>
    </row>
    <row r="664" spans="3:5">
      <c r="C664" s="186" t="s">
        <v>588</v>
      </c>
      <c r="D664" s="186" t="s">
        <v>588</v>
      </c>
      <c r="E664" s="186" t="str">
        <f t="shared" si="26"/>
        <v/>
      </c>
    </row>
    <row r="665" spans="3:5">
      <c r="C665" s="186" t="s">
        <v>588</v>
      </c>
      <c r="D665" s="186" t="s">
        <v>588</v>
      </c>
      <c r="E665" s="186" t="str">
        <f t="shared" si="26"/>
        <v/>
      </c>
    </row>
    <row r="666" spans="3:5">
      <c r="C666" s="186" t="s">
        <v>588</v>
      </c>
      <c r="D666" s="186" t="s">
        <v>588</v>
      </c>
      <c r="E666" s="186" t="str">
        <f t="shared" si="26"/>
        <v/>
      </c>
    </row>
    <row r="667" spans="3:5">
      <c r="C667" s="186" t="s">
        <v>588</v>
      </c>
      <c r="D667" s="186" t="s">
        <v>588</v>
      </c>
      <c r="E667" s="186" t="str">
        <f t="shared" si="26"/>
        <v/>
      </c>
    </row>
    <row r="668" spans="3:5">
      <c r="C668" s="186" t="s">
        <v>588</v>
      </c>
      <c r="D668" s="186" t="s">
        <v>588</v>
      </c>
      <c r="E668" s="186" t="str">
        <f t="shared" si="26"/>
        <v/>
      </c>
    </row>
    <row r="669" spans="3:5">
      <c r="C669" s="186" t="s">
        <v>588</v>
      </c>
      <c r="D669" s="186" t="s">
        <v>588</v>
      </c>
      <c r="E669" s="186" t="str">
        <f t="shared" si="26"/>
        <v/>
      </c>
    </row>
    <row r="670" spans="3:5">
      <c r="C670" s="186" t="s">
        <v>588</v>
      </c>
      <c r="D670" s="186" t="s">
        <v>588</v>
      </c>
      <c r="E670" s="186" t="str">
        <f t="shared" si="26"/>
        <v/>
      </c>
    </row>
    <row r="671" spans="3:5">
      <c r="C671" s="186" t="s">
        <v>588</v>
      </c>
      <c r="D671" s="186" t="s">
        <v>588</v>
      </c>
      <c r="E671" s="186" t="str">
        <f t="shared" si="26"/>
        <v/>
      </c>
    </row>
    <row r="672" spans="3:5">
      <c r="C672" s="186" t="s">
        <v>588</v>
      </c>
      <c r="D672" s="186" t="s">
        <v>588</v>
      </c>
      <c r="E672" s="186" t="str">
        <f t="shared" si="26"/>
        <v/>
      </c>
    </row>
    <row r="673" spans="3:5">
      <c r="C673" s="186" t="s">
        <v>588</v>
      </c>
      <c r="D673" s="186" t="s">
        <v>588</v>
      </c>
      <c r="E673" s="186" t="str">
        <f t="shared" si="26"/>
        <v/>
      </c>
    </row>
    <row r="674" spans="3:5">
      <c r="C674" s="186" t="s">
        <v>588</v>
      </c>
      <c r="D674" s="186" t="s">
        <v>588</v>
      </c>
      <c r="E674" s="186" t="str">
        <f t="shared" si="26"/>
        <v/>
      </c>
    </row>
    <row r="675" spans="3:5">
      <c r="C675" s="186" t="s">
        <v>588</v>
      </c>
      <c r="D675" s="186" t="s">
        <v>588</v>
      </c>
      <c r="E675" s="186" t="str">
        <f t="shared" si="26"/>
        <v/>
      </c>
    </row>
    <row r="676" spans="3:5">
      <c r="C676" s="186" t="s">
        <v>588</v>
      </c>
      <c r="D676" s="186" t="s">
        <v>588</v>
      </c>
      <c r="E676" s="186" t="str">
        <f t="shared" si="26"/>
        <v/>
      </c>
    </row>
    <row r="677" spans="3:5">
      <c r="C677" s="186" t="s">
        <v>588</v>
      </c>
      <c r="D677" s="186" t="s">
        <v>588</v>
      </c>
      <c r="E677" s="186" t="str">
        <f t="shared" si="26"/>
        <v/>
      </c>
    </row>
    <row r="678" spans="3:5">
      <c r="C678" s="186" t="s">
        <v>588</v>
      </c>
      <c r="D678" s="186" t="s">
        <v>588</v>
      </c>
      <c r="E678" s="186" t="str">
        <f t="shared" si="26"/>
        <v/>
      </c>
    </row>
    <row r="679" spans="3:5">
      <c r="C679" s="186" t="s">
        <v>588</v>
      </c>
      <c r="D679" s="186" t="s">
        <v>588</v>
      </c>
      <c r="E679" s="186" t="str">
        <f t="shared" si="26"/>
        <v/>
      </c>
    </row>
    <row r="680" spans="3:5">
      <c r="C680" s="186" t="s">
        <v>588</v>
      </c>
      <c r="D680" s="186" t="s">
        <v>588</v>
      </c>
      <c r="E680" s="186" t="str">
        <f t="shared" si="26"/>
        <v/>
      </c>
    </row>
    <row r="681" spans="3:5">
      <c r="C681" s="186" t="s">
        <v>588</v>
      </c>
      <c r="D681" s="186" t="s">
        <v>588</v>
      </c>
      <c r="E681" s="186" t="str">
        <f t="shared" si="26"/>
        <v/>
      </c>
    </row>
    <row r="682" spans="3:5">
      <c r="C682" s="186" t="s">
        <v>588</v>
      </c>
      <c r="D682" s="186" t="s">
        <v>588</v>
      </c>
      <c r="E682" s="186" t="str">
        <f t="shared" si="26"/>
        <v/>
      </c>
    </row>
    <row r="683" spans="3:5">
      <c r="C683" s="186" t="s">
        <v>588</v>
      </c>
      <c r="D683" s="186" t="s">
        <v>588</v>
      </c>
      <c r="E683" s="186" t="str">
        <f t="shared" si="26"/>
        <v/>
      </c>
    </row>
    <row r="684" spans="3:5">
      <c r="C684" s="186" t="s">
        <v>588</v>
      </c>
      <c r="D684" s="186" t="s">
        <v>588</v>
      </c>
      <c r="E684" s="186" t="str">
        <f t="shared" si="26"/>
        <v/>
      </c>
    </row>
    <row r="685" spans="3:5">
      <c r="C685" s="186" t="s">
        <v>588</v>
      </c>
      <c r="D685" s="186" t="s">
        <v>588</v>
      </c>
      <c r="E685" s="186" t="str">
        <f t="shared" si="26"/>
        <v/>
      </c>
    </row>
    <row r="686" spans="3:5">
      <c r="C686" s="186" t="s">
        <v>588</v>
      </c>
      <c r="D686" s="186" t="s">
        <v>588</v>
      </c>
      <c r="E686" s="186" t="str">
        <f t="shared" si="26"/>
        <v/>
      </c>
    </row>
    <row r="687" spans="3:5">
      <c r="C687" s="186" t="s">
        <v>588</v>
      </c>
      <c r="D687" s="186" t="s">
        <v>588</v>
      </c>
      <c r="E687" s="186" t="str">
        <f t="shared" si="26"/>
        <v/>
      </c>
    </row>
    <row r="688" spans="3:5">
      <c r="C688" s="186" t="s">
        <v>588</v>
      </c>
      <c r="D688" s="186" t="s">
        <v>588</v>
      </c>
      <c r="E688" s="186" t="str">
        <f t="shared" si="26"/>
        <v/>
      </c>
    </row>
    <row r="689" spans="3:5">
      <c r="C689" s="186" t="s">
        <v>588</v>
      </c>
      <c r="D689" s="186" t="s">
        <v>588</v>
      </c>
      <c r="E689" s="186" t="str">
        <f t="shared" si="26"/>
        <v/>
      </c>
    </row>
    <row r="690" spans="3:5">
      <c r="C690" s="186" t="s">
        <v>588</v>
      </c>
      <c r="D690" s="186" t="s">
        <v>588</v>
      </c>
      <c r="E690" s="186" t="str">
        <f t="shared" si="26"/>
        <v/>
      </c>
    </row>
    <row r="691" spans="3:5">
      <c r="C691" s="186" t="s">
        <v>588</v>
      </c>
      <c r="D691" s="186" t="s">
        <v>588</v>
      </c>
      <c r="E691" s="186" t="str">
        <f t="shared" si="26"/>
        <v/>
      </c>
    </row>
    <row r="692" spans="3:5">
      <c r="C692" s="186" t="s">
        <v>588</v>
      </c>
      <c r="D692" s="186" t="s">
        <v>588</v>
      </c>
      <c r="E692" s="186" t="str">
        <f t="shared" si="26"/>
        <v/>
      </c>
    </row>
    <row r="693" spans="3:5">
      <c r="C693" s="186" t="s">
        <v>588</v>
      </c>
      <c r="D693" s="186" t="s">
        <v>588</v>
      </c>
      <c r="E693" s="186" t="str">
        <f t="shared" si="26"/>
        <v/>
      </c>
    </row>
    <row r="694" spans="3:5">
      <c r="C694" s="186" t="s">
        <v>588</v>
      </c>
      <c r="D694" s="186" t="s">
        <v>588</v>
      </c>
      <c r="E694" s="186" t="str">
        <f t="shared" si="26"/>
        <v/>
      </c>
    </row>
    <row r="695" spans="3:5">
      <c r="C695" s="186" t="s">
        <v>588</v>
      </c>
      <c r="D695" s="186" t="s">
        <v>588</v>
      </c>
      <c r="E695" s="186" t="str">
        <f t="shared" si="26"/>
        <v/>
      </c>
    </row>
    <row r="696" spans="3:5">
      <c r="C696" s="186" t="s">
        <v>588</v>
      </c>
      <c r="D696" s="186" t="s">
        <v>588</v>
      </c>
      <c r="E696" s="186" t="str">
        <f t="shared" si="26"/>
        <v/>
      </c>
    </row>
    <row r="697" spans="3:5">
      <c r="C697" s="186" t="s">
        <v>588</v>
      </c>
      <c r="D697" s="186" t="s">
        <v>588</v>
      </c>
      <c r="E697" s="186" t="str">
        <f t="shared" si="26"/>
        <v/>
      </c>
    </row>
    <row r="698" spans="3:5">
      <c r="C698" s="186" t="s">
        <v>588</v>
      </c>
      <c r="D698" s="186" t="s">
        <v>588</v>
      </c>
      <c r="E698" s="186" t="str">
        <f t="shared" si="26"/>
        <v/>
      </c>
    </row>
    <row r="699" spans="3:5">
      <c r="C699" s="186" t="s">
        <v>588</v>
      </c>
      <c r="D699" s="186" t="s">
        <v>588</v>
      </c>
      <c r="E699" s="186" t="str">
        <f t="shared" si="26"/>
        <v/>
      </c>
    </row>
    <row r="700" spans="3:5">
      <c r="C700" s="186" t="s">
        <v>588</v>
      </c>
      <c r="D700" s="186" t="s">
        <v>588</v>
      </c>
      <c r="E700" s="186" t="str">
        <f t="shared" si="26"/>
        <v/>
      </c>
    </row>
    <row r="701" spans="3:5">
      <c r="C701" s="186" t="s">
        <v>588</v>
      </c>
      <c r="D701" s="186" t="s">
        <v>588</v>
      </c>
      <c r="E701" s="186" t="str">
        <f t="shared" si="26"/>
        <v/>
      </c>
    </row>
    <row r="702" spans="3:5">
      <c r="C702" s="186" t="s">
        <v>588</v>
      </c>
      <c r="D702" s="186" t="s">
        <v>588</v>
      </c>
      <c r="E702" s="186" t="str">
        <f t="shared" si="26"/>
        <v/>
      </c>
    </row>
    <row r="703" spans="3:5">
      <c r="C703" s="186" t="s">
        <v>588</v>
      </c>
      <c r="D703" s="186" t="s">
        <v>588</v>
      </c>
      <c r="E703" s="186" t="str">
        <f t="shared" si="26"/>
        <v/>
      </c>
    </row>
    <row r="704" spans="3:5">
      <c r="C704" s="186" t="s">
        <v>588</v>
      </c>
      <c r="D704" s="186" t="s">
        <v>588</v>
      </c>
      <c r="E704" s="186" t="str">
        <f t="shared" si="26"/>
        <v/>
      </c>
    </row>
    <row r="705" spans="3:5">
      <c r="C705" s="186" t="s">
        <v>588</v>
      </c>
      <c r="D705" s="186" t="s">
        <v>588</v>
      </c>
      <c r="E705" s="186" t="str">
        <f t="shared" si="26"/>
        <v/>
      </c>
    </row>
    <row r="706" spans="3:5">
      <c r="C706" s="186" t="s">
        <v>588</v>
      </c>
      <c r="D706" s="186" t="s">
        <v>588</v>
      </c>
      <c r="E706" s="186" t="str">
        <f t="shared" si="26"/>
        <v/>
      </c>
    </row>
    <row r="707" spans="3:5">
      <c r="C707" s="186" t="s">
        <v>588</v>
      </c>
      <c r="D707" s="186" t="s">
        <v>588</v>
      </c>
      <c r="E707" s="186" t="str">
        <f t="shared" si="26"/>
        <v/>
      </c>
    </row>
    <row r="708" spans="3:5">
      <c r="C708" s="186" t="s">
        <v>588</v>
      </c>
      <c r="D708" s="186" t="s">
        <v>588</v>
      </c>
      <c r="E708" s="186" t="str">
        <f t="shared" ref="E708:E771" si="27">IF(C708&lt;D708,C708,D708)</f>
        <v/>
      </c>
    </row>
    <row r="709" spans="3:5">
      <c r="C709" s="186" t="s">
        <v>588</v>
      </c>
      <c r="D709" s="186" t="s">
        <v>588</v>
      </c>
      <c r="E709" s="186" t="str">
        <f t="shared" si="27"/>
        <v/>
      </c>
    </row>
    <row r="710" spans="3:5">
      <c r="C710" s="186" t="s">
        <v>588</v>
      </c>
      <c r="D710" s="186" t="s">
        <v>588</v>
      </c>
      <c r="E710" s="186" t="str">
        <f t="shared" si="27"/>
        <v/>
      </c>
    </row>
    <row r="711" spans="3:5">
      <c r="C711" s="186" t="s">
        <v>588</v>
      </c>
      <c r="D711" s="186" t="s">
        <v>588</v>
      </c>
      <c r="E711" s="186" t="str">
        <f t="shared" si="27"/>
        <v/>
      </c>
    </row>
    <row r="712" spans="3:5">
      <c r="C712" s="186" t="s">
        <v>588</v>
      </c>
      <c r="D712" s="186" t="s">
        <v>588</v>
      </c>
      <c r="E712" s="186" t="str">
        <f t="shared" si="27"/>
        <v/>
      </c>
    </row>
    <row r="713" spans="3:5">
      <c r="C713" s="186" t="s">
        <v>588</v>
      </c>
      <c r="D713" s="186" t="s">
        <v>588</v>
      </c>
      <c r="E713" s="186" t="str">
        <f t="shared" si="27"/>
        <v/>
      </c>
    </row>
    <row r="714" spans="3:5">
      <c r="C714" s="186" t="s">
        <v>588</v>
      </c>
      <c r="D714" s="186" t="s">
        <v>588</v>
      </c>
      <c r="E714" s="186" t="str">
        <f t="shared" si="27"/>
        <v/>
      </c>
    </row>
    <row r="715" spans="3:5">
      <c r="C715" s="186" t="s">
        <v>588</v>
      </c>
      <c r="D715" s="186" t="s">
        <v>588</v>
      </c>
      <c r="E715" s="186" t="str">
        <f t="shared" si="27"/>
        <v/>
      </c>
    </row>
    <row r="716" spans="3:5">
      <c r="C716" s="186" t="s">
        <v>588</v>
      </c>
      <c r="D716" s="186" t="s">
        <v>588</v>
      </c>
      <c r="E716" s="186" t="str">
        <f t="shared" si="27"/>
        <v/>
      </c>
    </row>
    <row r="717" spans="3:5">
      <c r="C717" s="186" t="s">
        <v>588</v>
      </c>
      <c r="D717" s="186" t="s">
        <v>588</v>
      </c>
      <c r="E717" s="186" t="str">
        <f t="shared" si="27"/>
        <v/>
      </c>
    </row>
    <row r="718" spans="3:5">
      <c r="C718" s="186" t="s">
        <v>588</v>
      </c>
      <c r="D718" s="186" t="s">
        <v>588</v>
      </c>
      <c r="E718" s="186" t="str">
        <f t="shared" si="27"/>
        <v/>
      </c>
    </row>
    <row r="719" spans="3:5">
      <c r="C719" s="186" t="s">
        <v>588</v>
      </c>
      <c r="D719" s="186" t="s">
        <v>588</v>
      </c>
      <c r="E719" s="186" t="str">
        <f t="shared" si="27"/>
        <v/>
      </c>
    </row>
    <row r="720" spans="3:5">
      <c r="C720" s="186" t="s">
        <v>588</v>
      </c>
      <c r="D720" s="186" t="s">
        <v>588</v>
      </c>
      <c r="E720" s="186" t="str">
        <f t="shared" si="27"/>
        <v/>
      </c>
    </row>
    <row r="721" spans="3:5">
      <c r="C721" s="186" t="s">
        <v>588</v>
      </c>
      <c r="D721" s="186" t="s">
        <v>588</v>
      </c>
      <c r="E721" s="186" t="str">
        <f t="shared" si="27"/>
        <v/>
      </c>
    </row>
    <row r="722" spans="3:5">
      <c r="C722" s="186" t="s">
        <v>588</v>
      </c>
      <c r="D722" s="186" t="s">
        <v>588</v>
      </c>
      <c r="E722" s="186" t="str">
        <f t="shared" si="27"/>
        <v/>
      </c>
    </row>
    <row r="723" spans="3:5">
      <c r="C723" s="186" t="s">
        <v>588</v>
      </c>
      <c r="D723" s="186" t="s">
        <v>588</v>
      </c>
      <c r="E723" s="186" t="str">
        <f t="shared" si="27"/>
        <v/>
      </c>
    </row>
    <row r="724" spans="3:5">
      <c r="C724" s="186" t="s">
        <v>588</v>
      </c>
      <c r="D724" s="186" t="s">
        <v>588</v>
      </c>
      <c r="E724" s="186" t="str">
        <f t="shared" si="27"/>
        <v/>
      </c>
    </row>
    <row r="725" spans="3:5">
      <c r="C725" s="186" t="s">
        <v>588</v>
      </c>
      <c r="D725" s="186" t="s">
        <v>588</v>
      </c>
      <c r="E725" s="186" t="str">
        <f t="shared" si="27"/>
        <v/>
      </c>
    </row>
    <row r="726" spans="3:5">
      <c r="C726" s="186" t="s">
        <v>588</v>
      </c>
      <c r="D726" s="186" t="s">
        <v>588</v>
      </c>
      <c r="E726" s="186" t="str">
        <f t="shared" si="27"/>
        <v/>
      </c>
    </row>
    <row r="727" spans="3:5">
      <c r="C727" s="186" t="s">
        <v>588</v>
      </c>
      <c r="D727" s="186" t="s">
        <v>588</v>
      </c>
      <c r="E727" s="186" t="str">
        <f t="shared" si="27"/>
        <v/>
      </c>
    </row>
    <row r="728" spans="3:5">
      <c r="C728" s="186" t="s">
        <v>588</v>
      </c>
      <c r="D728" s="186" t="s">
        <v>588</v>
      </c>
      <c r="E728" s="186" t="str">
        <f t="shared" si="27"/>
        <v/>
      </c>
    </row>
    <row r="729" spans="3:5">
      <c r="C729" s="186" t="s">
        <v>588</v>
      </c>
      <c r="D729" s="186" t="s">
        <v>588</v>
      </c>
      <c r="E729" s="186" t="str">
        <f t="shared" si="27"/>
        <v/>
      </c>
    </row>
    <row r="730" spans="3:5">
      <c r="C730" s="186" t="s">
        <v>588</v>
      </c>
      <c r="D730" s="186" t="s">
        <v>588</v>
      </c>
      <c r="E730" s="186" t="str">
        <f t="shared" si="27"/>
        <v/>
      </c>
    </row>
    <row r="731" spans="3:5">
      <c r="C731" s="186" t="s">
        <v>588</v>
      </c>
      <c r="D731" s="186" t="s">
        <v>588</v>
      </c>
      <c r="E731" s="186" t="str">
        <f t="shared" si="27"/>
        <v/>
      </c>
    </row>
    <row r="732" spans="3:5">
      <c r="C732" s="186" t="s">
        <v>588</v>
      </c>
      <c r="D732" s="186" t="s">
        <v>588</v>
      </c>
      <c r="E732" s="186" t="str">
        <f t="shared" si="27"/>
        <v/>
      </c>
    </row>
    <row r="733" spans="3:5">
      <c r="C733" s="186" t="s">
        <v>588</v>
      </c>
      <c r="D733" s="186" t="s">
        <v>588</v>
      </c>
      <c r="E733" s="186" t="str">
        <f t="shared" si="27"/>
        <v/>
      </c>
    </row>
    <row r="734" spans="3:5">
      <c r="C734" s="186" t="s">
        <v>588</v>
      </c>
      <c r="D734" s="186" t="s">
        <v>588</v>
      </c>
      <c r="E734" s="186" t="str">
        <f t="shared" si="27"/>
        <v/>
      </c>
    </row>
    <row r="735" spans="3:5">
      <c r="C735" s="186" t="s">
        <v>588</v>
      </c>
      <c r="D735" s="186" t="s">
        <v>588</v>
      </c>
      <c r="E735" s="186" t="str">
        <f t="shared" si="27"/>
        <v/>
      </c>
    </row>
    <row r="736" spans="3:5">
      <c r="C736" s="186" t="s">
        <v>588</v>
      </c>
      <c r="D736" s="186" t="s">
        <v>588</v>
      </c>
      <c r="E736" s="186" t="str">
        <f t="shared" si="27"/>
        <v/>
      </c>
    </row>
    <row r="737" spans="3:5">
      <c r="C737" s="186" t="s">
        <v>588</v>
      </c>
      <c r="D737" s="186" t="s">
        <v>588</v>
      </c>
      <c r="E737" s="186" t="str">
        <f t="shared" si="27"/>
        <v/>
      </c>
    </row>
    <row r="738" spans="3:5">
      <c r="C738" s="186" t="s">
        <v>588</v>
      </c>
      <c r="D738" s="186" t="s">
        <v>588</v>
      </c>
      <c r="E738" s="186" t="str">
        <f t="shared" si="27"/>
        <v/>
      </c>
    </row>
    <row r="739" spans="3:5">
      <c r="C739" s="186" t="s">
        <v>588</v>
      </c>
      <c r="D739" s="186" t="s">
        <v>588</v>
      </c>
      <c r="E739" s="186" t="str">
        <f t="shared" si="27"/>
        <v/>
      </c>
    </row>
    <row r="740" spans="3:5">
      <c r="C740" s="186" t="s">
        <v>588</v>
      </c>
      <c r="D740" s="186" t="s">
        <v>588</v>
      </c>
      <c r="E740" s="186" t="str">
        <f t="shared" si="27"/>
        <v/>
      </c>
    </row>
    <row r="741" spans="3:5">
      <c r="C741" s="186" t="s">
        <v>588</v>
      </c>
      <c r="D741" s="186" t="s">
        <v>588</v>
      </c>
      <c r="E741" s="186" t="str">
        <f t="shared" si="27"/>
        <v/>
      </c>
    </row>
    <row r="742" spans="3:5">
      <c r="C742" s="186" t="s">
        <v>588</v>
      </c>
      <c r="D742" s="186" t="s">
        <v>588</v>
      </c>
      <c r="E742" s="186" t="str">
        <f t="shared" si="27"/>
        <v/>
      </c>
    </row>
    <row r="743" spans="3:5">
      <c r="C743" s="186" t="s">
        <v>588</v>
      </c>
      <c r="D743" s="186" t="s">
        <v>588</v>
      </c>
      <c r="E743" s="186" t="str">
        <f t="shared" si="27"/>
        <v/>
      </c>
    </row>
    <row r="744" spans="3:5">
      <c r="C744" s="186" t="s">
        <v>588</v>
      </c>
      <c r="D744" s="186" t="s">
        <v>588</v>
      </c>
      <c r="E744" s="186" t="str">
        <f t="shared" si="27"/>
        <v/>
      </c>
    </row>
    <row r="745" spans="3:5">
      <c r="C745" s="186" t="s">
        <v>588</v>
      </c>
      <c r="D745" s="186" t="s">
        <v>588</v>
      </c>
      <c r="E745" s="186" t="str">
        <f t="shared" si="27"/>
        <v/>
      </c>
    </row>
    <row r="746" spans="3:5">
      <c r="C746" s="186" t="s">
        <v>588</v>
      </c>
      <c r="D746" s="186" t="s">
        <v>588</v>
      </c>
      <c r="E746" s="186" t="str">
        <f t="shared" si="27"/>
        <v/>
      </c>
    </row>
    <row r="747" spans="3:5">
      <c r="C747" s="186" t="s">
        <v>588</v>
      </c>
      <c r="D747" s="186" t="s">
        <v>588</v>
      </c>
      <c r="E747" s="186" t="str">
        <f t="shared" si="27"/>
        <v/>
      </c>
    </row>
    <row r="748" spans="3:5">
      <c r="C748" s="186" t="s">
        <v>588</v>
      </c>
      <c r="D748" s="186" t="s">
        <v>588</v>
      </c>
      <c r="E748" s="186" t="str">
        <f t="shared" si="27"/>
        <v/>
      </c>
    </row>
    <row r="749" spans="3:5">
      <c r="C749" s="186" t="s">
        <v>588</v>
      </c>
      <c r="D749" s="186" t="s">
        <v>588</v>
      </c>
      <c r="E749" s="186" t="str">
        <f t="shared" si="27"/>
        <v/>
      </c>
    </row>
    <row r="750" spans="3:5">
      <c r="C750" s="186" t="s">
        <v>588</v>
      </c>
      <c r="D750" s="186" t="s">
        <v>588</v>
      </c>
      <c r="E750" s="186" t="str">
        <f t="shared" si="27"/>
        <v/>
      </c>
    </row>
    <row r="751" spans="3:5">
      <c r="C751" s="186" t="s">
        <v>588</v>
      </c>
      <c r="D751" s="186" t="s">
        <v>588</v>
      </c>
      <c r="E751" s="186" t="str">
        <f t="shared" si="27"/>
        <v/>
      </c>
    </row>
    <row r="752" spans="3:5">
      <c r="C752" s="186" t="s">
        <v>588</v>
      </c>
      <c r="D752" s="186" t="s">
        <v>588</v>
      </c>
      <c r="E752" s="186" t="str">
        <f t="shared" si="27"/>
        <v/>
      </c>
    </row>
    <row r="753" spans="3:5">
      <c r="C753" s="186" t="s">
        <v>588</v>
      </c>
      <c r="D753" s="186" t="s">
        <v>588</v>
      </c>
      <c r="E753" s="186" t="str">
        <f t="shared" si="27"/>
        <v/>
      </c>
    </row>
    <row r="754" spans="3:5">
      <c r="C754" s="186" t="s">
        <v>588</v>
      </c>
      <c r="D754" s="186" t="s">
        <v>588</v>
      </c>
      <c r="E754" s="186" t="str">
        <f t="shared" si="27"/>
        <v/>
      </c>
    </row>
    <row r="755" spans="3:5">
      <c r="C755" s="186" t="s">
        <v>588</v>
      </c>
      <c r="D755" s="186" t="s">
        <v>588</v>
      </c>
      <c r="E755" s="186" t="str">
        <f t="shared" si="27"/>
        <v/>
      </c>
    </row>
    <row r="756" spans="3:5">
      <c r="C756" s="186" t="s">
        <v>588</v>
      </c>
      <c r="D756" s="186" t="s">
        <v>588</v>
      </c>
      <c r="E756" s="186" t="str">
        <f t="shared" si="27"/>
        <v/>
      </c>
    </row>
    <row r="757" spans="3:5">
      <c r="C757" s="186" t="s">
        <v>588</v>
      </c>
      <c r="D757" s="186" t="s">
        <v>588</v>
      </c>
      <c r="E757" s="186" t="str">
        <f t="shared" si="27"/>
        <v/>
      </c>
    </row>
    <row r="758" spans="3:5">
      <c r="C758" s="186" t="s">
        <v>588</v>
      </c>
      <c r="D758" s="186" t="s">
        <v>588</v>
      </c>
      <c r="E758" s="186" t="str">
        <f t="shared" si="27"/>
        <v/>
      </c>
    </row>
    <row r="759" spans="3:5">
      <c r="C759" s="186" t="s">
        <v>588</v>
      </c>
      <c r="D759" s="186" t="s">
        <v>588</v>
      </c>
      <c r="E759" s="186" t="str">
        <f t="shared" si="27"/>
        <v/>
      </c>
    </row>
    <row r="760" spans="3:5">
      <c r="C760" s="186" t="s">
        <v>588</v>
      </c>
      <c r="D760" s="186" t="s">
        <v>588</v>
      </c>
      <c r="E760" s="186" t="str">
        <f t="shared" si="27"/>
        <v/>
      </c>
    </row>
    <row r="761" spans="3:5">
      <c r="C761" s="186" t="s">
        <v>588</v>
      </c>
      <c r="D761" s="186" t="s">
        <v>588</v>
      </c>
      <c r="E761" s="186" t="str">
        <f t="shared" si="27"/>
        <v/>
      </c>
    </row>
    <row r="762" spans="3:5">
      <c r="C762" s="186" t="s">
        <v>588</v>
      </c>
      <c r="D762" s="186" t="s">
        <v>588</v>
      </c>
      <c r="E762" s="186" t="str">
        <f t="shared" si="27"/>
        <v/>
      </c>
    </row>
    <row r="763" spans="3:5">
      <c r="C763" s="186" t="s">
        <v>588</v>
      </c>
      <c r="D763" s="186" t="s">
        <v>588</v>
      </c>
      <c r="E763" s="186" t="str">
        <f t="shared" si="27"/>
        <v/>
      </c>
    </row>
    <row r="764" spans="3:5">
      <c r="C764" s="186" t="s">
        <v>588</v>
      </c>
      <c r="D764" s="186" t="s">
        <v>588</v>
      </c>
      <c r="E764" s="186" t="str">
        <f t="shared" si="27"/>
        <v/>
      </c>
    </row>
    <row r="765" spans="3:5">
      <c r="C765" s="186" t="s">
        <v>588</v>
      </c>
      <c r="D765" s="186" t="s">
        <v>588</v>
      </c>
      <c r="E765" s="186" t="str">
        <f t="shared" si="27"/>
        <v/>
      </c>
    </row>
    <row r="766" spans="3:5">
      <c r="C766" s="186" t="s">
        <v>588</v>
      </c>
      <c r="D766" s="186" t="s">
        <v>588</v>
      </c>
      <c r="E766" s="186" t="str">
        <f t="shared" si="27"/>
        <v/>
      </c>
    </row>
    <row r="767" spans="3:5">
      <c r="C767" s="186" t="s">
        <v>588</v>
      </c>
      <c r="D767" s="186" t="s">
        <v>588</v>
      </c>
      <c r="E767" s="186" t="str">
        <f t="shared" si="27"/>
        <v/>
      </c>
    </row>
    <row r="768" spans="3:5">
      <c r="C768" s="186" t="s">
        <v>588</v>
      </c>
      <c r="D768" s="186" t="s">
        <v>588</v>
      </c>
      <c r="E768" s="186" t="str">
        <f t="shared" si="27"/>
        <v/>
      </c>
    </row>
    <row r="769" spans="3:5">
      <c r="C769" s="186" t="s">
        <v>588</v>
      </c>
      <c r="D769" s="186" t="s">
        <v>588</v>
      </c>
      <c r="E769" s="186" t="str">
        <f t="shared" si="27"/>
        <v/>
      </c>
    </row>
    <row r="770" spans="3:5">
      <c r="C770" s="186" t="s">
        <v>588</v>
      </c>
      <c r="D770" s="186" t="s">
        <v>588</v>
      </c>
      <c r="E770" s="186" t="str">
        <f t="shared" si="27"/>
        <v/>
      </c>
    </row>
    <row r="771" spans="3:5">
      <c r="C771" s="186" t="s">
        <v>588</v>
      </c>
      <c r="D771" s="186" t="s">
        <v>588</v>
      </c>
      <c r="E771" s="186" t="str">
        <f t="shared" si="27"/>
        <v/>
      </c>
    </row>
    <row r="772" spans="3:5">
      <c r="C772" s="186" t="s">
        <v>588</v>
      </c>
      <c r="D772" s="186" t="s">
        <v>588</v>
      </c>
      <c r="E772" s="186" t="str">
        <f t="shared" ref="E772:E835" si="28">IF(C772&lt;D772,C772,D772)</f>
        <v/>
      </c>
    </row>
    <row r="773" spans="3:5">
      <c r="C773" s="186" t="s">
        <v>588</v>
      </c>
      <c r="D773" s="186" t="s">
        <v>588</v>
      </c>
      <c r="E773" s="186" t="str">
        <f t="shared" si="28"/>
        <v/>
      </c>
    </row>
    <row r="774" spans="3:5">
      <c r="C774" s="186" t="s">
        <v>588</v>
      </c>
      <c r="D774" s="186" t="s">
        <v>588</v>
      </c>
      <c r="E774" s="186" t="str">
        <f t="shared" si="28"/>
        <v/>
      </c>
    </row>
    <row r="775" spans="3:5">
      <c r="C775" s="186" t="s">
        <v>588</v>
      </c>
      <c r="D775" s="186" t="s">
        <v>588</v>
      </c>
      <c r="E775" s="186" t="str">
        <f t="shared" si="28"/>
        <v/>
      </c>
    </row>
    <row r="776" spans="3:5">
      <c r="C776" s="186" t="s">
        <v>588</v>
      </c>
      <c r="D776" s="186" t="s">
        <v>588</v>
      </c>
      <c r="E776" s="186" t="str">
        <f t="shared" si="28"/>
        <v/>
      </c>
    </row>
    <row r="777" spans="3:5">
      <c r="C777" s="186" t="s">
        <v>588</v>
      </c>
      <c r="D777" s="186" t="s">
        <v>588</v>
      </c>
      <c r="E777" s="186" t="str">
        <f t="shared" si="28"/>
        <v/>
      </c>
    </row>
    <row r="778" spans="3:5">
      <c r="C778" s="186" t="s">
        <v>588</v>
      </c>
      <c r="D778" s="186" t="s">
        <v>588</v>
      </c>
      <c r="E778" s="186" t="str">
        <f t="shared" si="28"/>
        <v/>
      </c>
    </row>
    <row r="779" spans="3:5">
      <c r="C779" s="186" t="s">
        <v>588</v>
      </c>
      <c r="D779" s="186" t="s">
        <v>588</v>
      </c>
      <c r="E779" s="186" t="str">
        <f t="shared" si="28"/>
        <v/>
      </c>
    </row>
    <row r="780" spans="3:5">
      <c r="C780" s="186" t="s">
        <v>588</v>
      </c>
      <c r="D780" s="186" t="s">
        <v>588</v>
      </c>
      <c r="E780" s="186" t="str">
        <f t="shared" si="28"/>
        <v/>
      </c>
    </row>
    <row r="781" spans="3:5">
      <c r="C781" s="186" t="s">
        <v>588</v>
      </c>
      <c r="D781" s="186" t="s">
        <v>588</v>
      </c>
      <c r="E781" s="186" t="str">
        <f t="shared" si="28"/>
        <v/>
      </c>
    </row>
    <row r="782" spans="3:5">
      <c r="C782" s="186" t="s">
        <v>588</v>
      </c>
      <c r="D782" s="186" t="s">
        <v>588</v>
      </c>
      <c r="E782" s="186" t="str">
        <f t="shared" si="28"/>
        <v/>
      </c>
    </row>
    <row r="783" spans="3:5">
      <c r="C783" s="186" t="s">
        <v>588</v>
      </c>
      <c r="D783" s="186" t="s">
        <v>588</v>
      </c>
      <c r="E783" s="186" t="str">
        <f t="shared" si="28"/>
        <v/>
      </c>
    </row>
    <row r="784" spans="3:5">
      <c r="C784" s="186" t="s">
        <v>588</v>
      </c>
      <c r="D784" s="186" t="s">
        <v>588</v>
      </c>
      <c r="E784" s="186" t="str">
        <f t="shared" si="28"/>
        <v/>
      </c>
    </row>
    <row r="785" spans="3:5">
      <c r="C785" s="186" t="s">
        <v>588</v>
      </c>
      <c r="D785" s="186" t="s">
        <v>588</v>
      </c>
      <c r="E785" s="186" t="str">
        <f t="shared" si="28"/>
        <v/>
      </c>
    </row>
    <row r="786" spans="3:5">
      <c r="C786" s="186" t="s">
        <v>588</v>
      </c>
      <c r="D786" s="186" t="s">
        <v>588</v>
      </c>
      <c r="E786" s="186" t="str">
        <f t="shared" si="28"/>
        <v/>
      </c>
    </row>
    <row r="787" spans="3:5">
      <c r="C787" s="186" t="s">
        <v>588</v>
      </c>
      <c r="D787" s="186" t="s">
        <v>588</v>
      </c>
      <c r="E787" s="186" t="str">
        <f t="shared" si="28"/>
        <v/>
      </c>
    </row>
    <row r="788" spans="3:5">
      <c r="C788" s="186" t="s">
        <v>588</v>
      </c>
      <c r="D788" s="186" t="s">
        <v>588</v>
      </c>
      <c r="E788" s="186" t="str">
        <f t="shared" si="28"/>
        <v/>
      </c>
    </row>
    <row r="789" spans="3:5">
      <c r="C789" s="186" t="s">
        <v>588</v>
      </c>
      <c r="D789" s="186" t="s">
        <v>588</v>
      </c>
      <c r="E789" s="186" t="str">
        <f t="shared" si="28"/>
        <v/>
      </c>
    </row>
    <row r="790" spans="3:5">
      <c r="C790" s="186" t="s">
        <v>588</v>
      </c>
      <c r="D790" s="186" t="s">
        <v>588</v>
      </c>
      <c r="E790" s="186" t="str">
        <f t="shared" si="28"/>
        <v/>
      </c>
    </row>
    <row r="791" spans="3:5">
      <c r="C791" s="186" t="s">
        <v>588</v>
      </c>
      <c r="D791" s="186" t="s">
        <v>588</v>
      </c>
      <c r="E791" s="186" t="str">
        <f t="shared" si="28"/>
        <v/>
      </c>
    </row>
    <row r="792" spans="3:5">
      <c r="C792" s="186" t="s">
        <v>588</v>
      </c>
      <c r="D792" s="186" t="s">
        <v>588</v>
      </c>
      <c r="E792" s="186" t="str">
        <f t="shared" si="28"/>
        <v/>
      </c>
    </row>
    <row r="793" spans="3:5">
      <c r="C793" s="186" t="s">
        <v>588</v>
      </c>
      <c r="D793" s="186" t="s">
        <v>588</v>
      </c>
      <c r="E793" s="186" t="str">
        <f t="shared" si="28"/>
        <v/>
      </c>
    </row>
    <row r="794" spans="3:5">
      <c r="C794" s="186" t="s">
        <v>588</v>
      </c>
      <c r="D794" s="186" t="s">
        <v>588</v>
      </c>
      <c r="E794" s="186" t="str">
        <f t="shared" si="28"/>
        <v/>
      </c>
    </row>
    <row r="795" spans="3:5">
      <c r="C795" s="186" t="s">
        <v>588</v>
      </c>
      <c r="D795" s="186" t="s">
        <v>588</v>
      </c>
      <c r="E795" s="186" t="str">
        <f t="shared" si="28"/>
        <v/>
      </c>
    </row>
    <row r="796" spans="3:5">
      <c r="C796" s="186" t="s">
        <v>588</v>
      </c>
      <c r="D796" s="186" t="s">
        <v>588</v>
      </c>
      <c r="E796" s="186" t="str">
        <f t="shared" si="28"/>
        <v/>
      </c>
    </row>
    <row r="797" spans="3:5">
      <c r="C797" s="186" t="s">
        <v>588</v>
      </c>
      <c r="D797" s="186" t="s">
        <v>588</v>
      </c>
      <c r="E797" s="186" t="str">
        <f t="shared" si="28"/>
        <v/>
      </c>
    </row>
    <row r="798" spans="3:5">
      <c r="C798" s="186" t="s">
        <v>588</v>
      </c>
      <c r="D798" s="186" t="s">
        <v>588</v>
      </c>
      <c r="E798" s="186" t="str">
        <f t="shared" si="28"/>
        <v/>
      </c>
    </row>
    <row r="799" spans="3:5">
      <c r="C799" s="186" t="s">
        <v>588</v>
      </c>
      <c r="D799" s="186" t="s">
        <v>588</v>
      </c>
      <c r="E799" s="186" t="str">
        <f t="shared" si="28"/>
        <v/>
      </c>
    </row>
    <row r="800" spans="3:5">
      <c r="C800" s="186" t="s">
        <v>588</v>
      </c>
      <c r="D800" s="186" t="s">
        <v>588</v>
      </c>
      <c r="E800" s="186" t="str">
        <f t="shared" si="28"/>
        <v/>
      </c>
    </row>
    <row r="801" spans="3:5">
      <c r="C801" s="186" t="s">
        <v>588</v>
      </c>
      <c r="D801" s="186" t="s">
        <v>588</v>
      </c>
      <c r="E801" s="186" t="str">
        <f t="shared" si="28"/>
        <v/>
      </c>
    </row>
    <row r="802" spans="3:5">
      <c r="C802" s="186" t="s">
        <v>588</v>
      </c>
      <c r="D802" s="186" t="s">
        <v>588</v>
      </c>
      <c r="E802" s="186" t="str">
        <f t="shared" si="28"/>
        <v/>
      </c>
    </row>
    <row r="803" spans="3:5">
      <c r="C803" s="186" t="s">
        <v>588</v>
      </c>
      <c r="D803" s="186" t="s">
        <v>588</v>
      </c>
      <c r="E803" s="186" t="str">
        <f t="shared" si="28"/>
        <v/>
      </c>
    </row>
    <row r="804" spans="3:5">
      <c r="C804" s="186" t="s">
        <v>588</v>
      </c>
      <c r="D804" s="186" t="s">
        <v>588</v>
      </c>
      <c r="E804" s="186" t="str">
        <f t="shared" si="28"/>
        <v/>
      </c>
    </row>
    <row r="805" spans="3:5">
      <c r="C805" s="186" t="s">
        <v>588</v>
      </c>
      <c r="D805" s="186" t="s">
        <v>588</v>
      </c>
      <c r="E805" s="186" t="str">
        <f t="shared" si="28"/>
        <v/>
      </c>
    </row>
    <row r="806" spans="3:5">
      <c r="C806" s="186" t="s">
        <v>588</v>
      </c>
      <c r="D806" s="186" t="s">
        <v>588</v>
      </c>
      <c r="E806" s="186" t="str">
        <f t="shared" si="28"/>
        <v/>
      </c>
    </row>
    <row r="807" spans="3:5">
      <c r="C807" s="186" t="s">
        <v>588</v>
      </c>
      <c r="D807" s="186" t="s">
        <v>588</v>
      </c>
      <c r="E807" s="186" t="str">
        <f t="shared" si="28"/>
        <v/>
      </c>
    </row>
    <row r="808" spans="3:5">
      <c r="C808" s="186" t="s">
        <v>588</v>
      </c>
      <c r="D808" s="186" t="s">
        <v>588</v>
      </c>
      <c r="E808" s="186" t="str">
        <f t="shared" si="28"/>
        <v/>
      </c>
    </row>
    <row r="809" spans="3:5">
      <c r="C809" s="186" t="s">
        <v>588</v>
      </c>
      <c r="D809" s="186" t="s">
        <v>588</v>
      </c>
      <c r="E809" s="186" t="str">
        <f t="shared" si="28"/>
        <v/>
      </c>
    </row>
    <row r="810" spans="3:5">
      <c r="C810" s="186" t="s">
        <v>588</v>
      </c>
      <c r="D810" s="186" t="s">
        <v>588</v>
      </c>
      <c r="E810" s="186" t="str">
        <f t="shared" si="28"/>
        <v/>
      </c>
    </row>
    <row r="811" spans="3:5">
      <c r="C811" s="186" t="s">
        <v>588</v>
      </c>
      <c r="D811" s="186" t="s">
        <v>588</v>
      </c>
      <c r="E811" s="186" t="str">
        <f t="shared" si="28"/>
        <v/>
      </c>
    </row>
    <row r="812" spans="3:5">
      <c r="C812" s="186" t="s">
        <v>588</v>
      </c>
      <c r="D812" s="186" t="s">
        <v>588</v>
      </c>
      <c r="E812" s="186" t="str">
        <f t="shared" si="28"/>
        <v/>
      </c>
    </row>
    <row r="813" spans="3:5">
      <c r="C813" s="186" t="s">
        <v>588</v>
      </c>
      <c r="D813" s="186" t="s">
        <v>588</v>
      </c>
      <c r="E813" s="186" t="str">
        <f t="shared" si="28"/>
        <v/>
      </c>
    </row>
    <row r="814" spans="3:5">
      <c r="C814" s="186" t="s">
        <v>588</v>
      </c>
      <c r="D814" s="186" t="s">
        <v>588</v>
      </c>
      <c r="E814" s="186" t="str">
        <f t="shared" si="28"/>
        <v/>
      </c>
    </row>
    <row r="815" spans="3:5">
      <c r="C815" s="186" t="s">
        <v>588</v>
      </c>
      <c r="D815" s="186" t="s">
        <v>588</v>
      </c>
      <c r="E815" s="186" t="str">
        <f t="shared" si="28"/>
        <v/>
      </c>
    </row>
    <row r="816" spans="3:5">
      <c r="C816" s="186" t="s">
        <v>588</v>
      </c>
      <c r="D816" s="186" t="s">
        <v>588</v>
      </c>
      <c r="E816" s="186" t="str">
        <f t="shared" si="28"/>
        <v/>
      </c>
    </row>
    <row r="817" spans="3:5">
      <c r="C817" s="186" t="s">
        <v>588</v>
      </c>
      <c r="D817" s="186" t="s">
        <v>588</v>
      </c>
      <c r="E817" s="186" t="str">
        <f t="shared" si="28"/>
        <v/>
      </c>
    </row>
    <row r="818" spans="3:5">
      <c r="C818" s="186" t="s">
        <v>588</v>
      </c>
      <c r="D818" s="186" t="s">
        <v>588</v>
      </c>
      <c r="E818" s="186" t="str">
        <f t="shared" si="28"/>
        <v/>
      </c>
    </row>
    <row r="819" spans="3:5">
      <c r="C819" s="186" t="s">
        <v>588</v>
      </c>
      <c r="D819" s="186" t="s">
        <v>588</v>
      </c>
      <c r="E819" s="186" t="str">
        <f t="shared" si="28"/>
        <v/>
      </c>
    </row>
    <row r="820" spans="3:5">
      <c r="C820" s="186" t="s">
        <v>588</v>
      </c>
      <c r="D820" s="186" t="s">
        <v>588</v>
      </c>
      <c r="E820" s="186" t="str">
        <f t="shared" si="28"/>
        <v/>
      </c>
    </row>
    <row r="821" spans="3:5">
      <c r="C821" s="186" t="s">
        <v>588</v>
      </c>
      <c r="D821" s="186" t="s">
        <v>588</v>
      </c>
      <c r="E821" s="186" t="str">
        <f t="shared" si="28"/>
        <v/>
      </c>
    </row>
    <row r="822" spans="3:5">
      <c r="C822" s="186" t="s">
        <v>588</v>
      </c>
      <c r="D822" s="186" t="s">
        <v>588</v>
      </c>
      <c r="E822" s="186" t="str">
        <f t="shared" si="28"/>
        <v/>
      </c>
    </row>
    <row r="823" spans="3:5">
      <c r="C823" s="186" t="s">
        <v>588</v>
      </c>
      <c r="D823" s="186" t="s">
        <v>588</v>
      </c>
      <c r="E823" s="186" t="str">
        <f t="shared" si="28"/>
        <v/>
      </c>
    </row>
    <row r="824" spans="3:5">
      <c r="C824" s="186" t="s">
        <v>588</v>
      </c>
      <c r="D824" s="186" t="s">
        <v>588</v>
      </c>
      <c r="E824" s="186" t="str">
        <f t="shared" si="28"/>
        <v/>
      </c>
    </row>
    <row r="825" spans="3:5">
      <c r="C825" s="186" t="s">
        <v>588</v>
      </c>
      <c r="D825" s="186" t="s">
        <v>588</v>
      </c>
      <c r="E825" s="186" t="str">
        <f t="shared" si="28"/>
        <v/>
      </c>
    </row>
    <row r="826" spans="3:5">
      <c r="C826" s="186" t="s">
        <v>588</v>
      </c>
      <c r="D826" s="186" t="s">
        <v>588</v>
      </c>
      <c r="E826" s="186" t="str">
        <f t="shared" si="28"/>
        <v/>
      </c>
    </row>
    <row r="827" spans="3:5">
      <c r="C827" s="186" t="s">
        <v>588</v>
      </c>
      <c r="D827" s="186" t="s">
        <v>588</v>
      </c>
      <c r="E827" s="186" t="str">
        <f t="shared" si="28"/>
        <v/>
      </c>
    </row>
    <row r="828" spans="3:5">
      <c r="C828" s="186" t="s">
        <v>588</v>
      </c>
      <c r="D828" s="186" t="s">
        <v>588</v>
      </c>
      <c r="E828" s="186" t="str">
        <f t="shared" si="28"/>
        <v/>
      </c>
    </row>
    <row r="829" spans="3:5">
      <c r="C829" s="186" t="s">
        <v>588</v>
      </c>
      <c r="D829" s="186" t="s">
        <v>588</v>
      </c>
      <c r="E829" s="186" t="str">
        <f t="shared" si="28"/>
        <v/>
      </c>
    </row>
    <row r="830" spans="3:5">
      <c r="C830" s="186" t="s">
        <v>588</v>
      </c>
      <c r="D830" s="186" t="s">
        <v>588</v>
      </c>
      <c r="E830" s="186" t="str">
        <f t="shared" si="28"/>
        <v/>
      </c>
    </row>
    <row r="831" spans="3:5">
      <c r="C831" s="186" t="s">
        <v>588</v>
      </c>
      <c r="D831" s="186" t="s">
        <v>588</v>
      </c>
      <c r="E831" s="186" t="str">
        <f t="shared" si="28"/>
        <v/>
      </c>
    </row>
    <row r="832" spans="3:5">
      <c r="C832" s="186" t="s">
        <v>588</v>
      </c>
      <c r="D832" s="186" t="s">
        <v>588</v>
      </c>
      <c r="E832" s="186" t="str">
        <f t="shared" si="28"/>
        <v/>
      </c>
    </row>
    <row r="833" spans="3:5">
      <c r="C833" s="186" t="s">
        <v>588</v>
      </c>
      <c r="D833" s="186" t="s">
        <v>588</v>
      </c>
      <c r="E833" s="186" t="str">
        <f t="shared" si="28"/>
        <v/>
      </c>
    </row>
    <row r="834" spans="3:5">
      <c r="C834" s="186" t="s">
        <v>588</v>
      </c>
      <c r="D834" s="186" t="s">
        <v>588</v>
      </c>
      <c r="E834" s="186" t="str">
        <f t="shared" si="28"/>
        <v/>
      </c>
    </row>
    <row r="835" spans="3:5">
      <c r="C835" s="186" t="s">
        <v>588</v>
      </c>
      <c r="D835" s="186" t="s">
        <v>588</v>
      </c>
      <c r="E835" s="186" t="str">
        <f t="shared" si="28"/>
        <v/>
      </c>
    </row>
    <row r="836" spans="3:5">
      <c r="C836" s="186" t="s">
        <v>588</v>
      </c>
      <c r="D836" s="186" t="s">
        <v>588</v>
      </c>
      <c r="E836" s="186" t="str">
        <f t="shared" ref="E836:E899" si="29">IF(C836&lt;D836,C836,D836)</f>
        <v/>
      </c>
    </row>
    <row r="837" spans="3:5">
      <c r="C837" s="186" t="s">
        <v>588</v>
      </c>
      <c r="D837" s="186" t="s">
        <v>588</v>
      </c>
      <c r="E837" s="186" t="str">
        <f t="shared" si="29"/>
        <v/>
      </c>
    </row>
    <row r="838" spans="3:5">
      <c r="C838" s="186" t="s">
        <v>588</v>
      </c>
      <c r="D838" s="186" t="s">
        <v>588</v>
      </c>
      <c r="E838" s="186" t="str">
        <f t="shared" si="29"/>
        <v/>
      </c>
    </row>
    <row r="839" spans="3:5">
      <c r="C839" s="186" t="s">
        <v>588</v>
      </c>
      <c r="D839" s="186" t="s">
        <v>588</v>
      </c>
      <c r="E839" s="186" t="str">
        <f t="shared" si="29"/>
        <v/>
      </c>
    </row>
    <row r="840" spans="3:5">
      <c r="C840" s="186" t="s">
        <v>588</v>
      </c>
      <c r="D840" s="186" t="s">
        <v>588</v>
      </c>
      <c r="E840" s="186" t="str">
        <f t="shared" si="29"/>
        <v/>
      </c>
    </row>
    <row r="841" spans="3:5">
      <c r="C841" s="186" t="s">
        <v>588</v>
      </c>
      <c r="D841" s="186" t="s">
        <v>588</v>
      </c>
      <c r="E841" s="186" t="str">
        <f t="shared" si="29"/>
        <v/>
      </c>
    </row>
    <row r="842" spans="3:5">
      <c r="C842" s="186" t="s">
        <v>588</v>
      </c>
      <c r="D842" s="186" t="s">
        <v>588</v>
      </c>
      <c r="E842" s="186" t="str">
        <f t="shared" si="29"/>
        <v/>
      </c>
    </row>
    <row r="843" spans="3:5">
      <c r="C843" s="186" t="s">
        <v>588</v>
      </c>
      <c r="D843" s="186" t="s">
        <v>588</v>
      </c>
      <c r="E843" s="186" t="str">
        <f t="shared" si="29"/>
        <v/>
      </c>
    </row>
    <row r="844" spans="3:5">
      <c r="C844" s="186" t="s">
        <v>588</v>
      </c>
      <c r="D844" s="186" t="s">
        <v>588</v>
      </c>
      <c r="E844" s="186" t="str">
        <f t="shared" si="29"/>
        <v/>
      </c>
    </row>
    <row r="845" spans="3:5">
      <c r="C845" s="186" t="s">
        <v>588</v>
      </c>
      <c r="D845" s="186" t="s">
        <v>588</v>
      </c>
      <c r="E845" s="186" t="str">
        <f t="shared" si="29"/>
        <v/>
      </c>
    </row>
    <row r="846" spans="3:5">
      <c r="C846" s="186" t="s">
        <v>588</v>
      </c>
      <c r="D846" s="186" t="s">
        <v>588</v>
      </c>
      <c r="E846" s="186" t="str">
        <f t="shared" si="29"/>
        <v/>
      </c>
    </row>
    <row r="847" spans="3:5">
      <c r="C847" s="186" t="s">
        <v>588</v>
      </c>
      <c r="D847" s="186" t="s">
        <v>588</v>
      </c>
      <c r="E847" s="186" t="str">
        <f t="shared" si="29"/>
        <v/>
      </c>
    </row>
    <row r="848" spans="3:5">
      <c r="C848" s="186" t="s">
        <v>588</v>
      </c>
      <c r="D848" s="186" t="s">
        <v>588</v>
      </c>
      <c r="E848" s="186" t="str">
        <f t="shared" si="29"/>
        <v/>
      </c>
    </row>
    <row r="849" spans="3:5">
      <c r="C849" s="186" t="s">
        <v>588</v>
      </c>
      <c r="D849" s="186" t="s">
        <v>588</v>
      </c>
      <c r="E849" s="186" t="str">
        <f t="shared" si="29"/>
        <v/>
      </c>
    </row>
    <row r="850" spans="3:5">
      <c r="C850" s="186" t="s">
        <v>588</v>
      </c>
      <c r="D850" s="186" t="s">
        <v>588</v>
      </c>
      <c r="E850" s="186" t="str">
        <f t="shared" si="29"/>
        <v/>
      </c>
    </row>
    <row r="851" spans="3:5">
      <c r="C851" s="186" t="s">
        <v>588</v>
      </c>
      <c r="D851" s="186" t="s">
        <v>588</v>
      </c>
      <c r="E851" s="186" t="str">
        <f t="shared" si="29"/>
        <v/>
      </c>
    </row>
    <row r="852" spans="3:5">
      <c r="C852" s="186" t="s">
        <v>588</v>
      </c>
      <c r="D852" s="186" t="s">
        <v>588</v>
      </c>
      <c r="E852" s="186" t="str">
        <f t="shared" si="29"/>
        <v/>
      </c>
    </row>
    <row r="853" spans="3:5">
      <c r="C853" s="186" t="s">
        <v>588</v>
      </c>
      <c r="D853" s="186" t="s">
        <v>588</v>
      </c>
      <c r="E853" s="186" t="str">
        <f t="shared" si="29"/>
        <v/>
      </c>
    </row>
    <row r="854" spans="3:5">
      <c r="C854" s="186" t="s">
        <v>588</v>
      </c>
      <c r="D854" s="186" t="s">
        <v>588</v>
      </c>
      <c r="E854" s="186" t="str">
        <f t="shared" si="29"/>
        <v/>
      </c>
    </row>
    <row r="855" spans="3:5">
      <c r="C855" s="186" t="s">
        <v>588</v>
      </c>
      <c r="D855" s="186" t="s">
        <v>588</v>
      </c>
      <c r="E855" s="186" t="str">
        <f t="shared" si="29"/>
        <v/>
      </c>
    </row>
    <row r="856" spans="3:5">
      <c r="C856" s="186" t="s">
        <v>588</v>
      </c>
      <c r="D856" s="186" t="s">
        <v>588</v>
      </c>
      <c r="E856" s="186" t="str">
        <f t="shared" si="29"/>
        <v/>
      </c>
    </row>
    <row r="857" spans="3:5">
      <c r="C857" s="186" t="s">
        <v>588</v>
      </c>
      <c r="D857" s="186" t="s">
        <v>588</v>
      </c>
      <c r="E857" s="186" t="str">
        <f t="shared" si="29"/>
        <v/>
      </c>
    </row>
    <row r="858" spans="3:5">
      <c r="C858" s="186" t="s">
        <v>588</v>
      </c>
      <c r="D858" s="186" t="s">
        <v>588</v>
      </c>
      <c r="E858" s="186" t="str">
        <f t="shared" si="29"/>
        <v/>
      </c>
    </row>
    <row r="859" spans="3:5">
      <c r="C859" s="186" t="s">
        <v>588</v>
      </c>
      <c r="D859" s="186" t="s">
        <v>588</v>
      </c>
      <c r="E859" s="186" t="str">
        <f t="shared" si="29"/>
        <v/>
      </c>
    </row>
    <row r="860" spans="3:5">
      <c r="C860" s="186" t="s">
        <v>588</v>
      </c>
      <c r="D860" s="186" t="s">
        <v>588</v>
      </c>
      <c r="E860" s="186" t="str">
        <f t="shared" si="29"/>
        <v/>
      </c>
    </row>
    <row r="861" spans="3:5">
      <c r="C861" s="186" t="s">
        <v>588</v>
      </c>
      <c r="D861" s="186" t="s">
        <v>588</v>
      </c>
      <c r="E861" s="186" t="str">
        <f t="shared" si="29"/>
        <v/>
      </c>
    </row>
    <row r="862" spans="3:5">
      <c r="C862" s="186" t="s">
        <v>588</v>
      </c>
      <c r="D862" s="186" t="s">
        <v>588</v>
      </c>
      <c r="E862" s="186" t="str">
        <f t="shared" si="29"/>
        <v/>
      </c>
    </row>
    <row r="863" spans="3:5">
      <c r="C863" s="186" t="s">
        <v>588</v>
      </c>
      <c r="D863" s="186" t="s">
        <v>588</v>
      </c>
      <c r="E863" s="186" t="str">
        <f t="shared" si="29"/>
        <v/>
      </c>
    </row>
    <row r="864" spans="3:5">
      <c r="C864" s="186" t="s">
        <v>588</v>
      </c>
      <c r="D864" s="186" t="s">
        <v>588</v>
      </c>
      <c r="E864" s="186" t="str">
        <f t="shared" si="29"/>
        <v/>
      </c>
    </row>
    <row r="865" spans="3:5">
      <c r="C865" s="186" t="s">
        <v>588</v>
      </c>
      <c r="D865" s="186" t="s">
        <v>588</v>
      </c>
      <c r="E865" s="186" t="str">
        <f t="shared" si="29"/>
        <v/>
      </c>
    </row>
    <row r="866" spans="3:5">
      <c r="C866" s="186" t="s">
        <v>588</v>
      </c>
      <c r="D866" s="186" t="s">
        <v>588</v>
      </c>
      <c r="E866" s="186" t="str">
        <f t="shared" si="29"/>
        <v/>
      </c>
    </row>
    <row r="867" spans="3:5">
      <c r="C867" s="186" t="s">
        <v>588</v>
      </c>
      <c r="D867" s="186" t="s">
        <v>588</v>
      </c>
      <c r="E867" s="186" t="str">
        <f t="shared" si="29"/>
        <v/>
      </c>
    </row>
    <row r="868" spans="3:5">
      <c r="C868" s="186" t="s">
        <v>588</v>
      </c>
      <c r="D868" s="186" t="s">
        <v>588</v>
      </c>
      <c r="E868" s="186" t="str">
        <f t="shared" si="29"/>
        <v/>
      </c>
    </row>
    <row r="869" spans="3:5">
      <c r="C869" s="186" t="s">
        <v>588</v>
      </c>
      <c r="D869" s="186" t="s">
        <v>588</v>
      </c>
      <c r="E869" s="186" t="str">
        <f t="shared" si="29"/>
        <v/>
      </c>
    </row>
    <row r="870" spans="3:5">
      <c r="C870" s="186" t="s">
        <v>588</v>
      </c>
      <c r="D870" s="186" t="s">
        <v>588</v>
      </c>
      <c r="E870" s="186" t="str">
        <f t="shared" si="29"/>
        <v/>
      </c>
    </row>
    <row r="871" spans="3:5">
      <c r="C871" s="186" t="s">
        <v>588</v>
      </c>
      <c r="D871" s="186" t="s">
        <v>588</v>
      </c>
      <c r="E871" s="186" t="str">
        <f t="shared" si="29"/>
        <v/>
      </c>
    </row>
    <row r="872" spans="3:5">
      <c r="C872" s="186" t="s">
        <v>588</v>
      </c>
      <c r="D872" s="186" t="s">
        <v>588</v>
      </c>
      <c r="E872" s="186" t="str">
        <f t="shared" si="29"/>
        <v/>
      </c>
    </row>
    <row r="873" spans="3:5">
      <c r="C873" s="186" t="s">
        <v>588</v>
      </c>
      <c r="D873" s="186" t="s">
        <v>588</v>
      </c>
      <c r="E873" s="186" t="str">
        <f t="shared" si="29"/>
        <v/>
      </c>
    </row>
    <row r="874" spans="3:5">
      <c r="C874" s="186" t="s">
        <v>588</v>
      </c>
      <c r="D874" s="186" t="s">
        <v>588</v>
      </c>
      <c r="E874" s="186" t="str">
        <f t="shared" si="29"/>
        <v/>
      </c>
    </row>
    <row r="875" spans="3:5">
      <c r="C875" s="186" t="s">
        <v>588</v>
      </c>
      <c r="D875" s="186" t="s">
        <v>588</v>
      </c>
      <c r="E875" s="186" t="str">
        <f t="shared" si="29"/>
        <v/>
      </c>
    </row>
    <row r="876" spans="3:5">
      <c r="C876" s="186" t="s">
        <v>588</v>
      </c>
      <c r="D876" s="186" t="s">
        <v>588</v>
      </c>
      <c r="E876" s="186" t="str">
        <f t="shared" si="29"/>
        <v/>
      </c>
    </row>
    <row r="877" spans="3:5">
      <c r="C877" s="186" t="s">
        <v>588</v>
      </c>
      <c r="D877" s="186" t="s">
        <v>588</v>
      </c>
      <c r="E877" s="186" t="str">
        <f t="shared" si="29"/>
        <v/>
      </c>
    </row>
    <row r="878" spans="3:5">
      <c r="C878" s="186" t="s">
        <v>588</v>
      </c>
      <c r="D878" s="186" t="s">
        <v>588</v>
      </c>
      <c r="E878" s="186" t="str">
        <f t="shared" si="29"/>
        <v/>
      </c>
    </row>
    <row r="879" spans="3:5">
      <c r="C879" s="186" t="s">
        <v>588</v>
      </c>
      <c r="D879" s="186" t="s">
        <v>588</v>
      </c>
      <c r="E879" s="186" t="str">
        <f t="shared" si="29"/>
        <v/>
      </c>
    </row>
    <row r="880" spans="3:5">
      <c r="C880" s="186" t="s">
        <v>588</v>
      </c>
      <c r="D880" s="186" t="s">
        <v>588</v>
      </c>
      <c r="E880" s="186" t="str">
        <f t="shared" si="29"/>
        <v/>
      </c>
    </row>
    <row r="881" spans="3:5">
      <c r="C881" s="186" t="s">
        <v>588</v>
      </c>
      <c r="D881" s="186" t="s">
        <v>588</v>
      </c>
      <c r="E881" s="186" t="str">
        <f t="shared" si="29"/>
        <v/>
      </c>
    </row>
    <row r="882" spans="3:5">
      <c r="C882" s="186" t="s">
        <v>588</v>
      </c>
      <c r="D882" s="186" t="s">
        <v>588</v>
      </c>
      <c r="E882" s="186" t="str">
        <f t="shared" si="29"/>
        <v/>
      </c>
    </row>
    <row r="883" spans="3:5">
      <c r="C883" s="186" t="s">
        <v>588</v>
      </c>
      <c r="D883" s="186" t="s">
        <v>588</v>
      </c>
      <c r="E883" s="186" t="str">
        <f t="shared" si="29"/>
        <v/>
      </c>
    </row>
    <row r="884" spans="3:5">
      <c r="C884" s="186" t="s">
        <v>588</v>
      </c>
      <c r="D884" s="186" t="s">
        <v>588</v>
      </c>
      <c r="E884" s="186" t="str">
        <f t="shared" si="29"/>
        <v/>
      </c>
    </row>
    <row r="885" spans="3:5">
      <c r="C885" s="186" t="s">
        <v>588</v>
      </c>
      <c r="D885" s="186" t="s">
        <v>588</v>
      </c>
      <c r="E885" s="186" t="str">
        <f t="shared" si="29"/>
        <v/>
      </c>
    </row>
    <row r="886" spans="3:5">
      <c r="C886" s="186" t="s">
        <v>588</v>
      </c>
      <c r="D886" s="186" t="s">
        <v>588</v>
      </c>
      <c r="E886" s="186" t="str">
        <f t="shared" si="29"/>
        <v/>
      </c>
    </row>
    <row r="887" spans="3:5">
      <c r="C887" s="186" t="s">
        <v>588</v>
      </c>
      <c r="D887" s="186" t="s">
        <v>588</v>
      </c>
      <c r="E887" s="186" t="str">
        <f t="shared" si="29"/>
        <v/>
      </c>
    </row>
    <row r="888" spans="3:5">
      <c r="C888" s="186" t="s">
        <v>588</v>
      </c>
      <c r="D888" s="186" t="s">
        <v>588</v>
      </c>
      <c r="E888" s="186" t="str">
        <f t="shared" si="29"/>
        <v/>
      </c>
    </row>
    <row r="889" spans="3:5">
      <c r="C889" s="186" t="s">
        <v>588</v>
      </c>
      <c r="D889" s="186" t="s">
        <v>588</v>
      </c>
      <c r="E889" s="186" t="str">
        <f t="shared" si="29"/>
        <v/>
      </c>
    </row>
    <row r="890" spans="3:5">
      <c r="C890" s="186" t="s">
        <v>588</v>
      </c>
      <c r="D890" s="186" t="s">
        <v>588</v>
      </c>
      <c r="E890" s="186" t="str">
        <f t="shared" si="29"/>
        <v/>
      </c>
    </row>
    <row r="891" spans="3:5">
      <c r="C891" s="186" t="s">
        <v>588</v>
      </c>
      <c r="D891" s="186" t="s">
        <v>588</v>
      </c>
      <c r="E891" s="186" t="str">
        <f t="shared" si="29"/>
        <v/>
      </c>
    </row>
    <row r="892" spans="3:5">
      <c r="C892" s="186" t="s">
        <v>588</v>
      </c>
      <c r="D892" s="186" t="s">
        <v>588</v>
      </c>
      <c r="E892" s="186" t="str">
        <f t="shared" si="29"/>
        <v/>
      </c>
    </row>
    <row r="893" spans="3:5">
      <c r="C893" s="186" t="s">
        <v>588</v>
      </c>
      <c r="D893" s="186" t="s">
        <v>588</v>
      </c>
      <c r="E893" s="186" t="str">
        <f t="shared" si="29"/>
        <v/>
      </c>
    </row>
    <row r="894" spans="3:5">
      <c r="C894" s="186" t="s">
        <v>588</v>
      </c>
      <c r="D894" s="186" t="s">
        <v>588</v>
      </c>
      <c r="E894" s="186" t="str">
        <f t="shared" si="29"/>
        <v/>
      </c>
    </row>
    <row r="895" spans="3:5">
      <c r="C895" s="186" t="s">
        <v>588</v>
      </c>
      <c r="D895" s="186" t="s">
        <v>588</v>
      </c>
      <c r="E895" s="186" t="str">
        <f t="shared" si="29"/>
        <v/>
      </c>
    </row>
    <row r="896" spans="3:5">
      <c r="C896" s="186" t="s">
        <v>588</v>
      </c>
      <c r="D896" s="186" t="s">
        <v>588</v>
      </c>
      <c r="E896" s="186" t="str">
        <f t="shared" si="29"/>
        <v/>
      </c>
    </row>
    <row r="897" spans="3:5">
      <c r="C897" s="186" t="s">
        <v>588</v>
      </c>
      <c r="D897" s="186" t="s">
        <v>588</v>
      </c>
      <c r="E897" s="186" t="str">
        <f t="shared" si="29"/>
        <v/>
      </c>
    </row>
    <row r="898" spans="3:5">
      <c r="C898" s="186" t="s">
        <v>588</v>
      </c>
      <c r="D898" s="186" t="s">
        <v>588</v>
      </c>
      <c r="E898" s="186" t="str">
        <f t="shared" si="29"/>
        <v/>
      </c>
    </row>
    <row r="899" spans="3:5">
      <c r="C899" s="186" t="s">
        <v>588</v>
      </c>
      <c r="D899" s="186" t="s">
        <v>588</v>
      </c>
      <c r="E899" s="186" t="str">
        <f t="shared" si="29"/>
        <v/>
      </c>
    </row>
    <row r="900" spans="3:5">
      <c r="C900" s="186" t="s">
        <v>588</v>
      </c>
      <c r="D900" s="186" t="s">
        <v>588</v>
      </c>
      <c r="E900" s="186" t="str">
        <f t="shared" ref="E900:E963" si="30">IF(C900&lt;D900,C900,D900)</f>
        <v/>
      </c>
    </row>
    <row r="901" spans="3:5">
      <c r="C901" s="186" t="s">
        <v>588</v>
      </c>
      <c r="D901" s="186" t="s">
        <v>588</v>
      </c>
      <c r="E901" s="186" t="str">
        <f t="shared" si="30"/>
        <v/>
      </c>
    </row>
    <row r="902" spans="3:5">
      <c r="C902" s="186" t="s">
        <v>588</v>
      </c>
      <c r="D902" s="186" t="s">
        <v>588</v>
      </c>
      <c r="E902" s="186" t="str">
        <f t="shared" si="30"/>
        <v/>
      </c>
    </row>
    <row r="903" spans="3:5">
      <c r="C903" s="186" t="s">
        <v>588</v>
      </c>
      <c r="D903" s="186" t="s">
        <v>588</v>
      </c>
      <c r="E903" s="186" t="str">
        <f t="shared" si="30"/>
        <v/>
      </c>
    </row>
    <row r="904" spans="3:5">
      <c r="C904" s="186" t="s">
        <v>588</v>
      </c>
      <c r="D904" s="186" t="s">
        <v>588</v>
      </c>
      <c r="E904" s="186" t="str">
        <f t="shared" si="30"/>
        <v/>
      </c>
    </row>
    <row r="905" spans="3:5">
      <c r="C905" s="186" t="s">
        <v>588</v>
      </c>
      <c r="D905" s="186" t="s">
        <v>588</v>
      </c>
      <c r="E905" s="186" t="str">
        <f t="shared" si="30"/>
        <v/>
      </c>
    </row>
    <row r="906" spans="3:5">
      <c r="C906" s="186" t="s">
        <v>588</v>
      </c>
      <c r="D906" s="186" t="s">
        <v>588</v>
      </c>
      <c r="E906" s="186" t="str">
        <f t="shared" si="30"/>
        <v/>
      </c>
    </row>
    <row r="907" spans="3:5">
      <c r="C907" s="186" t="s">
        <v>588</v>
      </c>
      <c r="D907" s="186" t="s">
        <v>588</v>
      </c>
      <c r="E907" s="186" t="str">
        <f t="shared" si="30"/>
        <v/>
      </c>
    </row>
    <row r="908" spans="3:5">
      <c r="C908" s="186" t="s">
        <v>588</v>
      </c>
      <c r="D908" s="186" t="s">
        <v>588</v>
      </c>
      <c r="E908" s="186" t="str">
        <f t="shared" si="30"/>
        <v/>
      </c>
    </row>
    <row r="909" spans="3:5">
      <c r="C909" s="186" t="s">
        <v>588</v>
      </c>
      <c r="D909" s="186" t="s">
        <v>588</v>
      </c>
      <c r="E909" s="186" t="str">
        <f t="shared" si="30"/>
        <v/>
      </c>
    </row>
    <row r="910" spans="3:5">
      <c r="C910" s="186" t="s">
        <v>588</v>
      </c>
      <c r="D910" s="186" t="s">
        <v>588</v>
      </c>
      <c r="E910" s="186" t="str">
        <f t="shared" si="30"/>
        <v/>
      </c>
    </row>
    <row r="911" spans="3:5">
      <c r="C911" s="186" t="s">
        <v>588</v>
      </c>
      <c r="D911" s="186" t="s">
        <v>588</v>
      </c>
      <c r="E911" s="186" t="str">
        <f t="shared" si="30"/>
        <v/>
      </c>
    </row>
    <row r="912" spans="3:5">
      <c r="C912" s="186" t="s">
        <v>588</v>
      </c>
      <c r="D912" s="186" t="s">
        <v>588</v>
      </c>
      <c r="E912" s="186" t="str">
        <f t="shared" si="30"/>
        <v/>
      </c>
    </row>
    <row r="913" spans="3:5">
      <c r="C913" s="186" t="s">
        <v>588</v>
      </c>
      <c r="D913" s="186" t="s">
        <v>588</v>
      </c>
      <c r="E913" s="186" t="str">
        <f t="shared" si="30"/>
        <v/>
      </c>
    </row>
    <row r="914" spans="3:5">
      <c r="C914" s="186" t="s">
        <v>588</v>
      </c>
      <c r="D914" s="186" t="s">
        <v>588</v>
      </c>
      <c r="E914" s="186" t="str">
        <f t="shared" si="30"/>
        <v/>
      </c>
    </row>
    <row r="915" spans="3:5">
      <c r="C915" s="186" t="s">
        <v>588</v>
      </c>
      <c r="D915" s="186" t="s">
        <v>588</v>
      </c>
      <c r="E915" s="186" t="str">
        <f t="shared" si="30"/>
        <v/>
      </c>
    </row>
    <row r="916" spans="3:5">
      <c r="C916" s="186" t="s">
        <v>588</v>
      </c>
      <c r="D916" s="186" t="s">
        <v>588</v>
      </c>
      <c r="E916" s="186" t="str">
        <f t="shared" si="30"/>
        <v/>
      </c>
    </row>
    <row r="917" spans="3:5">
      <c r="C917" s="186" t="s">
        <v>588</v>
      </c>
      <c r="D917" s="186" t="s">
        <v>588</v>
      </c>
      <c r="E917" s="186" t="str">
        <f t="shared" si="30"/>
        <v/>
      </c>
    </row>
    <row r="918" spans="3:5">
      <c r="C918" s="186" t="s">
        <v>588</v>
      </c>
      <c r="D918" s="186" t="s">
        <v>588</v>
      </c>
      <c r="E918" s="186" t="str">
        <f t="shared" si="30"/>
        <v/>
      </c>
    </row>
    <row r="919" spans="3:5">
      <c r="C919" s="186" t="s">
        <v>588</v>
      </c>
      <c r="D919" s="186" t="s">
        <v>588</v>
      </c>
      <c r="E919" s="186" t="str">
        <f t="shared" si="30"/>
        <v/>
      </c>
    </row>
    <row r="920" spans="3:5">
      <c r="C920" s="186" t="s">
        <v>588</v>
      </c>
      <c r="D920" s="186" t="s">
        <v>588</v>
      </c>
      <c r="E920" s="186" t="str">
        <f t="shared" si="30"/>
        <v/>
      </c>
    </row>
    <row r="921" spans="3:5">
      <c r="C921" s="186" t="s">
        <v>588</v>
      </c>
      <c r="D921" s="186" t="s">
        <v>588</v>
      </c>
      <c r="E921" s="186" t="str">
        <f t="shared" si="30"/>
        <v/>
      </c>
    </row>
    <row r="922" spans="3:5">
      <c r="C922" s="186" t="s">
        <v>588</v>
      </c>
      <c r="D922" s="186" t="s">
        <v>588</v>
      </c>
      <c r="E922" s="186" t="str">
        <f t="shared" si="30"/>
        <v/>
      </c>
    </row>
    <row r="923" spans="3:5">
      <c r="C923" s="186" t="s">
        <v>588</v>
      </c>
      <c r="D923" s="186" t="s">
        <v>588</v>
      </c>
      <c r="E923" s="186" t="str">
        <f t="shared" si="30"/>
        <v/>
      </c>
    </row>
    <row r="924" spans="3:5">
      <c r="C924" s="186" t="s">
        <v>588</v>
      </c>
      <c r="D924" s="186" t="s">
        <v>588</v>
      </c>
      <c r="E924" s="186" t="str">
        <f t="shared" si="30"/>
        <v/>
      </c>
    </row>
    <row r="925" spans="3:5">
      <c r="C925" s="186" t="s">
        <v>588</v>
      </c>
      <c r="D925" s="186" t="s">
        <v>588</v>
      </c>
      <c r="E925" s="186" t="str">
        <f t="shared" si="30"/>
        <v/>
      </c>
    </row>
    <row r="926" spans="3:5">
      <c r="C926" s="186" t="s">
        <v>588</v>
      </c>
      <c r="D926" s="186" t="s">
        <v>588</v>
      </c>
      <c r="E926" s="186" t="str">
        <f t="shared" si="30"/>
        <v/>
      </c>
    </row>
    <row r="927" spans="3:5">
      <c r="C927" s="186" t="s">
        <v>588</v>
      </c>
      <c r="D927" s="186" t="s">
        <v>588</v>
      </c>
      <c r="E927" s="186" t="str">
        <f t="shared" si="30"/>
        <v/>
      </c>
    </row>
    <row r="928" spans="3:5">
      <c r="C928" s="186" t="s">
        <v>588</v>
      </c>
      <c r="D928" s="186" t="s">
        <v>588</v>
      </c>
      <c r="E928" s="186" t="str">
        <f t="shared" si="30"/>
        <v/>
      </c>
    </row>
    <row r="929" spans="3:5">
      <c r="C929" s="186" t="s">
        <v>588</v>
      </c>
      <c r="D929" s="186" t="s">
        <v>588</v>
      </c>
      <c r="E929" s="186" t="str">
        <f t="shared" si="30"/>
        <v/>
      </c>
    </row>
    <row r="930" spans="3:5">
      <c r="C930" s="186" t="s">
        <v>588</v>
      </c>
      <c r="D930" s="186" t="s">
        <v>588</v>
      </c>
      <c r="E930" s="186" t="str">
        <f t="shared" si="30"/>
        <v/>
      </c>
    </row>
    <row r="931" spans="3:5">
      <c r="C931" s="186" t="s">
        <v>588</v>
      </c>
      <c r="D931" s="186" t="s">
        <v>588</v>
      </c>
      <c r="E931" s="186" t="str">
        <f t="shared" si="30"/>
        <v/>
      </c>
    </row>
    <row r="932" spans="3:5">
      <c r="C932" s="186" t="s">
        <v>588</v>
      </c>
      <c r="D932" s="186" t="s">
        <v>588</v>
      </c>
      <c r="E932" s="186" t="str">
        <f t="shared" si="30"/>
        <v/>
      </c>
    </row>
    <row r="933" spans="3:5">
      <c r="C933" s="186" t="s">
        <v>588</v>
      </c>
      <c r="D933" s="186" t="s">
        <v>588</v>
      </c>
      <c r="E933" s="186" t="str">
        <f t="shared" si="30"/>
        <v/>
      </c>
    </row>
    <row r="934" spans="3:5">
      <c r="C934" s="186" t="s">
        <v>588</v>
      </c>
      <c r="D934" s="186" t="s">
        <v>588</v>
      </c>
      <c r="E934" s="186" t="str">
        <f t="shared" si="30"/>
        <v/>
      </c>
    </row>
    <row r="935" spans="3:5">
      <c r="C935" s="186" t="s">
        <v>588</v>
      </c>
      <c r="D935" s="186" t="s">
        <v>588</v>
      </c>
      <c r="E935" s="186" t="str">
        <f t="shared" si="30"/>
        <v/>
      </c>
    </row>
    <row r="936" spans="3:5">
      <c r="C936" s="186" t="s">
        <v>588</v>
      </c>
      <c r="D936" s="186" t="s">
        <v>588</v>
      </c>
      <c r="E936" s="186" t="str">
        <f t="shared" si="30"/>
        <v/>
      </c>
    </row>
    <row r="937" spans="3:5">
      <c r="C937" s="186" t="s">
        <v>588</v>
      </c>
      <c r="D937" s="186" t="s">
        <v>588</v>
      </c>
      <c r="E937" s="186" t="str">
        <f t="shared" si="30"/>
        <v/>
      </c>
    </row>
    <row r="938" spans="3:5">
      <c r="C938" s="186" t="s">
        <v>588</v>
      </c>
      <c r="D938" s="186" t="s">
        <v>588</v>
      </c>
      <c r="E938" s="186" t="str">
        <f t="shared" si="30"/>
        <v/>
      </c>
    </row>
    <row r="939" spans="3:5">
      <c r="C939" s="186" t="s">
        <v>588</v>
      </c>
      <c r="D939" s="186" t="s">
        <v>588</v>
      </c>
      <c r="E939" s="186" t="str">
        <f t="shared" si="30"/>
        <v/>
      </c>
    </row>
    <row r="940" spans="3:5">
      <c r="C940" s="186" t="s">
        <v>588</v>
      </c>
      <c r="D940" s="186" t="s">
        <v>588</v>
      </c>
      <c r="E940" s="186" t="str">
        <f t="shared" si="30"/>
        <v/>
      </c>
    </row>
    <row r="941" spans="3:5">
      <c r="C941" s="186" t="s">
        <v>588</v>
      </c>
      <c r="D941" s="186" t="s">
        <v>588</v>
      </c>
      <c r="E941" s="186" t="str">
        <f t="shared" si="30"/>
        <v/>
      </c>
    </row>
    <row r="942" spans="3:5">
      <c r="C942" s="186" t="s">
        <v>588</v>
      </c>
      <c r="D942" s="186" t="s">
        <v>588</v>
      </c>
      <c r="E942" s="186" t="str">
        <f t="shared" si="30"/>
        <v/>
      </c>
    </row>
    <row r="943" spans="3:5">
      <c r="C943" s="186" t="s">
        <v>588</v>
      </c>
      <c r="D943" s="186" t="s">
        <v>588</v>
      </c>
      <c r="E943" s="186" t="str">
        <f t="shared" si="30"/>
        <v/>
      </c>
    </row>
    <row r="944" spans="3:5">
      <c r="C944" s="186" t="s">
        <v>588</v>
      </c>
      <c r="D944" s="186" t="s">
        <v>588</v>
      </c>
      <c r="E944" s="186" t="str">
        <f t="shared" si="30"/>
        <v/>
      </c>
    </row>
    <row r="945" spans="3:5">
      <c r="C945" s="186" t="s">
        <v>588</v>
      </c>
      <c r="D945" s="186" t="s">
        <v>588</v>
      </c>
      <c r="E945" s="186" t="str">
        <f t="shared" si="30"/>
        <v/>
      </c>
    </row>
    <row r="946" spans="3:5">
      <c r="C946" s="186" t="s">
        <v>588</v>
      </c>
      <c r="D946" s="186" t="s">
        <v>588</v>
      </c>
      <c r="E946" s="186" t="str">
        <f t="shared" si="30"/>
        <v/>
      </c>
    </row>
    <row r="947" spans="3:5">
      <c r="C947" s="186" t="s">
        <v>588</v>
      </c>
      <c r="D947" s="186" t="s">
        <v>588</v>
      </c>
      <c r="E947" s="186" t="str">
        <f t="shared" si="30"/>
        <v/>
      </c>
    </row>
    <row r="948" spans="3:5">
      <c r="C948" s="186" t="s">
        <v>588</v>
      </c>
      <c r="D948" s="186" t="s">
        <v>588</v>
      </c>
      <c r="E948" s="186" t="str">
        <f t="shared" si="30"/>
        <v/>
      </c>
    </row>
    <row r="949" spans="3:5">
      <c r="C949" s="186" t="s">
        <v>588</v>
      </c>
      <c r="D949" s="186" t="s">
        <v>588</v>
      </c>
      <c r="E949" s="186" t="str">
        <f t="shared" si="30"/>
        <v/>
      </c>
    </row>
    <row r="950" spans="3:5">
      <c r="C950" s="186" t="s">
        <v>588</v>
      </c>
      <c r="D950" s="186" t="s">
        <v>588</v>
      </c>
      <c r="E950" s="186" t="str">
        <f t="shared" si="30"/>
        <v/>
      </c>
    </row>
    <row r="951" spans="3:5">
      <c r="C951" s="186" t="s">
        <v>588</v>
      </c>
      <c r="D951" s="186" t="s">
        <v>588</v>
      </c>
      <c r="E951" s="186" t="str">
        <f t="shared" si="30"/>
        <v/>
      </c>
    </row>
    <row r="952" spans="3:5">
      <c r="C952" s="186" t="s">
        <v>588</v>
      </c>
      <c r="D952" s="186" t="s">
        <v>588</v>
      </c>
      <c r="E952" s="186" t="str">
        <f t="shared" si="30"/>
        <v/>
      </c>
    </row>
    <row r="953" spans="3:5">
      <c r="C953" s="186" t="s">
        <v>588</v>
      </c>
      <c r="D953" s="186" t="s">
        <v>588</v>
      </c>
      <c r="E953" s="186" t="str">
        <f t="shared" si="30"/>
        <v/>
      </c>
    </row>
    <row r="954" spans="3:5">
      <c r="C954" s="186" t="s">
        <v>588</v>
      </c>
      <c r="D954" s="186" t="s">
        <v>588</v>
      </c>
      <c r="E954" s="186" t="str">
        <f t="shared" si="30"/>
        <v/>
      </c>
    </row>
    <row r="955" spans="3:5">
      <c r="C955" s="186" t="s">
        <v>588</v>
      </c>
      <c r="D955" s="186" t="s">
        <v>588</v>
      </c>
      <c r="E955" s="186" t="str">
        <f t="shared" si="30"/>
        <v/>
      </c>
    </row>
    <row r="956" spans="3:5">
      <c r="C956" s="186" t="s">
        <v>588</v>
      </c>
      <c r="D956" s="186" t="s">
        <v>588</v>
      </c>
      <c r="E956" s="186" t="str">
        <f t="shared" si="30"/>
        <v/>
      </c>
    </row>
    <row r="957" spans="3:5">
      <c r="C957" s="186" t="s">
        <v>588</v>
      </c>
      <c r="D957" s="186" t="s">
        <v>588</v>
      </c>
      <c r="E957" s="186" t="str">
        <f t="shared" si="30"/>
        <v/>
      </c>
    </row>
    <row r="958" spans="3:5">
      <c r="C958" s="186" t="s">
        <v>588</v>
      </c>
      <c r="D958" s="186" t="s">
        <v>588</v>
      </c>
      <c r="E958" s="186" t="str">
        <f t="shared" si="30"/>
        <v/>
      </c>
    </row>
    <row r="959" spans="3:5">
      <c r="C959" s="186" t="s">
        <v>588</v>
      </c>
      <c r="D959" s="186" t="s">
        <v>588</v>
      </c>
      <c r="E959" s="186" t="str">
        <f t="shared" si="30"/>
        <v/>
      </c>
    </row>
    <row r="960" spans="3:5">
      <c r="C960" s="186" t="s">
        <v>588</v>
      </c>
      <c r="D960" s="186" t="s">
        <v>588</v>
      </c>
      <c r="E960" s="186" t="str">
        <f t="shared" si="30"/>
        <v/>
      </c>
    </row>
    <row r="961" spans="3:5">
      <c r="C961" s="186" t="s">
        <v>588</v>
      </c>
      <c r="D961" s="186" t="s">
        <v>588</v>
      </c>
      <c r="E961" s="186" t="str">
        <f t="shared" si="30"/>
        <v/>
      </c>
    </row>
    <row r="962" spans="3:5">
      <c r="C962" s="186" t="s">
        <v>588</v>
      </c>
      <c r="D962" s="186" t="s">
        <v>588</v>
      </c>
      <c r="E962" s="186" t="str">
        <f t="shared" si="30"/>
        <v/>
      </c>
    </row>
    <row r="963" spans="3:5">
      <c r="C963" s="186" t="s">
        <v>588</v>
      </c>
      <c r="D963" s="186" t="s">
        <v>588</v>
      </c>
      <c r="E963" s="186" t="str">
        <f t="shared" si="30"/>
        <v/>
      </c>
    </row>
    <row r="964" spans="3:5">
      <c r="C964" s="186" t="s">
        <v>588</v>
      </c>
      <c r="D964" s="186" t="s">
        <v>588</v>
      </c>
      <c r="E964" s="186" t="str">
        <f t="shared" ref="E964:E1027" si="31">IF(C964&lt;D964,C964,D964)</f>
        <v/>
      </c>
    </row>
    <row r="965" spans="3:5">
      <c r="C965" s="186" t="s">
        <v>588</v>
      </c>
      <c r="D965" s="186" t="s">
        <v>588</v>
      </c>
      <c r="E965" s="186" t="str">
        <f t="shared" si="31"/>
        <v/>
      </c>
    </row>
    <row r="966" spans="3:5">
      <c r="C966" s="186" t="s">
        <v>588</v>
      </c>
      <c r="D966" s="186" t="s">
        <v>588</v>
      </c>
      <c r="E966" s="186" t="str">
        <f t="shared" si="31"/>
        <v/>
      </c>
    </row>
    <row r="967" spans="3:5">
      <c r="C967" s="186" t="s">
        <v>588</v>
      </c>
      <c r="D967" s="186" t="s">
        <v>588</v>
      </c>
      <c r="E967" s="186" t="str">
        <f t="shared" si="31"/>
        <v/>
      </c>
    </row>
    <row r="968" spans="3:5">
      <c r="C968" s="186" t="s">
        <v>588</v>
      </c>
      <c r="D968" s="186" t="s">
        <v>588</v>
      </c>
      <c r="E968" s="186" t="str">
        <f t="shared" si="31"/>
        <v/>
      </c>
    </row>
    <row r="969" spans="3:5">
      <c r="C969" s="186" t="s">
        <v>588</v>
      </c>
      <c r="D969" s="186" t="s">
        <v>588</v>
      </c>
      <c r="E969" s="186" t="str">
        <f t="shared" si="31"/>
        <v/>
      </c>
    </row>
    <row r="970" spans="3:5">
      <c r="C970" s="186" t="s">
        <v>588</v>
      </c>
      <c r="D970" s="186" t="s">
        <v>588</v>
      </c>
      <c r="E970" s="186" t="str">
        <f t="shared" si="31"/>
        <v/>
      </c>
    </row>
    <row r="971" spans="3:5">
      <c r="C971" s="186" t="s">
        <v>588</v>
      </c>
      <c r="D971" s="186" t="s">
        <v>588</v>
      </c>
      <c r="E971" s="186" t="str">
        <f t="shared" si="31"/>
        <v/>
      </c>
    </row>
    <row r="972" spans="3:5">
      <c r="C972" s="186" t="s">
        <v>588</v>
      </c>
      <c r="D972" s="186" t="s">
        <v>588</v>
      </c>
      <c r="E972" s="186" t="str">
        <f t="shared" si="31"/>
        <v/>
      </c>
    </row>
    <row r="973" spans="3:5">
      <c r="C973" s="186" t="s">
        <v>588</v>
      </c>
      <c r="D973" s="186" t="s">
        <v>588</v>
      </c>
      <c r="E973" s="186" t="str">
        <f t="shared" si="31"/>
        <v/>
      </c>
    </row>
    <row r="974" spans="3:5">
      <c r="C974" s="186" t="s">
        <v>588</v>
      </c>
      <c r="D974" s="186" t="s">
        <v>588</v>
      </c>
      <c r="E974" s="186" t="str">
        <f t="shared" si="31"/>
        <v/>
      </c>
    </row>
    <row r="975" spans="3:5">
      <c r="C975" s="186" t="s">
        <v>588</v>
      </c>
      <c r="D975" s="186" t="s">
        <v>588</v>
      </c>
      <c r="E975" s="186" t="str">
        <f t="shared" si="31"/>
        <v/>
      </c>
    </row>
    <row r="976" spans="3:5">
      <c r="C976" s="186" t="s">
        <v>588</v>
      </c>
      <c r="D976" s="186" t="s">
        <v>588</v>
      </c>
      <c r="E976" s="186" t="str">
        <f t="shared" si="31"/>
        <v/>
      </c>
    </row>
    <row r="977" spans="3:5">
      <c r="C977" s="186" t="s">
        <v>588</v>
      </c>
      <c r="D977" s="186" t="s">
        <v>588</v>
      </c>
      <c r="E977" s="186" t="str">
        <f t="shared" si="31"/>
        <v/>
      </c>
    </row>
    <row r="978" spans="3:5">
      <c r="C978" s="186" t="s">
        <v>588</v>
      </c>
      <c r="D978" s="186" t="s">
        <v>588</v>
      </c>
      <c r="E978" s="186" t="str">
        <f t="shared" si="31"/>
        <v/>
      </c>
    </row>
    <row r="979" spans="3:5">
      <c r="C979" s="186" t="s">
        <v>588</v>
      </c>
      <c r="D979" s="186" t="s">
        <v>588</v>
      </c>
      <c r="E979" s="186" t="str">
        <f t="shared" si="31"/>
        <v/>
      </c>
    </row>
    <row r="980" spans="3:5">
      <c r="C980" s="186" t="s">
        <v>588</v>
      </c>
      <c r="D980" s="186" t="s">
        <v>588</v>
      </c>
      <c r="E980" s="186" t="str">
        <f t="shared" si="31"/>
        <v/>
      </c>
    </row>
    <row r="981" spans="3:5">
      <c r="C981" s="186" t="s">
        <v>588</v>
      </c>
      <c r="D981" s="186" t="s">
        <v>588</v>
      </c>
      <c r="E981" s="186" t="str">
        <f t="shared" si="31"/>
        <v/>
      </c>
    </row>
    <row r="982" spans="3:5">
      <c r="C982" s="186" t="s">
        <v>588</v>
      </c>
      <c r="D982" s="186" t="s">
        <v>588</v>
      </c>
      <c r="E982" s="186" t="str">
        <f t="shared" si="31"/>
        <v/>
      </c>
    </row>
    <row r="983" spans="3:5">
      <c r="C983" s="186" t="s">
        <v>588</v>
      </c>
      <c r="D983" s="186" t="s">
        <v>588</v>
      </c>
      <c r="E983" s="186" t="str">
        <f t="shared" si="31"/>
        <v/>
      </c>
    </row>
    <row r="984" spans="3:5">
      <c r="C984" s="186" t="s">
        <v>588</v>
      </c>
      <c r="D984" s="186" t="s">
        <v>588</v>
      </c>
      <c r="E984" s="186" t="str">
        <f t="shared" si="31"/>
        <v/>
      </c>
    </row>
    <row r="985" spans="3:5">
      <c r="C985" s="186" t="s">
        <v>588</v>
      </c>
      <c r="D985" s="186" t="s">
        <v>588</v>
      </c>
      <c r="E985" s="186" t="str">
        <f t="shared" si="31"/>
        <v/>
      </c>
    </row>
    <row r="986" spans="3:5">
      <c r="C986" s="186" t="s">
        <v>588</v>
      </c>
      <c r="D986" s="186" t="s">
        <v>588</v>
      </c>
      <c r="E986" s="186" t="str">
        <f t="shared" si="31"/>
        <v/>
      </c>
    </row>
    <row r="987" spans="3:5">
      <c r="C987" s="186" t="s">
        <v>588</v>
      </c>
      <c r="D987" s="186" t="s">
        <v>588</v>
      </c>
      <c r="E987" s="186" t="str">
        <f t="shared" si="31"/>
        <v/>
      </c>
    </row>
    <row r="988" spans="3:5">
      <c r="C988" s="186" t="s">
        <v>588</v>
      </c>
      <c r="D988" s="186" t="s">
        <v>588</v>
      </c>
      <c r="E988" s="186" t="str">
        <f t="shared" si="31"/>
        <v/>
      </c>
    </row>
    <row r="989" spans="3:5">
      <c r="C989" s="186" t="s">
        <v>588</v>
      </c>
      <c r="D989" s="186" t="s">
        <v>588</v>
      </c>
      <c r="E989" s="186" t="str">
        <f t="shared" si="31"/>
        <v/>
      </c>
    </row>
    <row r="990" spans="3:5">
      <c r="C990" s="186" t="s">
        <v>588</v>
      </c>
      <c r="D990" s="186" t="s">
        <v>588</v>
      </c>
      <c r="E990" s="186" t="str">
        <f t="shared" si="31"/>
        <v/>
      </c>
    </row>
    <row r="991" spans="3:5">
      <c r="C991" s="186" t="s">
        <v>588</v>
      </c>
      <c r="D991" s="186" t="s">
        <v>588</v>
      </c>
      <c r="E991" s="186" t="str">
        <f t="shared" si="31"/>
        <v/>
      </c>
    </row>
    <row r="992" spans="3:5">
      <c r="C992" s="186" t="s">
        <v>588</v>
      </c>
      <c r="D992" s="186" t="s">
        <v>588</v>
      </c>
      <c r="E992" s="186" t="str">
        <f t="shared" si="31"/>
        <v/>
      </c>
    </row>
    <row r="993" spans="3:5">
      <c r="C993" s="186" t="s">
        <v>588</v>
      </c>
      <c r="D993" s="186" t="s">
        <v>588</v>
      </c>
      <c r="E993" s="186" t="str">
        <f t="shared" si="31"/>
        <v/>
      </c>
    </row>
    <row r="994" spans="3:5">
      <c r="C994" s="186" t="s">
        <v>588</v>
      </c>
      <c r="D994" s="186" t="s">
        <v>588</v>
      </c>
      <c r="E994" s="186" t="str">
        <f t="shared" si="31"/>
        <v/>
      </c>
    </row>
    <row r="995" spans="3:5">
      <c r="C995" s="186" t="s">
        <v>588</v>
      </c>
      <c r="D995" s="186" t="s">
        <v>588</v>
      </c>
      <c r="E995" s="186" t="str">
        <f t="shared" si="31"/>
        <v/>
      </c>
    </row>
    <row r="996" spans="3:5">
      <c r="C996" s="186" t="s">
        <v>588</v>
      </c>
      <c r="D996" s="186" t="s">
        <v>588</v>
      </c>
      <c r="E996" s="186" t="str">
        <f t="shared" si="31"/>
        <v/>
      </c>
    </row>
    <row r="997" spans="3:5">
      <c r="C997" s="186" t="s">
        <v>588</v>
      </c>
      <c r="D997" s="186" t="s">
        <v>588</v>
      </c>
      <c r="E997" s="186" t="str">
        <f t="shared" si="31"/>
        <v/>
      </c>
    </row>
    <row r="998" spans="3:5">
      <c r="C998" s="186" t="s">
        <v>588</v>
      </c>
      <c r="D998" s="186" t="s">
        <v>588</v>
      </c>
      <c r="E998" s="186" t="str">
        <f t="shared" si="31"/>
        <v/>
      </c>
    </row>
    <row r="999" spans="3:5">
      <c r="C999" s="186" t="s">
        <v>588</v>
      </c>
      <c r="D999" s="186" t="s">
        <v>588</v>
      </c>
      <c r="E999" s="186" t="str">
        <f t="shared" si="31"/>
        <v/>
      </c>
    </row>
    <row r="1000" spans="3:5">
      <c r="C1000" s="186" t="s">
        <v>588</v>
      </c>
      <c r="D1000" s="186" t="s">
        <v>588</v>
      </c>
      <c r="E1000" s="186" t="str">
        <f t="shared" si="31"/>
        <v/>
      </c>
    </row>
    <row r="1001" spans="3:5">
      <c r="C1001" s="186" t="s">
        <v>588</v>
      </c>
      <c r="D1001" s="186" t="s">
        <v>588</v>
      </c>
      <c r="E1001" s="186" t="str">
        <f t="shared" si="31"/>
        <v/>
      </c>
    </row>
    <row r="1002" spans="3:5">
      <c r="C1002" s="186" t="s">
        <v>588</v>
      </c>
      <c r="D1002" s="186" t="s">
        <v>588</v>
      </c>
      <c r="E1002" s="186" t="str">
        <f t="shared" si="31"/>
        <v/>
      </c>
    </row>
    <row r="1003" spans="3:5">
      <c r="C1003" s="186" t="s">
        <v>588</v>
      </c>
      <c r="D1003" s="186" t="s">
        <v>588</v>
      </c>
      <c r="E1003" s="186" t="str">
        <f t="shared" si="31"/>
        <v/>
      </c>
    </row>
    <row r="1004" spans="3:5">
      <c r="C1004" s="186" t="s">
        <v>588</v>
      </c>
      <c r="D1004" s="186" t="s">
        <v>588</v>
      </c>
      <c r="E1004" s="186" t="str">
        <f t="shared" si="31"/>
        <v/>
      </c>
    </row>
    <row r="1005" spans="3:5">
      <c r="C1005" s="186" t="s">
        <v>588</v>
      </c>
      <c r="D1005" s="186" t="s">
        <v>588</v>
      </c>
      <c r="E1005" s="186" t="str">
        <f t="shared" si="31"/>
        <v/>
      </c>
    </row>
    <row r="1006" spans="3:5">
      <c r="C1006" s="186" t="s">
        <v>588</v>
      </c>
      <c r="D1006" s="186" t="s">
        <v>588</v>
      </c>
      <c r="E1006" s="186" t="str">
        <f t="shared" si="31"/>
        <v/>
      </c>
    </row>
    <row r="1007" spans="3:5">
      <c r="C1007" s="186" t="s">
        <v>588</v>
      </c>
      <c r="D1007" s="186" t="s">
        <v>588</v>
      </c>
      <c r="E1007" s="186" t="str">
        <f t="shared" si="31"/>
        <v/>
      </c>
    </row>
    <row r="1008" spans="3:5">
      <c r="C1008" s="186" t="s">
        <v>588</v>
      </c>
      <c r="D1008" s="186" t="s">
        <v>588</v>
      </c>
      <c r="E1008" s="186" t="str">
        <f t="shared" si="31"/>
        <v/>
      </c>
    </row>
    <row r="1009" spans="3:5">
      <c r="C1009" s="186" t="s">
        <v>588</v>
      </c>
      <c r="D1009" s="186" t="s">
        <v>588</v>
      </c>
      <c r="E1009" s="186" t="str">
        <f t="shared" si="31"/>
        <v/>
      </c>
    </row>
    <row r="1010" spans="3:5">
      <c r="C1010" s="186" t="s">
        <v>588</v>
      </c>
      <c r="D1010" s="186" t="s">
        <v>588</v>
      </c>
      <c r="E1010" s="186" t="str">
        <f t="shared" si="31"/>
        <v/>
      </c>
    </row>
    <row r="1011" spans="3:5">
      <c r="C1011" s="186" t="s">
        <v>588</v>
      </c>
      <c r="D1011" s="186" t="s">
        <v>588</v>
      </c>
      <c r="E1011" s="186" t="str">
        <f t="shared" si="31"/>
        <v/>
      </c>
    </row>
    <row r="1012" spans="3:5">
      <c r="C1012" s="186" t="s">
        <v>588</v>
      </c>
      <c r="D1012" s="186" t="s">
        <v>588</v>
      </c>
      <c r="E1012" s="186" t="str">
        <f t="shared" si="31"/>
        <v/>
      </c>
    </row>
    <row r="1013" spans="3:5">
      <c r="C1013" s="186" t="s">
        <v>588</v>
      </c>
      <c r="D1013" s="186" t="s">
        <v>588</v>
      </c>
      <c r="E1013" s="186" t="str">
        <f t="shared" si="31"/>
        <v/>
      </c>
    </row>
    <row r="1014" spans="3:5">
      <c r="C1014" s="186" t="s">
        <v>588</v>
      </c>
      <c r="D1014" s="186" t="s">
        <v>588</v>
      </c>
      <c r="E1014" s="186" t="str">
        <f t="shared" si="31"/>
        <v/>
      </c>
    </row>
    <row r="1015" spans="3:5">
      <c r="C1015" s="186" t="s">
        <v>588</v>
      </c>
      <c r="D1015" s="186" t="s">
        <v>588</v>
      </c>
      <c r="E1015" s="186" t="str">
        <f t="shared" si="31"/>
        <v/>
      </c>
    </row>
    <row r="1016" spans="3:5">
      <c r="C1016" s="186" t="s">
        <v>588</v>
      </c>
      <c r="D1016" s="186" t="s">
        <v>588</v>
      </c>
      <c r="E1016" s="186" t="str">
        <f t="shared" si="31"/>
        <v/>
      </c>
    </row>
    <row r="1017" spans="3:5">
      <c r="C1017" s="186" t="s">
        <v>588</v>
      </c>
      <c r="D1017" s="186" t="s">
        <v>588</v>
      </c>
      <c r="E1017" s="186" t="str">
        <f t="shared" si="31"/>
        <v/>
      </c>
    </row>
    <row r="1018" spans="3:5">
      <c r="C1018" s="186" t="s">
        <v>588</v>
      </c>
      <c r="D1018" s="186" t="s">
        <v>588</v>
      </c>
      <c r="E1018" s="186" t="str">
        <f t="shared" si="31"/>
        <v/>
      </c>
    </row>
    <row r="1019" spans="3:5">
      <c r="C1019" s="186" t="s">
        <v>588</v>
      </c>
      <c r="D1019" s="186" t="s">
        <v>588</v>
      </c>
      <c r="E1019" s="186" t="str">
        <f t="shared" si="31"/>
        <v/>
      </c>
    </row>
    <row r="1020" spans="3:5">
      <c r="C1020" s="186" t="s">
        <v>588</v>
      </c>
      <c r="D1020" s="186" t="s">
        <v>588</v>
      </c>
      <c r="E1020" s="186" t="str">
        <f t="shared" si="31"/>
        <v/>
      </c>
    </row>
    <row r="1021" spans="3:5">
      <c r="C1021" s="186" t="s">
        <v>588</v>
      </c>
      <c r="D1021" s="186" t="s">
        <v>588</v>
      </c>
      <c r="E1021" s="186" t="str">
        <f t="shared" si="31"/>
        <v/>
      </c>
    </row>
    <row r="1022" spans="3:5">
      <c r="C1022" s="186" t="s">
        <v>588</v>
      </c>
      <c r="D1022" s="186" t="s">
        <v>588</v>
      </c>
      <c r="E1022" s="186" t="str">
        <f t="shared" si="31"/>
        <v/>
      </c>
    </row>
    <row r="1023" spans="3:5">
      <c r="C1023" s="186" t="s">
        <v>588</v>
      </c>
      <c r="D1023" s="186" t="s">
        <v>588</v>
      </c>
      <c r="E1023" s="186" t="str">
        <f t="shared" si="31"/>
        <v/>
      </c>
    </row>
    <row r="1024" spans="3:5">
      <c r="C1024" s="186" t="s">
        <v>588</v>
      </c>
      <c r="D1024" s="186" t="s">
        <v>588</v>
      </c>
      <c r="E1024" s="186" t="str">
        <f t="shared" si="31"/>
        <v/>
      </c>
    </row>
    <row r="1025" spans="3:5">
      <c r="C1025" s="186" t="s">
        <v>588</v>
      </c>
      <c r="D1025" s="186" t="s">
        <v>588</v>
      </c>
      <c r="E1025" s="186" t="str">
        <f t="shared" si="31"/>
        <v/>
      </c>
    </row>
    <row r="1026" spans="3:5">
      <c r="C1026" s="186" t="s">
        <v>588</v>
      </c>
      <c r="D1026" s="186" t="s">
        <v>588</v>
      </c>
      <c r="E1026" s="186" t="str">
        <f t="shared" si="31"/>
        <v/>
      </c>
    </row>
    <row r="1027" spans="3:5">
      <c r="C1027" s="186" t="s">
        <v>588</v>
      </c>
      <c r="D1027" s="186" t="s">
        <v>588</v>
      </c>
      <c r="E1027" s="186" t="str">
        <f t="shared" si="31"/>
        <v/>
      </c>
    </row>
    <row r="1028" spans="3:5">
      <c r="C1028" s="186" t="s">
        <v>588</v>
      </c>
      <c r="D1028" s="186" t="s">
        <v>588</v>
      </c>
      <c r="E1028" s="186" t="str">
        <f t="shared" ref="E1028:E1091" si="32">IF(C1028&lt;D1028,C1028,D1028)</f>
        <v/>
      </c>
    </row>
    <row r="1029" spans="3:5">
      <c r="C1029" s="186" t="s">
        <v>588</v>
      </c>
      <c r="D1029" s="186" t="s">
        <v>588</v>
      </c>
      <c r="E1029" s="186" t="str">
        <f t="shared" si="32"/>
        <v/>
      </c>
    </row>
    <row r="1030" spans="3:5">
      <c r="C1030" s="186" t="s">
        <v>588</v>
      </c>
      <c r="D1030" s="186" t="s">
        <v>588</v>
      </c>
      <c r="E1030" s="186" t="str">
        <f t="shared" si="32"/>
        <v/>
      </c>
    </row>
    <row r="1031" spans="3:5">
      <c r="C1031" s="186" t="s">
        <v>588</v>
      </c>
      <c r="D1031" s="186" t="s">
        <v>588</v>
      </c>
      <c r="E1031" s="186" t="str">
        <f t="shared" si="32"/>
        <v/>
      </c>
    </row>
    <row r="1032" spans="3:5">
      <c r="C1032" s="186" t="s">
        <v>588</v>
      </c>
      <c r="D1032" s="186" t="s">
        <v>588</v>
      </c>
      <c r="E1032" s="186" t="str">
        <f t="shared" si="32"/>
        <v/>
      </c>
    </row>
    <row r="1033" spans="3:5">
      <c r="C1033" s="186" t="s">
        <v>588</v>
      </c>
      <c r="D1033" s="186" t="s">
        <v>588</v>
      </c>
      <c r="E1033" s="186" t="str">
        <f t="shared" si="32"/>
        <v/>
      </c>
    </row>
    <row r="1034" spans="3:5">
      <c r="C1034" s="186" t="s">
        <v>588</v>
      </c>
      <c r="D1034" s="186" t="s">
        <v>588</v>
      </c>
      <c r="E1034" s="186" t="str">
        <f t="shared" si="32"/>
        <v/>
      </c>
    </row>
    <row r="1035" spans="3:5">
      <c r="C1035" s="186" t="s">
        <v>588</v>
      </c>
      <c r="D1035" s="186" t="s">
        <v>588</v>
      </c>
      <c r="E1035" s="186" t="str">
        <f t="shared" si="32"/>
        <v/>
      </c>
    </row>
    <row r="1036" spans="3:5">
      <c r="C1036" s="186" t="s">
        <v>588</v>
      </c>
      <c r="D1036" s="186" t="s">
        <v>588</v>
      </c>
      <c r="E1036" s="186" t="str">
        <f t="shared" si="32"/>
        <v/>
      </c>
    </row>
    <row r="1037" spans="3:5">
      <c r="C1037" s="186" t="s">
        <v>588</v>
      </c>
      <c r="D1037" s="186" t="s">
        <v>588</v>
      </c>
      <c r="E1037" s="186" t="str">
        <f t="shared" si="32"/>
        <v/>
      </c>
    </row>
    <row r="1038" spans="3:5">
      <c r="C1038" s="186" t="s">
        <v>588</v>
      </c>
      <c r="D1038" s="186" t="s">
        <v>588</v>
      </c>
      <c r="E1038" s="186" t="str">
        <f t="shared" si="32"/>
        <v/>
      </c>
    </row>
    <row r="1039" spans="3:5">
      <c r="C1039" s="186" t="s">
        <v>588</v>
      </c>
      <c r="D1039" s="186" t="s">
        <v>588</v>
      </c>
      <c r="E1039" s="186" t="str">
        <f t="shared" si="32"/>
        <v/>
      </c>
    </row>
    <row r="1040" spans="3:5">
      <c r="C1040" s="186" t="s">
        <v>588</v>
      </c>
      <c r="D1040" s="186" t="s">
        <v>588</v>
      </c>
      <c r="E1040" s="186" t="str">
        <f t="shared" si="32"/>
        <v/>
      </c>
    </row>
    <row r="1041" spans="3:5">
      <c r="C1041" s="186" t="s">
        <v>588</v>
      </c>
      <c r="D1041" s="186" t="s">
        <v>588</v>
      </c>
      <c r="E1041" s="186" t="str">
        <f t="shared" si="32"/>
        <v/>
      </c>
    </row>
    <row r="1042" spans="3:5">
      <c r="C1042" s="186" t="s">
        <v>588</v>
      </c>
      <c r="D1042" s="186" t="s">
        <v>588</v>
      </c>
      <c r="E1042" s="186" t="str">
        <f t="shared" si="32"/>
        <v/>
      </c>
    </row>
    <row r="1043" spans="3:5">
      <c r="C1043" s="186" t="s">
        <v>588</v>
      </c>
      <c r="D1043" s="186" t="s">
        <v>588</v>
      </c>
      <c r="E1043" s="186" t="str">
        <f t="shared" si="32"/>
        <v/>
      </c>
    </row>
    <row r="1044" spans="3:5">
      <c r="C1044" s="186" t="s">
        <v>588</v>
      </c>
      <c r="D1044" s="186" t="s">
        <v>588</v>
      </c>
      <c r="E1044" s="186" t="str">
        <f t="shared" si="32"/>
        <v/>
      </c>
    </row>
    <row r="1045" spans="3:5">
      <c r="C1045" s="186" t="s">
        <v>588</v>
      </c>
      <c r="D1045" s="186" t="s">
        <v>588</v>
      </c>
      <c r="E1045" s="186" t="str">
        <f t="shared" si="32"/>
        <v/>
      </c>
    </row>
    <row r="1046" spans="3:5">
      <c r="C1046" s="186" t="s">
        <v>588</v>
      </c>
      <c r="D1046" s="186" t="s">
        <v>588</v>
      </c>
      <c r="E1046" s="186" t="str">
        <f t="shared" si="32"/>
        <v/>
      </c>
    </row>
    <row r="1047" spans="3:5">
      <c r="C1047" s="186" t="s">
        <v>588</v>
      </c>
      <c r="D1047" s="186" t="s">
        <v>588</v>
      </c>
      <c r="E1047" s="186" t="str">
        <f t="shared" si="32"/>
        <v/>
      </c>
    </row>
    <row r="1048" spans="3:5">
      <c r="C1048" s="186" t="s">
        <v>588</v>
      </c>
      <c r="D1048" s="186" t="s">
        <v>588</v>
      </c>
      <c r="E1048" s="186" t="str">
        <f t="shared" si="32"/>
        <v/>
      </c>
    </row>
    <row r="1049" spans="3:5">
      <c r="C1049" s="186" t="s">
        <v>588</v>
      </c>
      <c r="D1049" s="186" t="s">
        <v>588</v>
      </c>
      <c r="E1049" s="186" t="str">
        <f t="shared" si="32"/>
        <v/>
      </c>
    </row>
    <row r="1050" spans="3:5">
      <c r="C1050" s="186" t="s">
        <v>588</v>
      </c>
      <c r="D1050" s="186" t="s">
        <v>588</v>
      </c>
      <c r="E1050" s="186" t="str">
        <f t="shared" si="32"/>
        <v/>
      </c>
    </row>
    <row r="1051" spans="3:5">
      <c r="C1051" s="186" t="s">
        <v>588</v>
      </c>
      <c r="D1051" s="186" t="s">
        <v>588</v>
      </c>
      <c r="E1051" s="186" t="str">
        <f t="shared" si="32"/>
        <v/>
      </c>
    </row>
    <row r="1052" spans="3:5">
      <c r="C1052" s="186" t="s">
        <v>588</v>
      </c>
      <c r="D1052" s="186" t="s">
        <v>588</v>
      </c>
      <c r="E1052" s="186" t="str">
        <f t="shared" si="32"/>
        <v/>
      </c>
    </row>
    <row r="1053" spans="3:5">
      <c r="C1053" s="186" t="s">
        <v>588</v>
      </c>
      <c r="D1053" s="186" t="s">
        <v>588</v>
      </c>
      <c r="E1053" s="186" t="str">
        <f t="shared" si="32"/>
        <v/>
      </c>
    </row>
    <row r="1054" spans="3:5">
      <c r="C1054" s="186" t="s">
        <v>588</v>
      </c>
      <c r="D1054" s="186" t="s">
        <v>588</v>
      </c>
      <c r="E1054" s="186" t="str">
        <f t="shared" si="32"/>
        <v/>
      </c>
    </row>
    <row r="1055" spans="3:5">
      <c r="C1055" s="186" t="s">
        <v>588</v>
      </c>
      <c r="D1055" s="186" t="s">
        <v>588</v>
      </c>
      <c r="E1055" s="186" t="str">
        <f t="shared" si="32"/>
        <v/>
      </c>
    </row>
    <row r="1056" spans="3:5">
      <c r="C1056" s="186" t="s">
        <v>588</v>
      </c>
      <c r="D1056" s="186" t="s">
        <v>588</v>
      </c>
      <c r="E1056" s="186" t="str">
        <f t="shared" si="32"/>
        <v/>
      </c>
    </row>
    <row r="1057" spans="3:5">
      <c r="C1057" s="186" t="s">
        <v>588</v>
      </c>
      <c r="D1057" s="186" t="s">
        <v>588</v>
      </c>
      <c r="E1057" s="186" t="str">
        <f t="shared" si="32"/>
        <v/>
      </c>
    </row>
    <row r="1058" spans="3:5">
      <c r="C1058" s="186" t="s">
        <v>588</v>
      </c>
      <c r="D1058" s="186" t="s">
        <v>588</v>
      </c>
      <c r="E1058" s="186" t="str">
        <f t="shared" si="32"/>
        <v/>
      </c>
    </row>
    <row r="1059" spans="3:5">
      <c r="C1059" s="186" t="s">
        <v>588</v>
      </c>
      <c r="D1059" s="186" t="s">
        <v>588</v>
      </c>
      <c r="E1059" s="186" t="str">
        <f t="shared" si="32"/>
        <v/>
      </c>
    </row>
    <row r="1060" spans="3:5">
      <c r="C1060" s="186" t="s">
        <v>588</v>
      </c>
      <c r="D1060" s="186" t="s">
        <v>588</v>
      </c>
      <c r="E1060" s="186" t="str">
        <f t="shared" si="32"/>
        <v/>
      </c>
    </row>
    <row r="1061" spans="3:5">
      <c r="C1061" s="186" t="s">
        <v>588</v>
      </c>
      <c r="D1061" s="186" t="s">
        <v>588</v>
      </c>
      <c r="E1061" s="186" t="str">
        <f t="shared" si="32"/>
        <v/>
      </c>
    </row>
    <row r="1062" spans="3:5">
      <c r="C1062" s="186" t="s">
        <v>588</v>
      </c>
      <c r="D1062" s="186" t="s">
        <v>588</v>
      </c>
      <c r="E1062" s="186" t="str">
        <f t="shared" si="32"/>
        <v/>
      </c>
    </row>
    <row r="1063" spans="3:5">
      <c r="C1063" s="186" t="s">
        <v>588</v>
      </c>
      <c r="D1063" s="186" t="s">
        <v>588</v>
      </c>
      <c r="E1063" s="186" t="str">
        <f t="shared" si="32"/>
        <v/>
      </c>
    </row>
    <row r="1064" spans="3:5">
      <c r="C1064" s="186" t="s">
        <v>588</v>
      </c>
      <c r="D1064" s="186" t="s">
        <v>588</v>
      </c>
      <c r="E1064" s="186" t="str">
        <f t="shared" si="32"/>
        <v/>
      </c>
    </row>
    <row r="1065" spans="3:5">
      <c r="C1065" s="186" t="s">
        <v>588</v>
      </c>
      <c r="D1065" s="186" t="s">
        <v>588</v>
      </c>
      <c r="E1065" s="186" t="str">
        <f t="shared" si="32"/>
        <v/>
      </c>
    </row>
    <row r="1066" spans="3:5">
      <c r="C1066" s="186" t="s">
        <v>588</v>
      </c>
      <c r="D1066" s="186" t="s">
        <v>588</v>
      </c>
      <c r="E1066" s="186" t="str">
        <f t="shared" si="32"/>
        <v/>
      </c>
    </row>
    <row r="1067" spans="3:5">
      <c r="C1067" s="186" t="s">
        <v>588</v>
      </c>
      <c r="D1067" s="186" t="s">
        <v>588</v>
      </c>
      <c r="E1067" s="186" t="str">
        <f t="shared" si="32"/>
        <v/>
      </c>
    </row>
    <row r="1068" spans="3:5">
      <c r="C1068" s="186" t="s">
        <v>588</v>
      </c>
      <c r="D1068" s="186" t="s">
        <v>588</v>
      </c>
      <c r="E1068" s="186" t="str">
        <f t="shared" si="32"/>
        <v/>
      </c>
    </row>
    <row r="1069" spans="3:5">
      <c r="C1069" s="186" t="s">
        <v>588</v>
      </c>
      <c r="D1069" s="186" t="s">
        <v>588</v>
      </c>
      <c r="E1069" s="186" t="str">
        <f t="shared" si="32"/>
        <v/>
      </c>
    </row>
    <row r="1070" spans="3:5">
      <c r="C1070" s="186" t="s">
        <v>588</v>
      </c>
      <c r="D1070" s="186" t="s">
        <v>588</v>
      </c>
      <c r="E1070" s="186" t="str">
        <f t="shared" si="32"/>
        <v/>
      </c>
    </row>
    <row r="1071" spans="3:5">
      <c r="C1071" s="186" t="s">
        <v>588</v>
      </c>
      <c r="D1071" s="186" t="s">
        <v>588</v>
      </c>
      <c r="E1071" s="186" t="str">
        <f t="shared" si="32"/>
        <v/>
      </c>
    </row>
    <row r="1072" spans="3:5">
      <c r="C1072" s="186" t="s">
        <v>588</v>
      </c>
      <c r="D1072" s="186" t="s">
        <v>588</v>
      </c>
      <c r="E1072" s="186" t="str">
        <f t="shared" si="32"/>
        <v/>
      </c>
    </row>
    <row r="1073" spans="3:5">
      <c r="C1073" s="186" t="s">
        <v>588</v>
      </c>
      <c r="D1073" s="186" t="s">
        <v>588</v>
      </c>
      <c r="E1073" s="186" t="str">
        <f t="shared" si="32"/>
        <v/>
      </c>
    </row>
    <row r="1074" spans="3:5">
      <c r="C1074" s="186" t="s">
        <v>588</v>
      </c>
      <c r="D1074" s="186" t="s">
        <v>588</v>
      </c>
      <c r="E1074" s="186" t="str">
        <f t="shared" si="32"/>
        <v/>
      </c>
    </row>
    <row r="1075" spans="3:5">
      <c r="C1075" s="186" t="s">
        <v>588</v>
      </c>
      <c r="D1075" s="186" t="s">
        <v>588</v>
      </c>
      <c r="E1075" s="186" t="str">
        <f t="shared" si="32"/>
        <v/>
      </c>
    </row>
    <row r="1076" spans="3:5">
      <c r="C1076" s="186" t="s">
        <v>588</v>
      </c>
      <c r="D1076" s="186" t="s">
        <v>588</v>
      </c>
      <c r="E1076" s="186" t="str">
        <f t="shared" si="32"/>
        <v/>
      </c>
    </row>
    <row r="1077" spans="3:5">
      <c r="C1077" s="186" t="s">
        <v>588</v>
      </c>
      <c r="D1077" s="186" t="s">
        <v>588</v>
      </c>
      <c r="E1077" s="186" t="str">
        <f t="shared" si="32"/>
        <v/>
      </c>
    </row>
    <row r="1078" spans="3:5">
      <c r="C1078" s="186" t="s">
        <v>588</v>
      </c>
      <c r="D1078" s="186" t="s">
        <v>588</v>
      </c>
      <c r="E1078" s="186" t="str">
        <f t="shared" si="32"/>
        <v/>
      </c>
    </row>
    <row r="1079" spans="3:5">
      <c r="C1079" s="186" t="s">
        <v>588</v>
      </c>
      <c r="D1079" s="186" t="s">
        <v>588</v>
      </c>
      <c r="E1079" s="186" t="str">
        <f t="shared" si="32"/>
        <v/>
      </c>
    </row>
    <row r="1080" spans="3:5">
      <c r="C1080" s="186" t="s">
        <v>588</v>
      </c>
      <c r="D1080" s="186" t="s">
        <v>588</v>
      </c>
      <c r="E1080" s="186" t="str">
        <f t="shared" si="32"/>
        <v/>
      </c>
    </row>
    <row r="1081" spans="3:5">
      <c r="C1081" s="186" t="s">
        <v>588</v>
      </c>
      <c r="D1081" s="186" t="s">
        <v>588</v>
      </c>
      <c r="E1081" s="186" t="str">
        <f t="shared" si="32"/>
        <v/>
      </c>
    </row>
    <row r="1082" spans="3:5">
      <c r="C1082" s="186" t="s">
        <v>588</v>
      </c>
      <c r="D1082" s="186" t="s">
        <v>588</v>
      </c>
      <c r="E1082" s="186" t="str">
        <f t="shared" si="32"/>
        <v/>
      </c>
    </row>
    <row r="1083" spans="3:5">
      <c r="C1083" s="186" t="s">
        <v>588</v>
      </c>
      <c r="D1083" s="186" t="s">
        <v>588</v>
      </c>
      <c r="E1083" s="186" t="str">
        <f t="shared" si="32"/>
        <v/>
      </c>
    </row>
    <row r="1084" spans="3:5">
      <c r="C1084" s="186" t="s">
        <v>588</v>
      </c>
      <c r="D1084" s="186" t="s">
        <v>588</v>
      </c>
      <c r="E1084" s="186" t="str">
        <f t="shared" si="32"/>
        <v/>
      </c>
    </row>
    <row r="1085" spans="3:5">
      <c r="C1085" s="186" t="s">
        <v>588</v>
      </c>
      <c r="D1085" s="186" t="s">
        <v>588</v>
      </c>
      <c r="E1085" s="186" t="str">
        <f t="shared" si="32"/>
        <v/>
      </c>
    </row>
    <row r="1086" spans="3:5">
      <c r="C1086" s="186" t="s">
        <v>588</v>
      </c>
      <c r="D1086" s="186" t="s">
        <v>588</v>
      </c>
      <c r="E1086" s="186" t="str">
        <f t="shared" si="32"/>
        <v/>
      </c>
    </row>
    <row r="1087" spans="3:5">
      <c r="C1087" s="186" t="s">
        <v>588</v>
      </c>
      <c r="D1087" s="186" t="s">
        <v>588</v>
      </c>
      <c r="E1087" s="186" t="str">
        <f t="shared" si="32"/>
        <v/>
      </c>
    </row>
    <row r="1088" spans="3:5">
      <c r="C1088" s="186" t="s">
        <v>588</v>
      </c>
      <c r="D1088" s="186" t="s">
        <v>588</v>
      </c>
      <c r="E1088" s="186" t="str">
        <f t="shared" si="32"/>
        <v/>
      </c>
    </row>
    <row r="1089" spans="3:5">
      <c r="C1089" s="186" t="s">
        <v>588</v>
      </c>
      <c r="D1089" s="186" t="s">
        <v>588</v>
      </c>
      <c r="E1089" s="186" t="str">
        <f t="shared" si="32"/>
        <v/>
      </c>
    </row>
    <row r="1090" spans="3:5">
      <c r="C1090" s="186" t="s">
        <v>588</v>
      </c>
      <c r="D1090" s="186" t="s">
        <v>588</v>
      </c>
      <c r="E1090" s="186" t="str">
        <f t="shared" si="32"/>
        <v/>
      </c>
    </row>
    <row r="1091" spans="3:5">
      <c r="C1091" s="186" t="s">
        <v>588</v>
      </c>
      <c r="D1091" s="186" t="s">
        <v>588</v>
      </c>
      <c r="E1091" s="186" t="str">
        <f t="shared" si="32"/>
        <v/>
      </c>
    </row>
    <row r="1092" spans="3:5">
      <c r="C1092" s="186" t="s">
        <v>588</v>
      </c>
      <c r="D1092" s="186" t="s">
        <v>588</v>
      </c>
      <c r="E1092" s="186" t="str">
        <f t="shared" ref="E1092:E1155" si="33">IF(C1092&lt;D1092,C1092,D1092)</f>
        <v/>
      </c>
    </row>
    <row r="1093" spans="3:5">
      <c r="C1093" s="186" t="s">
        <v>588</v>
      </c>
      <c r="D1093" s="186" t="s">
        <v>588</v>
      </c>
      <c r="E1093" s="186" t="str">
        <f t="shared" si="33"/>
        <v/>
      </c>
    </row>
    <row r="1094" spans="3:5">
      <c r="C1094" s="186" t="s">
        <v>588</v>
      </c>
      <c r="D1094" s="186" t="s">
        <v>588</v>
      </c>
      <c r="E1094" s="186" t="str">
        <f t="shared" si="33"/>
        <v/>
      </c>
    </row>
    <row r="1095" spans="3:5">
      <c r="C1095" s="186" t="s">
        <v>588</v>
      </c>
      <c r="D1095" s="186" t="s">
        <v>588</v>
      </c>
      <c r="E1095" s="186" t="str">
        <f t="shared" si="33"/>
        <v/>
      </c>
    </row>
    <row r="1096" spans="3:5">
      <c r="C1096" s="186" t="s">
        <v>588</v>
      </c>
      <c r="D1096" s="186" t="s">
        <v>588</v>
      </c>
      <c r="E1096" s="186" t="str">
        <f t="shared" si="33"/>
        <v/>
      </c>
    </row>
    <row r="1097" spans="3:5">
      <c r="C1097" s="186" t="s">
        <v>588</v>
      </c>
      <c r="D1097" s="186" t="s">
        <v>588</v>
      </c>
      <c r="E1097" s="186" t="str">
        <f t="shared" si="33"/>
        <v/>
      </c>
    </row>
    <row r="1098" spans="3:5">
      <c r="C1098" s="186" t="s">
        <v>588</v>
      </c>
      <c r="D1098" s="186" t="s">
        <v>588</v>
      </c>
      <c r="E1098" s="186" t="str">
        <f t="shared" si="33"/>
        <v/>
      </c>
    </row>
    <row r="1099" spans="3:5">
      <c r="C1099" s="186" t="s">
        <v>588</v>
      </c>
      <c r="D1099" s="186" t="s">
        <v>588</v>
      </c>
      <c r="E1099" s="186" t="str">
        <f t="shared" si="33"/>
        <v/>
      </c>
    </row>
    <row r="1100" spans="3:5">
      <c r="C1100" s="186" t="s">
        <v>588</v>
      </c>
      <c r="D1100" s="186" t="s">
        <v>588</v>
      </c>
      <c r="E1100" s="186" t="str">
        <f t="shared" si="33"/>
        <v/>
      </c>
    </row>
    <row r="1101" spans="3:5">
      <c r="C1101" s="186" t="s">
        <v>588</v>
      </c>
      <c r="D1101" s="186" t="s">
        <v>588</v>
      </c>
      <c r="E1101" s="186" t="str">
        <f t="shared" si="33"/>
        <v/>
      </c>
    </row>
    <row r="1102" spans="3:5">
      <c r="C1102" s="186" t="s">
        <v>588</v>
      </c>
      <c r="D1102" s="186" t="s">
        <v>588</v>
      </c>
      <c r="E1102" s="186" t="str">
        <f t="shared" si="33"/>
        <v/>
      </c>
    </row>
    <row r="1103" spans="3:5">
      <c r="C1103" s="186" t="s">
        <v>588</v>
      </c>
      <c r="D1103" s="186" t="s">
        <v>588</v>
      </c>
      <c r="E1103" s="186" t="str">
        <f t="shared" si="33"/>
        <v/>
      </c>
    </row>
    <row r="1104" spans="3:5">
      <c r="C1104" s="186" t="s">
        <v>588</v>
      </c>
      <c r="D1104" s="186" t="s">
        <v>588</v>
      </c>
      <c r="E1104" s="186" t="str">
        <f t="shared" si="33"/>
        <v/>
      </c>
    </row>
    <row r="1105" spans="3:5">
      <c r="C1105" s="186" t="s">
        <v>588</v>
      </c>
      <c r="D1105" s="186" t="s">
        <v>588</v>
      </c>
      <c r="E1105" s="186" t="str">
        <f t="shared" si="33"/>
        <v/>
      </c>
    </row>
    <row r="1106" spans="3:5">
      <c r="C1106" s="186" t="s">
        <v>588</v>
      </c>
      <c r="D1106" s="186" t="s">
        <v>588</v>
      </c>
      <c r="E1106" s="186" t="str">
        <f t="shared" si="33"/>
        <v/>
      </c>
    </row>
    <row r="1107" spans="3:5">
      <c r="C1107" s="186" t="s">
        <v>588</v>
      </c>
      <c r="D1107" s="186" t="s">
        <v>588</v>
      </c>
      <c r="E1107" s="186" t="str">
        <f t="shared" si="33"/>
        <v/>
      </c>
    </row>
    <row r="1108" spans="3:5">
      <c r="C1108" s="186" t="s">
        <v>588</v>
      </c>
      <c r="D1108" s="186" t="s">
        <v>588</v>
      </c>
      <c r="E1108" s="186" t="str">
        <f t="shared" si="33"/>
        <v/>
      </c>
    </row>
    <row r="1109" spans="3:5">
      <c r="C1109" s="186" t="s">
        <v>588</v>
      </c>
      <c r="D1109" s="186" t="s">
        <v>588</v>
      </c>
      <c r="E1109" s="186" t="str">
        <f t="shared" si="33"/>
        <v/>
      </c>
    </row>
    <row r="1110" spans="3:5">
      <c r="C1110" s="186" t="s">
        <v>588</v>
      </c>
      <c r="D1110" s="186" t="s">
        <v>588</v>
      </c>
      <c r="E1110" s="186" t="str">
        <f t="shared" si="33"/>
        <v/>
      </c>
    </row>
    <row r="1111" spans="3:5">
      <c r="C1111" s="186" t="s">
        <v>588</v>
      </c>
      <c r="D1111" s="186" t="s">
        <v>588</v>
      </c>
      <c r="E1111" s="186" t="str">
        <f t="shared" si="33"/>
        <v/>
      </c>
    </row>
    <row r="1112" spans="3:5">
      <c r="C1112" s="186" t="s">
        <v>588</v>
      </c>
      <c r="D1112" s="186" t="s">
        <v>588</v>
      </c>
      <c r="E1112" s="186" t="str">
        <f t="shared" si="33"/>
        <v/>
      </c>
    </row>
    <row r="1113" spans="3:5">
      <c r="C1113" s="186" t="s">
        <v>588</v>
      </c>
      <c r="D1113" s="186" t="s">
        <v>588</v>
      </c>
      <c r="E1113" s="186" t="str">
        <f t="shared" si="33"/>
        <v/>
      </c>
    </row>
    <row r="1114" spans="3:5">
      <c r="C1114" s="186" t="s">
        <v>588</v>
      </c>
      <c r="D1114" s="186" t="s">
        <v>588</v>
      </c>
      <c r="E1114" s="186" t="str">
        <f t="shared" si="33"/>
        <v/>
      </c>
    </row>
    <row r="1115" spans="3:5">
      <c r="C1115" s="186" t="s">
        <v>588</v>
      </c>
      <c r="D1115" s="186" t="s">
        <v>588</v>
      </c>
      <c r="E1115" s="186" t="str">
        <f t="shared" si="33"/>
        <v/>
      </c>
    </row>
    <row r="1116" spans="3:5">
      <c r="C1116" s="186" t="s">
        <v>588</v>
      </c>
      <c r="D1116" s="186" t="s">
        <v>588</v>
      </c>
      <c r="E1116" s="186" t="str">
        <f t="shared" si="33"/>
        <v/>
      </c>
    </row>
    <row r="1117" spans="3:5">
      <c r="C1117" s="186" t="s">
        <v>588</v>
      </c>
      <c r="D1117" s="186" t="s">
        <v>588</v>
      </c>
      <c r="E1117" s="186" t="str">
        <f t="shared" si="33"/>
        <v/>
      </c>
    </row>
    <row r="1118" spans="3:5">
      <c r="C1118" s="186" t="s">
        <v>588</v>
      </c>
      <c r="D1118" s="186" t="s">
        <v>588</v>
      </c>
      <c r="E1118" s="186" t="str">
        <f t="shared" si="33"/>
        <v/>
      </c>
    </row>
    <row r="1119" spans="3:5">
      <c r="C1119" s="186" t="s">
        <v>588</v>
      </c>
      <c r="D1119" s="186" t="s">
        <v>588</v>
      </c>
      <c r="E1119" s="186" t="str">
        <f t="shared" si="33"/>
        <v/>
      </c>
    </row>
    <row r="1120" spans="3:5">
      <c r="C1120" s="186" t="s">
        <v>588</v>
      </c>
      <c r="D1120" s="186" t="s">
        <v>588</v>
      </c>
      <c r="E1120" s="186" t="str">
        <f t="shared" si="33"/>
        <v/>
      </c>
    </row>
    <row r="1121" spans="3:5">
      <c r="C1121" s="186" t="s">
        <v>588</v>
      </c>
      <c r="D1121" s="186" t="s">
        <v>588</v>
      </c>
      <c r="E1121" s="186" t="str">
        <f t="shared" si="33"/>
        <v/>
      </c>
    </row>
    <row r="1122" spans="3:5">
      <c r="C1122" s="186" t="s">
        <v>588</v>
      </c>
      <c r="D1122" s="186" t="s">
        <v>588</v>
      </c>
      <c r="E1122" s="186" t="str">
        <f t="shared" si="33"/>
        <v/>
      </c>
    </row>
    <row r="1123" spans="3:5">
      <c r="C1123" s="186" t="s">
        <v>588</v>
      </c>
      <c r="D1123" s="186" t="s">
        <v>588</v>
      </c>
      <c r="E1123" s="186" t="str">
        <f t="shared" si="33"/>
        <v/>
      </c>
    </row>
    <row r="1124" spans="3:5">
      <c r="C1124" s="186" t="s">
        <v>588</v>
      </c>
      <c r="D1124" s="186" t="s">
        <v>588</v>
      </c>
      <c r="E1124" s="186" t="str">
        <f t="shared" si="33"/>
        <v/>
      </c>
    </row>
    <row r="1125" spans="3:5">
      <c r="C1125" s="186" t="s">
        <v>588</v>
      </c>
      <c r="D1125" s="186" t="s">
        <v>588</v>
      </c>
      <c r="E1125" s="186" t="str">
        <f t="shared" si="33"/>
        <v/>
      </c>
    </row>
    <row r="1126" spans="3:5">
      <c r="C1126" s="186" t="s">
        <v>588</v>
      </c>
      <c r="D1126" s="186" t="s">
        <v>588</v>
      </c>
      <c r="E1126" s="186" t="str">
        <f t="shared" si="33"/>
        <v/>
      </c>
    </row>
    <row r="1127" spans="3:5">
      <c r="C1127" s="186" t="s">
        <v>588</v>
      </c>
      <c r="D1127" s="186" t="s">
        <v>588</v>
      </c>
      <c r="E1127" s="186" t="str">
        <f t="shared" si="33"/>
        <v/>
      </c>
    </row>
    <row r="1128" spans="3:5">
      <c r="C1128" s="186" t="s">
        <v>588</v>
      </c>
      <c r="D1128" s="186" t="s">
        <v>588</v>
      </c>
      <c r="E1128" s="186" t="str">
        <f t="shared" si="33"/>
        <v/>
      </c>
    </row>
    <row r="1129" spans="3:5">
      <c r="C1129" s="186" t="s">
        <v>588</v>
      </c>
      <c r="D1129" s="186" t="s">
        <v>588</v>
      </c>
      <c r="E1129" s="186" t="str">
        <f t="shared" si="33"/>
        <v/>
      </c>
    </row>
    <row r="1130" spans="3:5">
      <c r="C1130" s="186" t="s">
        <v>588</v>
      </c>
      <c r="D1130" s="186" t="s">
        <v>588</v>
      </c>
      <c r="E1130" s="186" t="str">
        <f t="shared" si="33"/>
        <v/>
      </c>
    </row>
    <row r="1131" spans="3:5">
      <c r="C1131" s="186" t="s">
        <v>588</v>
      </c>
      <c r="D1131" s="186" t="s">
        <v>588</v>
      </c>
      <c r="E1131" s="186" t="str">
        <f t="shared" si="33"/>
        <v/>
      </c>
    </row>
    <row r="1132" spans="3:5">
      <c r="C1132" s="186" t="s">
        <v>588</v>
      </c>
      <c r="D1132" s="186" t="s">
        <v>588</v>
      </c>
      <c r="E1132" s="186" t="str">
        <f t="shared" si="33"/>
        <v/>
      </c>
    </row>
    <row r="1133" spans="3:5">
      <c r="C1133" s="186" t="s">
        <v>588</v>
      </c>
      <c r="D1133" s="186" t="s">
        <v>588</v>
      </c>
      <c r="E1133" s="186" t="str">
        <f t="shared" si="33"/>
        <v/>
      </c>
    </row>
    <row r="1134" spans="3:5">
      <c r="C1134" s="186" t="s">
        <v>588</v>
      </c>
      <c r="D1134" s="186" t="s">
        <v>588</v>
      </c>
      <c r="E1134" s="186" t="str">
        <f t="shared" si="33"/>
        <v/>
      </c>
    </row>
    <row r="1135" spans="3:5">
      <c r="C1135" s="186" t="s">
        <v>588</v>
      </c>
      <c r="D1135" s="186" t="s">
        <v>588</v>
      </c>
      <c r="E1135" s="186" t="str">
        <f t="shared" si="33"/>
        <v/>
      </c>
    </row>
    <row r="1136" spans="3:5">
      <c r="C1136" s="186" t="s">
        <v>588</v>
      </c>
      <c r="D1136" s="186" t="s">
        <v>588</v>
      </c>
      <c r="E1136" s="186" t="str">
        <f t="shared" si="33"/>
        <v/>
      </c>
    </row>
    <row r="1137" spans="3:5">
      <c r="C1137" s="186" t="s">
        <v>588</v>
      </c>
      <c r="D1137" s="186" t="s">
        <v>588</v>
      </c>
      <c r="E1137" s="186" t="str">
        <f t="shared" si="33"/>
        <v/>
      </c>
    </row>
    <row r="1138" spans="3:5">
      <c r="C1138" s="186" t="s">
        <v>588</v>
      </c>
      <c r="D1138" s="186" t="s">
        <v>588</v>
      </c>
      <c r="E1138" s="186" t="str">
        <f t="shared" si="33"/>
        <v/>
      </c>
    </row>
    <row r="1139" spans="3:5">
      <c r="C1139" s="186" t="s">
        <v>588</v>
      </c>
      <c r="D1139" s="186" t="s">
        <v>588</v>
      </c>
      <c r="E1139" s="186" t="str">
        <f t="shared" si="33"/>
        <v/>
      </c>
    </row>
    <row r="1140" spans="3:5">
      <c r="C1140" s="186" t="s">
        <v>588</v>
      </c>
      <c r="D1140" s="186" t="s">
        <v>588</v>
      </c>
      <c r="E1140" s="186" t="str">
        <f t="shared" si="33"/>
        <v/>
      </c>
    </row>
    <row r="1141" spans="3:5">
      <c r="C1141" s="186" t="s">
        <v>588</v>
      </c>
      <c r="D1141" s="186" t="s">
        <v>588</v>
      </c>
      <c r="E1141" s="186" t="str">
        <f t="shared" si="33"/>
        <v/>
      </c>
    </row>
    <row r="1142" spans="3:5">
      <c r="C1142" s="186" t="s">
        <v>588</v>
      </c>
      <c r="D1142" s="186" t="s">
        <v>588</v>
      </c>
      <c r="E1142" s="186" t="str">
        <f t="shared" si="33"/>
        <v/>
      </c>
    </row>
    <row r="1143" spans="3:5">
      <c r="C1143" s="186" t="s">
        <v>588</v>
      </c>
      <c r="D1143" s="186" t="s">
        <v>588</v>
      </c>
      <c r="E1143" s="186" t="str">
        <f t="shared" si="33"/>
        <v/>
      </c>
    </row>
    <row r="1144" spans="3:5">
      <c r="C1144" s="186" t="s">
        <v>588</v>
      </c>
      <c r="D1144" s="186" t="s">
        <v>588</v>
      </c>
      <c r="E1144" s="186" t="str">
        <f t="shared" si="33"/>
        <v/>
      </c>
    </row>
    <row r="1145" spans="3:5">
      <c r="C1145" s="186" t="s">
        <v>588</v>
      </c>
      <c r="D1145" s="186" t="s">
        <v>588</v>
      </c>
      <c r="E1145" s="186" t="str">
        <f t="shared" si="33"/>
        <v/>
      </c>
    </row>
    <row r="1146" spans="3:5">
      <c r="C1146" s="186" t="s">
        <v>588</v>
      </c>
      <c r="D1146" s="186" t="s">
        <v>588</v>
      </c>
      <c r="E1146" s="186" t="str">
        <f t="shared" si="33"/>
        <v/>
      </c>
    </row>
    <row r="1147" spans="3:5">
      <c r="C1147" s="186" t="s">
        <v>588</v>
      </c>
      <c r="D1147" s="186" t="s">
        <v>588</v>
      </c>
      <c r="E1147" s="186" t="str">
        <f t="shared" si="33"/>
        <v/>
      </c>
    </row>
    <row r="1148" spans="3:5">
      <c r="C1148" s="186" t="s">
        <v>588</v>
      </c>
      <c r="D1148" s="186" t="s">
        <v>588</v>
      </c>
      <c r="E1148" s="186" t="str">
        <f t="shared" si="33"/>
        <v/>
      </c>
    </row>
    <row r="1149" spans="3:5">
      <c r="C1149" s="186" t="s">
        <v>588</v>
      </c>
      <c r="D1149" s="186" t="s">
        <v>588</v>
      </c>
      <c r="E1149" s="186" t="str">
        <f t="shared" si="33"/>
        <v/>
      </c>
    </row>
    <row r="1150" spans="3:5">
      <c r="C1150" s="186" t="s">
        <v>588</v>
      </c>
      <c r="D1150" s="186" t="s">
        <v>588</v>
      </c>
      <c r="E1150" s="186" t="str">
        <f t="shared" si="33"/>
        <v/>
      </c>
    </row>
    <row r="1151" spans="3:5">
      <c r="C1151" s="186" t="s">
        <v>588</v>
      </c>
      <c r="D1151" s="186" t="s">
        <v>588</v>
      </c>
      <c r="E1151" s="186" t="str">
        <f t="shared" si="33"/>
        <v/>
      </c>
    </row>
    <row r="1152" spans="3:5">
      <c r="C1152" s="186" t="s">
        <v>588</v>
      </c>
      <c r="D1152" s="186" t="s">
        <v>588</v>
      </c>
      <c r="E1152" s="186" t="str">
        <f t="shared" si="33"/>
        <v/>
      </c>
    </row>
    <row r="1153" spans="3:5">
      <c r="C1153" s="186" t="s">
        <v>588</v>
      </c>
      <c r="D1153" s="186" t="s">
        <v>588</v>
      </c>
      <c r="E1153" s="186" t="str">
        <f t="shared" si="33"/>
        <v/>
      </c>
    </row>
    <row r="1154" spans="3:5">
      <c r="C1154" s="186" t="s">
        <v>588</v>
      </c>
      <c r="D1154" s="186" t="s">
        <v>588</v>
      </c>
      <c r="E1154" s="186" t="str">
        <f t="shared" si="33"/>
        <v/>
      </c>
    </row>
    <row r="1155" spans="3:5">
      <c r="C1155" s="186" t="s">
        <v>588</v>
      </c>
      <c r="D1155" s="186" t="s">
        <v>588</v>
      </c>
      <c r="E1155" s="186" t="str">
        <f t="shared" si="33"/>
        <v/>
      </c>
    </row>
    <row r="1156" spans="3:5">
      <c r="C1156" s="186" t="s">
        <v>588</v>
      </c>
      <c r="D1156" s="186" t="s">
        <v>588</v>
      </c>
      <c r="E1156" s="186" t="str">
        <f t="shared" ref="E1156:E1209" si="34">IF(C1156&lt;D1156,C1156,D1156)</f>
        <v/>
      </c>
    </row>
    <row r="1157" spans="3:5">
      <c r="C1157" s="186" t="s">
        <v>588</v>
      </c>
      <c r="D1157" s="186" t="s">
        <v>588</v>
      </c>
      <c r="E1157" s="186" t="str">
        <f t="shared" si="34"/>
        <v/>
      </c>
    </row>
    <row r="1158" spans="3:5">
      <c r="C1158" s="186" t="s">
        <v>588</v>
      </c>
      <c r="D1158" s="186" t="s">
        <v>588</v>
      </c>
      <c r="E1158" s="186" t="str">
        <f t="shared" si="34"/>
        <v/>
      </c>
    </row>
    <row r="1159" spans="3:5">
      <c r="C1159" s="186" t="s">
        <v>588</v>
      </c>
      <c r="D1159" s="186" t="s">
        <v>588</v>
      </c>
      <c r="E1159" s="186" t="str">
        <f t="shared" si="34"/>
        <v/>
      </c>
    </row>
    <row r="1160" spans="3:5">
      <c r="C1160" s="186" t="s">
        <v>588</v>
      </c>
      <c r="D1160" s="186" t="s">
        <v>588</v>
      </c>
      <c r="E1160" s="186" t="str">
        <f t="shared" si="34"/>
        <v/>
      </c>
    </row>
    <row r="1161" spans="3:5">
      <c r="C1161" s="186" t="s">
        <v>588</v>
      </c>
      <c r="D1161" s="186" t="s">
        <v>588</v>
      </c>
      <c r="E1161" s="186" t="str">
        <f t="shared" si="34"/>
        <v/>
      </c>
    </row>
    <row r="1162" spans="3:5">
      <c r="C1162" s="186" t="s">
        <v>588</v>
      </c>
      <c r="D1162" s="186" t="s">
        <v>588</v>
      </c>
      <c r="E1162" s="186" t="str">
        <f t="shared" si="34"/>
        <v/>
      </c>
    </row>
    <row r="1163" spans="3:5">
      <c r="C1163" s="186" t="s">
        <v>588</v>
      </c>
      <c r="D1163" s="186" t="s">
        <v>588</v>
      </c>
      <c r="E1163" s="186" t="str">
        <f t="shared" si="34"/>
        <v/>
      </c>
    </row>
    <row r="1164" spans="3:5">
      <c r="C1164" s="186" t="s">
        <v>588</v>
      </c>
      <c r="D1164" s="186" t="s">
        <v>588</v>
      </c>
      <c r="E1164" s="186" t="str">
        <f t="shared" si="34"/>
        <v/>
      </c>
    </row>
    <row r="1165" spans="3:5">
      <c r="C1165" s="186" t="s">
        <v>588</v>
      </c>
      <c r="D1165" s="186" t="s">
        <v>588</v>
      </c>
      <c r="E1165" s="186" t="str">
        <f t="shared" si="34"/>
        <v/>
      </c>
    </row>
    <row r="1166" spans="3:5">
      <c r="C1166" s="186" t="s">
        <v>588</v>
      </c>
      <c r="D1166" s="186" t="s">
        <v>588</v>
      </c>
      <c r="E1166" s="186" t="str">
        <f t="shared" si="34"/>
        <v/>
      </c>
    </row>
    <row r="1167" spans="3:5">
      <c r="C1167" s="186" t="s">
        <v>588</v>
      </c>
      <c r="D1167" s="186" t="s">
        <v>588</v>
      </c>
      <c r="E1167" s="186" t="str">
        <f t="shared" si="34"/>
        <v/>
      </c>
    </row>
    <row r="1168" spans="3:5">
      <c r="C1168" s="186" t="s">
        <v>588</v>
      </c>
      <c r="D1168" s="186" t="s">
        <v>588</v>
      </c>
      <c r="E1168" s="186" t="str">
        <f t="shared" si="34"/>
        <v/>
      </c>
    </row>
    <row r="1169" spans="3:5">
      <c r="C1169" s="186" t="s">
        <v>588</v>
      </c>
      <c r="D1169" s="186" t="s">
        <v>588</v>
      </c>
      <c r="E1169" s="186" t="str">
        <f t="shared" si="34"/>
        <v/>
      </c>
    </row>
    <row r="1170" spans="3:5">
      <c r="C1170" s="186" t="s">
        <v>588</v>
      </c>
      <c r="D1170" s="186" t="s">
        <v>588</v>
      </c>
      <c r="E1170" s="186" t="str">
        <f t="shared" si="34"/>
        <v/>
      </c>
    </row>
    <row r="1171" spans="3:5">
      <c r="C1171" s="186" t="s">
        <v>588</v>
      </c>
      <c r="D1171" s="186" t="s">
        <v>588</v>
      </c>
      <c r="E1171" s="186" t="str">
        <f t="shared" si="34"/>
        <v/>
      </c>
    </row>
    <row r="1172" spans="3:5">
      <c r="C1172" s="186" t="s">
        <v>588</v>
      </c>
      <c r="D1172" s="186" t="s">
        <v>588</v>
      </c>
      <c r="E1172" s="186" t="str">
        <f t="shared" si="34"/>
        <v/>
      </c>
    </row>
    <row r="1173" spans="3:5">
      <c r="C1173" s="186" t="s">
        <v>588</v>
      </c>
      <c r="D1173" s="186" t="s">
        <v>588</v>
      </c>
      <c r="E1173" s="186" t="str">
        <f t="shared" si="34"/>
        <v/>
      </c>
    </row>
    <row r="1174" spans="3:5">
      <c r="C1174" s="186" t="s">
        <v>588</v>
      </c>
      <c r="D1174" s="186" t="s">
        <v>588</v>
      </c>
      <c r="E1174" s="186" t="str">
        <f t="shared" si="34"/>
        <v/>
      </c>
    </row>
    <row r="1175" spans="3:5">
      <c r="C1175" s="186" t="s">
        <v>588</v>
      </c>
      <c r="D1175" s="186" t="s">
        <v>588</v>
      </c>
      <c r="E1175" s="186" t="str">
        <f t="shared" si="34"/>
        <v/>
      </c>
    </row>
    <row r="1176" spans="3:5">
      <c r="C1176" s="186" t="s">
        <v>588</v>
      </c>
      <c r="D1176" s="186" t="s">
        <v>588</v>
      </c>
      <c r="E1176" s="186" t="str">
        <f t="shared" si="34"/>
        <v/>
      </c>
    </row>
    <row r="1177" spans="3:5">
      <c r="C1177" s="186" t="s">
        <v>588</v>
      </c>
      <c r="D1177" s="186" t="s">
        <v>588</v>
      </c>
      <c r="E1177" s="186" t="str">
        <f t="shared" si="34"/>
        <v/>
      </c>
    </row>
    <row r="1178" spans="3:5">
      <c r="C1178" s="186" t="s">
        <v>588</v>
      </c>
      <c r="D1178" s="186" t="s">
        <v>588</v>
      </c>
      <c r="E1178" s="186" t="str">
        <f t="shared" si="34"/>
        <v/>
      </c>
    </row>
    <row r="1179" spans="3:5">
      <c r="C1179" s="186" t="s">
        <v>588</v>
      </c>
      <c r="D1179" s="186" t="s">
        <v>588</v>
      </c>
      <c r="E1179" s="186" t="str">
        <f t="shared" si="34"/>
        <v/>
      </c>
    </row>
    <row r="1180" spans="3:5">
      <c r="C1180" s="186" t="s">
        <v>588</v>
      </c>
      <c r="D1180" s="186" t="s">
        <v>588</v>
      </c>
      <c r="E1180" s="186" t="str">
        <f t="shared" si="34"/>
        <v/>
      </c>
    </row>
    <row r="1181" spans="3:5">
      <c r="C1181" s="186" t="s">
        <v>588</v>
      </c>
      <c r="D1181" s="186" t="s">
        <v>588</v>
      </c>
      <c r="E1181" s="186" t="str">
        <f t="shared" si="34"/>
        <v/>
      </c>
    </row>
    <row r="1182" spans="3:5">
      <c r="C1182" s="186" t="s">
        <v>588</v>
      </c>
      <c r="D1182" s="186" t="s">
        <v>588</v>
      </c>
      <c r="E1182" s="186" t="str">
        <f t="shared" si="34"/>
        <v/>
      </c>
    </row>
    <row r="1183" spans="3:5">
      <c r="C1183" s="186" t="s">
        <v>588</v>
      </c>
      <c r="D1183" s="186" t="s">
        <v>588</v>
      </c>
      <c r="E1183" s="186" t="str">
        <f t="shared" si="34"/>
        <v/>
      </c>
    </row>
    <row r="1184" spans="3:5">
      <c r="C1184" s="186" t="s">
        <v>588</v>
      </c>
      <c r="D1184" s="186" t="s">
        <v>588</v>
      </c>
      <c r="E1184" s="186" t="str">
        <f t="shared" si="34"/>
        <v/>
      </c>
    </row>
    <row r="1185" spans="3:5">
      <c r="C1185" s="186" t="s">
        <v>588</v>
      </c>
      <c r="D1185" s="186" t="s">
        <v>588</v>
      </c>
      <c r="E1185" s="186" t="str">
        <f t="shared" si="34"/>
        <v/>
      </c>
    </row>
    <row r="1186" spans="3:5">
      <c r="C1186" s="186" t="s">
        <v>588</v>
      </c>
      <c r="D1186" s="186" t="s">
        <v>588</v>
      </c>
      <c r="E1186" s="186" t="str">
        <f t="shared" si="34"/>
        <v/>
      </c>
    </row>
    <row r="1187" spans="3:5">
      <c r="C1187" s="186" t="s">
        <v>588</v>
      </c>
      <c r="D1187" s="186" t="s">
        <v>588</v>
      </c>
      <c r="E1187" s="186" t="str">
        <f t="shared" si="34"/>
        <v/>
      </c>
    </row>
    <row r="1188" spans="3:5">
      <c r="C1188" s="186" t="s">
        <v>588</v>
      </c>
      <c r="D1188" s="186" t="s">
        <v>588</v>
      </c>
      <c r="E1188" s="186" t="str">
        <f t="shared" si="34"/>
        <v/>
      </c>
    </row>
    <row r="1189" spans="3:5">
      <c r="C1189" s="186" t="s">
        <v>588</v>
      </c>
      <c r="D1189" s="186" t="s">
        <v>588</v>
      </c>
      <c r="E1189" s="186" t="str">
        <f t="shared" si="34"/>
        <v/>
      </c>
    </row>
    <row r="1190" spans="3:5">
      <c r="C1190" s="186" t="s">
        <v>588</v>
      </c>
      <c r="D1190" s="186" t="s">
        <v>588</v>
      </c>
      <c r="E1190" s="186" t="str">
        <f t="shared" si="34"/>
        <v/>
      </c>
    </row>
    <row r="1191" spans="3:5">
      <c r="C1191" s="186" t="s">
        <v>588</v>
      </c>
      <c r="D1191" s="186" t="s">
        <v>588</v>
      </c>
      <c r="E1191" s="186" t="str">
        <f t="shared" si="34"/>
        <v/>
      </c>
    </row>
    <row r="1192" spans="3:5">
      <c r="C1192" s="186" t="s">
        <v>588</v>
      </c>
      <c r="D1192" s="186" t="s">
        <v>588</v>
      </c>
      <c r="E1192" s="186" t="str">
        <f t="shared" si="34"/>
        <v/>
      </c>
    </row>
    <row r="1193" spans="3:5">
      <c r="C1193" s="186" t="s">
        <v>588</v>
      </c>
      <c r="D1193" s="186" t="s">
        <v>588</v>
      </c>
      <c r="E1193" s="186" t="str">
        <f t="shared" si="34"/>
        <v/>
      </c>
    </row>
    <row r="1194" spans="3:5">
      <c r="C1194" s="186" t="s">
        <v>588</v>
      </c>
      <c r="D1194" s="186" t="s">
        <v>588</v>
      </c>
      <c r="E1194" s="186" t="str">
        <f t="shared" si="34"/>
        <v/>
      </c>
    </row>
    <row r="1195" spans="3:5">
      <c r="C1195" s="186" t="s">
        <v>588</v>
      </c>
      <c r="D1195" s="186" t="s">
        <v>588</v>
      </c>
      <c r="E1195" s="186" t="str">
        <f t="shared" si="34"/>
        <v/>
      </c>
    </row>
    <row r="1196" spans="3:5">
      <c r="C1196" s="186" t="s">
        <v>588</v>
      </c>
      <c r="D1196" s="186" t="s">
        <v>588</v>
      </c>
      <c r="E1196" s="186" t="str">
        <f t="shared" si="34"/>
        <v/>
      </c>
    </row>
    <row r="1197" spans="3:5">
      <c r="C1197" s="186" t="s">
        <v>588</v>
      </c>
      <c r="D1197" s="186" t="s">
        <v>588</v>
      </c>
      <c r="E1197" s="186" t="str">
        <f t="shared" si="34"/>
        <v/>
      </c>
    </row>
    <row r="1198" spans="3:5">
      <c r="C1198" s="186" t="s">
        <v>588</v>
      </c>
      <c r="D1198" s="186" t="s">
        <v>588</v>
      </c>
      <c r="E1198" s="186" t="str">
        <f t="shared" si="34"/>
        <v/>
      </c>
    </row>
    <row r="1199" spans="3:5">
      <c r="C1199" s="186" t="s">
        <v>588</v>
      </c>
      <c r="D1199" s="186" t="s">
        <v>588</v>
      </c>
      <c r="E1199" s="186" t="str">
        <f t="shared" si="34"/>
        <v/>
      </c>
    </row>
    <row r="1200" spans="3:5">
      <c r="C1200" s="186" t="s">
        <v>588</v>
      </c>
      <c r="D1200" s="186" t="s">
        <v>588</v>
      </c>
      <c r="E1200" s="186" t="str">
        <f t="shared" si="34"/>
        <v/>
      </c>
    </row>
    <row r="1201" spans="3:5">
      <c r="C1201" s="186" t="s">
        <v>588</v>
      </c>
      <c r="D1201" s="186" t="s">
        <v>588</v>
      </c>
      <c r="E1201" s="186" t="str">
        <f t="shared" si="34"/>
        <v/>
      </c>
    </row>
    <row r="1202" spans="3:5">
      <c r="C1202" s="186" t="s">
        <v>588</v>
      </c>
      <c r="D1202" s="186" t="s">
        <v>588</v>
      </c>
      <c r="E1202" s="186" t="str">
        <f t="shared" si="34"/>
        <v/>
      </c>
    </row>
    <row r="1203" spans="3:5">
      <c r="C1203" s="186" t="s">
        <v>588</v>
      </c>
      <c r="D1203" s="186" t="s">
        <v>588</v>
      </c>
      <c r="E1203" s="186" t="str">
        <f t="shared" si="34"/>
        <v/>
      </c>
    </row>
    <row r="1204" spans="3:5">
      <c r="C1204" s="186" t="s">
        <v>588</v>
      </c>
      <c r="D1204" s="186" t="s">
        <v>588</v>
      </c>
      <c r="E1204" s="186" t="str">
        <f t="shared" si="34"/>
        <v/>
      </c>
    </row>
    <row r="1205" spans="3:5">
      <c r="C1205" s="186" t="s">
        <v>588</v>
      </c>
      <c r="D1205" s="186" t="s">
        <v>588</v>
      </c>
      <c r="E1205" s="186" t="str">
        <f t="shared" si="34"/>
        <v/>
      </c>
    </row>
    <row r="1206" spans="3:5">
      <c r="C1206" s="186" t="s">
        <v>588</v>
      </c>
      <c r="D1206" s="186" t="s">
        <v>588</v>
      </c>
      <c r="E1206" s="186" t="str">
        <f t="shared" si="34"/>
        <v/>
      </c>
    </row>
    <row r="1207" spans="3:5">
      <c r="C1207" s="186" t="s">
        <v>588</v>
      </c>
      <c r="D1207" s="186" t="s">
        <v>588</v>
      </c>
      <c r="E1207" s="186" t="str">
        <f t="shared" si="34"/>
        <v/>
      </c>
    </row>
    <row r="1208" spans="3:5">
      <c r="C1208" s="186" t="s">
        <v>588</v>
      </c>
      <c r="D1208" s="186" t="s">
        <v>588</v>
      </c>
      <c r="E1208" s="186" t="str">
        <f t="shared" si="34"/>
        <v/>
      </c>
    </row>
    <row r="1209" spans="3:5">
      <c r="C1209" s="186" t="s">
        <v>588</v>
      </c>
      <c r="D1209" s="186" t="s">
        <v>588</v>
      </c>
      <c r="E1209" s="186" t="str">
        <f t="shared" si="34"/>
        <v/>
      </c>
    </row>
  </sheetData>
  <sortState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B2:K449"/>
  <sheetViews>
    <sheetView showGridLines="0" showRowColHeaders="0" topLeftCell="A344" workbookViewId="0">
      <selection activeCell="C17" sqref="C17"/>
    </sheetView>
  </sheetViews>
  <sheetFormatPr baseColWidth="10" defaultRowHeight="11.25"/>
  <cols>
    <col min="1" max="2" width="11.42578125" style="173"/>
    <col min="3" max="3" width="13.42578125" style="173" bestFit="1" customWidth="1"/>
    <col min="4" max="9" width="11.42578125" style="173"/>
    <col min="10" max="10" width="11.42578125" style="249"/>
    <col min="11" max="16384" width="11.42578125" style="173"/>
  </cols>
  <sheetData>
    <row r="2" spans="2:11">
      <c r="B2" s="153" t="s">
        <v>26</v>
      </c>
    </row>
    <row r="3" spans="2:11" ht="22.5">
      <c r="B3" s="250" t="s">
        <v>30</v>
      </c>
      <c r="C3" s="251" t="s">
        <v>31</v>
      </c>
      <c r="D3" s="273" t="s">
        <v>145</v>
      </c>
      <c r="E3" s="252" t="s">
        <v>32</v>
      </c>
      <c r="F3" s="252" t="s">
        <v>33</v>
      </c>
      <c r="G3" s="251" t="s">
        <v>34</v>
      </c>
      <c r="H3" s="253"/>
      <c r="I3" s="254"/>
      <c r="J3" s="255"/>
    </row>
    <row r="4" spans="2:11">
      <c r="B4" s="256" t="s">
        <v>171</v>
      </c>
      <c r="C4" s="257" t="s">
        <v>172</v>
      </c>
      <c r="D4" s="258"/>
      <c r="E4" s="259">
        <f>Dat_02!C3</f>
        <v>133.53712503799977</v>
      </c>
      <c r="F4" s="259">
        <f>Dat_02!D3</f>
        <v>64.364342968573325</v>
      </c>
      <c r="G4" s="259">
        <f>Dat_02!E3</f>
        <v>64.364342968573325</v>
      </c>
      <c r="I4" s="260">
        <f>Dat_02!G3</f>
        <v>0</v>
      </c>
      <c r="J4" s="272" t="str">
        <f>IF(Dat_02!H3=0,"",Dat_02!H3)</f>
        <v/>
      </c>
      <c r="K4" s="173" t="str">
        <f>IF(J4=0,"",J4)</f>
        <v/>
      </c>
    </row>
    <row r="5" spans="2:11">
      <c r="B5" s="258"/>
      <c r="C5" s="257" t="s">
        <v>173</v>
      </c>
      <c r="D5" s="258"/>
      <c r="E5" s="259">
        <f>Dat_02!C4</f>
        <v>110.29734557600038</v>
      </c>
      <c r="F5" s="259">
        <f>Dat_02!D4</f>
        <v>64.364342968573325</v>
      </c>
      <c r="G5" s="259">
        <f>Dat_02!E4</f>
        <v>64.364342968573325</v>
      </c>
      <c r="I5" s="260">
        <f>Dat_02!G4</f>
        <v>0</v>
      </c>
      <c r="J5" s="272" t="str">
        <f>IF(Dat_02!H4=0,"",Dat_02!H4)</f>
        <v/>
      </c>
    </row>
    <row r="6" spans="2:11">
      <c r="B6" s="256"/>
      <c r="C6" s="257" t="s">
        <v>174</v>
      </c>
      <c r="D6" s="256"/>
      <c r="E6" s="259">
        <f>Dat_02!C5</f>
        <v>133.33009142200038</v>
      </c>
      <c r="F6" s="259">
        <f>Dat_02!D5</f>
        <v>64.364342968573325</v>
      </c>
      <c r="G6" s="259">
        <f>Dat_02!E5</f>
        <v>64.364342968573325</v>
      </c>
      <c r="I6" s="260">
        <f>Dat_02!G5</f>
        <v>0</v>
      </c>
      <c r="J6" s="272" t="str">
        <f>IF(Dat_02!H5=0,"",Dat_02!H5)</f>
        <v/>
      </c>
    </row>
    <row r="7" spans="2:11">
      <c r="B7" s="256"/>
      <c r="C7" s="257" t="s">
        <v>175</v>
      </c>
      <c r="D7" s="256"/>
      <c r="E7" s="259">
        <f>Dat_02!C6</f>
        <v>125.34429112600037</v>
      </c>
      <c r="F7" s="259">
        <f>Dat_02!D6</f>
        <v>64.364342968573325</v>
      </c>
      <c r="G7" s="259">
        <f>Dat_02!E6</f>
        <v>64.364342968573325</v>
      </c>
      <c r="I7" s="260">
        <f>Dat_02!G6</f>
        <v>0</v>
      </c>
      <c r="J7" s="272" t="str">
        <f>IF(Dat_02!H6=0,"",Dat_02!H6)</f>
        <v/>
      </c>
    </row>
    <row r="8" spans="2:11">
      <c r="B8" s="256"/>
      <c r="C8" s="257" t="s">
        <v>176</v>
      </c>
      <c r="D8" s="256"/>
      <c r="E8" s="259">
        <f>Dat_02!C7</f>
        <v>108.44983464799874</v>
      </c>
      <c r="F8" s="259">
        <f>Dat_02!D7</f>
        <v>64.364342968573325</v>
      </c>
      <c r="G8" s="259">
        <f>Dat_02!E7</f>
        <v>64.364342968573325</v>
      </c>
      <c r="I8" s="260">
        <f>Dat_02!G7</f>
        <v>0</v>
      </c>
      <c r="J8" s="272" t="str">
        <f>IF(Dat_02!H7=0,"",Dat_02!H7)</f>
        <v/>
      </c>
    </row>
    <row r="9" spans="2:11">
      <c r="B9" s="256"/>
      <c r="C9" s="257" t="s">
        <v>177</v>
      </c>
      <c r="D9" s="256"/>
      <c r="E9" s="259">
        <f>Dat_02!C8</f>
        <v>152.26290827200128</v>
      </c>
      <c r="F9" s="259">
        <f>Dat_02!D8</f>
        <v>64.364342968573325</v>
      </c>
      <c r="G9" s="259">
        <f>Dat_02!E8</f>
        <v>64.364342968573325</v>
      </c>
      <c r="I9" s="260">
        <f>Dat_02!G8</f>
        <v>0</v>
      </c>
      <c r="J9" s="272" t="str">
        <f>IF(Dat_02!H8=0,"",Dat_02!H8)</f>
        <v/>
      </c>
    </row>
    <row r="10" spans="2:11">
      <c r="B10" s="256"/>
      <c r="C10" s="257" t="s">
        <v>178</v>
      </c>
      <c r="D10" s="256"/>
      <c r="E10" s="259">
        <f>Dat_02!C9</f>
        <v>122.53201015199907</v>
      </c>
      <c r="F10" s="259">
        <f>Dat_02!D9</f>
        <v>64.364342968573325</v>
      </c>
      <c r="G10" s="259">
        <f>Dat_02!E9</f>
        <v>64.364342968573325</v>
      </c>
      <c r="I10" s="260">
        <f>Dat_02!G9</f>
        <v>0</v>
      </c>
      <c r="J10" s="272" t="str">
        <f>IF(Dat_02!H9=0,"",Dat_02!H9)</f>
        <v/>
      </c>
    </row>
    <row r="11" spans="2:11">
      <c r="B11" s="256"/>
      <c r="C11" s="257" t="s">
        <v>179</v>
      </c>
      <c r="D11" s="256"/>
      <c r="E11" s="259">
        <f>Dat_02!C10</f>
        <v>155.96860897000076</v>
      </c>
      <c r="F11" s="259">
        <f>Dat_02!D10</f>
        <v>64.364342968573325</v>
      </c>
      <c r="G11" s="259">
        <f>Dat_02!E10</f>
        <v>64.364342968573325</v>
      </c>
      <c r="I11" s="260">
        <f>Dat_02!G10</f>
        <v>0</v>
      </c>
      <c r="J11" s="272" t="str">
        <f>IF(Dat_02!H10=0,"",Dat_02!H10)</f>
        <v/>
      </c>
    </row>
    <row r="12" spans="2:11">
      <c r="B12" s="256"/>
      <c r="C12" s="257" t="s">
        <v>180</v>
      </c>
      <c r="D12" s="256"/>
      <c r="E12" s="259">
        <f>Dat_02!C11</f>
        <v>156.70038058999921</v>
      </c>
      <c r="F12" s="259">
        <f>Dat_02!D11</f>
        <v>64.364342968573325</v>
      </c>
      <c r="G12" s="259">
        <f>Dat_02!E11</f>
        <v>64.364342968573325</v>
      </c>
      <c r="I12" s="260">
        <f>Dat_02!G11</f>
        <v>0</v>
      </c>
      <c r="J12" s="272" t="str">
        <f>IF(Dat_02!H11=0,"",Dat_02!H11)</f>
        <v/>
      </c>
    </row>
    <row r="13" spans="2:11">
      <c r="B13" s="256"/>
      <c r="C13" s="257" t="s">
        <v>181</v>
      </c>
      <c r="D13" s="256"/>
      <c r="E13" s="259">
        <f>Dat_02!C12</f>
        <v>160.59838424999964</v>
      </c>
      <c r="F13" s="259">
        <f>Dat_02!D12</f>
        <v>64.364342968573325</v>
      </c>
      <c r="G13" s="259">
        <f>Dat_02!E12</f>
        <v>64.364342968573325</v>
      </c>
      <c r="I13" s="260">
        <f>Dat_02!G12</f>
        <v>0</v>
      </c>
      <c r="J13" s="272" t="str">
        <f>IF(Dat_02!H12=0,"",Dat_02!H12)</f>
        <v/>
      </c>
    </row>
    <row r="14" spans="2:11">
      <c r="B14" s="256"/>
      <c r="C14" s="257" t="s">
        <v>182</v>
      </c>
      <c r="D14" s="256"/>
      <c r="E14" s="259">
        <f>Dat_02!C13</f>
        <v>172.36232985200098</v>
      </c>
      <c r="F14" s="259">
        <f>Dat_02!D13</f>
        <v>64.364342968573325</v>
      </c>
      <c r="G14" s="259">
        <f>Dat_02!E13</f>
        <v>64.364342968573325</v>
      </c>
      <c r="I14" s="260">
        <f>Dat_02!G13</f>
        <v>0</v>
      </c>
      <c r="J14" s="272" t="str">
        <f>IF(Dat_02!H13=0,"",Dat_02!H13)</f>
        <v/>
      </c>
    </row>
    <row r="15" spans="2:11">
      <c r="B15" s="256"/>
      <c r="C15" s="257" t="s">
        <v>183</v>
      </c>
      <c r="D15" s="256"/>
      <c r="E15" s="259">
        <f>Dat_02!C14</f>
        <v>141.86062300799989</v>
      </c>
      <c r="F15" s="259">
        <f>Dat_02!D14</f>
        <v>64.364342968573325</v>
      </c>
      <c r="G15" s="259">
        <f>Dat_02!E14</f>
        <v>64.364342968573325</v>
      </c>
      <c r="I15" s="260">
        <f>Dat_02!G14</f>
        <v>0</v>
      </c>
      <c r="J15" s="272" t="str">
        <f>IF(Dat_02!H14=0,"",Dat_02!H14)</f>
        <v/>
      </c>
    </row>
    <row r="16" spans="2:11">
      <c r="B16" s="256"/>
      <c r="C16" s="257" t="s">
        <v>184</v>
      </c>
      <c r="D16" s="256"/>
      <c r="E16" s="259">
        <f>Dat_02!C15</f>
        <v>134.30981026200041</v>
      </c>
      <c r="F16" s="259">
        <f>Dat_02!D15</f>
        <v>64.364342968573325</v>
      </c>
      <c r="G16" s="259">
        <f>Dat_02!E15</f>
        <v>64.364342968573325</v>
      </c>
      <c r="I16" s="260">
        <f>Dat_02!G15</f>
        <v>0</v>
      </c>
      <c r="J16" s="272" t="str">
        <f>IF(Dat_02!H15=0,"",Dat_02!H15)</f>
        <v/>
      </c>
    </row>
    <row r="17" spans="2:10">
      <c r="B17" s="256"/>
      <c r="C17" s="257" t="s">
        <v>185</v>
      </c>
      <c r="D17" s="256"/>
      <c r="E17" s="259">
        <f>Dat_02!C16</f>
        <v>154.84686982799877</v>
      </c>
      <c r="F17" s="259">
        <f>Dat_02!D16</f>
        <v>64.364342968573325</v>
      </c>
      <c r="G17" s="259">
        <f>Dat_02!E16</f>
        <v>64.364342968573325</v>
      </c>
      <c r="I17" s="260">
        <f>Dat_02!G16</f>
        <v>0</v>
      </c>
      <c r="J17" s="272" t="str">
        <f>IF(Dat_02!H16=0,"",Dat_02!H16)</f>
        <v/>
      </c>
    </row>
    <row r="18" spans="2:10">
      <c r="B18" s="256"/>
      <c r="C18" s="257" t="s">
        <v>186</v>
      </c>
      <c r="D18" s="256"/>
      <c r="E18" s="259">
        <f>Dat_02!C17</f>
        <v>126.11994040400162</v>
      </c>
      <c r="F18" s="259">
        <f>Dat_02!D17</f>
        <v>64.364342968573325</v>
      </c>
      <c r="G18" s="259">
        <f>Dat_02!E17</f>
        <v>64.364342968573325</v>
      </c>
      <c r="I18" s="260">
        <f>Dat_02!G17</f>
        <v>64.364342968573325</v>
      </c>
      <c r="J18" s="272" t="str">
        <f>IF(Dat_02!H17=0,"",Dat_02!H17)</f>
        <v/>
      </c>
    </row>
    <row r="19" spans="2:10">
      <c r="B19" s="256"/>
      <c r="C19" s="257" t="s">
        <v>187</v>
      </c>
      <c r="D19" s="256"/>
      <c r="E19" s="259">
        <f>Dat_02!C18</f>
        <v>134.16614112799948</v>
      </c>
      <c r="F19" s="259">
        <f>Dat_02!D18</f>
        <v>64.364342968573325</v>
      </c>
      <c r="G19" s="259">
        <f>Dat_02!E18</f>
        <v>64.364342968573325</v>
      </c>
      <c r="I19" s="260">
        <f>Dat_02!G18</f>
        <v>0</v>
      </c>
      <c r="J19" s="272" t="str">
        <f>IF(Dat_02!H18=0,"",Dat_02!H18)</f>
        <v/>
      </c>
    </row>
    <row r="20" spans="2:10">
      <c r="B20" s="256"/>
      <c r="C20" s="257" t="s">
        <v>188</v>
      </c>
      <c r="D20" s="256"/>
      <c r="E20" s="259">
        <f>Dat_02!C19</f>
        <v>101.77368865599892</v>
      </c>
      <c r="F20" s="259">
        <f>Dat_02!D19</f>
        <v>64.364342968573325</v>
      </c>
      <c r="G20" s="259">
        <f>Dat_02!E19</f>
        <v>64.364342968573325</v>
      </c>
      <c r="I20" s="260">
        <f>Dat_02!G19</f>
        <v>0</v>
      </c>
      <c r="J20" s="272" t="str">
        <f>IF(Dat_02!H19=0,"",Dat_02!H19)</f>
        <v/>
      </c>
    </row>
    <row r="21" spans="2:10">
      <c r="B21" s="256"/>
      <c r="C21" s="257" t="s">
        <v>189</v>
      </c>
      <c r="D21" s="256"/>
      <c r="E21" s="259">
        <f>Dat_02!C20</f>
        <v>131.88725680799996</v>
      </c>
      <c r="F21" s="259">
        <f>Dat_02!D20</f>
        <v>64.364342968573325</v>
      </c>
      <c r="G21" s="259">
        <f>Dat_02!E20</f>
        <v>64.364342968573325</v>
      </c>
      <c r="I21" s="260">
        <f>Dat_02!G20</f>
        <v>0</v>
      </c>
      <c r="J21" s="272" t="str">
        <f>IF(Dat_02!H20=0,"",Dat_02!H20)</f>
        <v/>
      </c>
    </row>
    <row r="22" spans="2:10">
      <c r="B22" s="256"/>
      <c r="C22" s="257" t="s">
        <v>190</v>
      </c>
      <c r="D22" s="256"/>
      <c r="E22" s="259">
        <f>Dat_02!C21</f>
        <v>94.370074128000383</v>
      </c>
      <c r="F22" s="259">
        <f>Dat_02!D21</f>
        <v>64.364342968573325</v>
      </c>
      <c r="G22" s="259">
        <f>Dat_02!E21</f>
        <v>64.364342968573325</v>
      </c>
      <c r="I22" s="260">
        <f>Dat_02!G21</f>
        <v>0</v>
      </c>
      <c r="J22" s="272" t="str">
        <f>IF(Dat_02!H21=0,"",Dat_02!H21)</f>
        <v/>
      </c>
    </row>
    <row r="23" spans="2:10">
      <c r="B23" s="256"/>
      <c r="C23" s="257" t="s">
        <v>191</v>
      </c>
      <c r="D23" s="256"/>
      <c r="E23" s="259">
        <f>Dat_02!C22</f>
        <v>98.643268891999753</v>
      </c>
      <c r="F23" s="259">
        <f>Dat_02!D22</f>
        <v>64.364342968573325</v>
      </c>
      <c r="G23" s="259">
        <f>Dat_02!E22</f>
        <v>64.364342968573325</v>
      </c>
      <c r="I23" s="260">
        <f>Dat_02!G22</f>
        <v>0</v>
      </c>
      <c r="J23" s="272" t="str">
        <f>IF(Dat_02!H22=0,"",Dat_02!H22)</f>
        <v/>
      </c>
    </row>
    <row r="24" spans="2:10">
      <c r="B24" s="256"/>
      <c r="C24" s="257" t="s">
        <v>192</v>
      </c>
      <c r="D24" s="256"/>
      <c r="E24" s="259">
        <f>Dat_02!C23</f>
        <v>94.469394864000989</v>
      </c>
      <c r="F24" s="259">
        <f>Dat_02!D23</f>
        <v>64.364342968573325</v>
      </c>
      <c r="G24" s="259">
        <f>Dat_02!E23</f>
        <v>64.364342968573325</v>
      </c>
      <c r="I24" s="260">
        <f>Dat_02!G23</f>
        <v>0</v>
      </c>
      <c r="J24" s="272" t="str">
        <f>IF(Dat_02!H23=0,"",Dat_02!H23)</f>
        <v/>
      </c>
    </row>
    <row r="25" spans="2:10">
      <c r="B25" s="256"/>
      <c r="C25" s="257" t="s">
        <v>193</v>
      </c>
      <c r="D25" s="256"/>
      <c r="E25" s="259">
        <f>Dat_02!C24</f>
        <v>97.863587735998834</v>
      </c>
      <c r="F25" s="259">
        <f>Dat_02!D24</f>
        <v>64.364342968573325</v>
      </c>
      <c r="G25" s="259">
        <f>Dat_02!E24</f>
        <v>64.364342968573325</v>
      </c>
      <c r="I25" s="260">
        <f>Dat_02!G24</f>
        <v>0</v>
      </c>
      <c r="J25" s="272" t="str">
        <f>IF(Dat_02!H24=0,"",Dat_02!H24)</f>
        <v/>
      </c>
    </row>
    <row r="26" spans="2:10">
      <c r="B26" s="256"/>
      <c r="C26" s="257" t="s">
        <v>194</v>
      </c>
      <c r="D26" s="256"/>
      <c r="E26" s="259">
        <f>Dat_02!C25</f>
        <v>70.112905008001448</v>
      </c>
      <c r="F26" s="259">
        <f>Dat_02!D25</f>
        <v>64.364342968573325</v>
      </c>
      <c r="G26" s="259">
        <f>Dat_02!E25</f>
        <v>64.364342968573325</v>
      </c>
      <c r="I26" s="260">
        <f>Dat_02!G25</f>
        <v>0</v>
      </c>
      <c r="J26" s="272" t="str">
        <f>IF(Dat_02!H25=0,"",Dat_02!H25)</f>
        <v/>
      </c>
    </row>
    <row r="27" spans="2:10">
      <c r="B27" s="256"/>
      <c r="C27" s="257" t="s">
        <v>195</v>
      </c>
      <c r="D27" s="256"/>
      <c r="E27" s="259">
        <f>Dat_02!C26</f>
        <v>80.629059501998753</v>
      </c>
      <c r="F27" s="259">
        <f>Dat_02!D26</f>
        <v>64.364342968573325</v>
      </c>
      <c r="G27" s="259">
        <f>Dat_02!E26</f>
        <v>64.364342968573325</v>
      </c>
      <c r="I27" s="260">
        <f>Dat_02!G26</f>
        <v>0</v>
      </c>
      <c r="J27" s="272" t="str">
        <f>IF(Dat_02!H26=0,"",Dat_02!H26)</f>
        <v/>
      </c>
    </row>
    <row r="28" spans="2:10">
      <c r="B28" s="256"/>
      <c r="C28" s="257" t="s">
        <v>196</v>
      </c>
      <c r="D28" s="256"/>
      <c r="E28" s="259">
        <f>Dat_02!C27</f>
        <v>99.260723599999821</v>
      </c>
      <c r="F28" s="259">
        <f>Dat_02!D27</f>
        <v>64.364342968573325</v>
      </c>
      <c r="G28" s="259">
        <f>Dat_02!E27</f>
        <v>64.364342968573325</v>
      </c>
      <c r="I28" s="260">
        <f>Dat_02!G27</f>
        <v>0</v>
      </c>
      <c r="J28" s="272" t="str">
        <f>IF(Dat_02!H27=0,"",Dat_02!H27)</f>
        <v/>
      </c>
    </row>
    <row r="29" spans="2:10">
      <c r="B29" s="256"/>
      <c r="C29" s="257" t="s">
        <v>197</v>
      </c>
      <c r="D29" s="256"/>
      <c r="E29" s="259">
        <f>Dat_02!C28</f>
        <v>80.488984246000967</v>
      </c>
      <c r="F29" s="259">
        <f>Dat_02!D28</f>
        <v>64.364342968573325</v>
      </c>
      <c r="G29" s="259">
        <f>Dat_02!E28</f>
        <v>64.364342968573325</v>
      </c>
      <c r="I29" s="260">
        <f>Dat_02!G28</f>
        <v>0</v>
      </c>
      <c r="J29" s="272" t="str">
        <f>IF(Dat_02!H28=0,"",Dat_02!H28)</f>
        <v/>
      </c>
    </row>
    <row r="30" spans="2:10">
      <c r="B30" s="256"/>
      <c r="C30" s="257" t="s">
        <v>198</v>
      </c>
      <c r="D30" s="256"/>
      <c r="E30" s="259">
        <f>Dat_02!C29</f>
        <v>70.639832656000195</v>
      </c>
      <c r="F30" s="259">
        <f>Dat_02!D29</f>
        <v>64.364342968573325</v>
      </c>
      <c r="G30" s="259">
        <f>Dat_02!E29</f>
        <v>64.364342968573325</v>
      </c>
      <c r="I30" s="260">
        <f>Dat_02!G29</f>
        <v>0</v>
      </c>
      <c r="J30" s="272" t="str">
        <f>IF(Dat_02!H29=0,"",Dat_02!H29)</f>
        <v/>
      </c>
    </row>
    <row r="31" spans="2:10">
      <c r="B31" s="256"/>
      <c r="C31" s="257" t="s">
        <v>199</v>
      </c>
      <c r="D31" s="256"/>
      <c r="E31" s="259">
        <f>Dat_02!C30</f>
        <v>76.723105204000333</v>
      </c>
      <c r="F31" s="259">
        <f>Dat_02!D30</f>
        <v>64.364342968573325</v>
      </c>
      <c r="G31" s="259">
        <f>Dat_02!E30</f>
        <v>64.364342968573325</v>
      </c>
      <c r="I31" s="260">
        <f>Dat_02!G30</f>
        <v>0</v>
      </c>
      <c r="J31" s="272" t="str">
        <f>IF(Dat_02!H30=0,"",Dat_02!H30)</f>
        <v/>
      </c>
    </row>
    <row r="32" spans="2:10">
      <c r="B32" s="256"/>
      <c r="C32" s="257" t="s">
        <v>200</v>
      </c>
      <c r="D32" s="256"/>
      <c r="E32" s="259">
        <f>Dat_02!C31</f>
        <v>84.375995497999099</v>
      </c>
      <c r="F32" s="259">
        <f>Dat_02!D31</f>
        <v>64.364342968573325</v>
      </c>
      <c r="G32" s="259">
        <f>Dat_02!E31</f>
        <v>64.364342968573325</v>
      </c>
      <c r="I32" s="260">
        <f>Dat_02!G31</f>
        <v>0</v>
      </c>
      <c r="J32" s="272" t="str">
        <f>IF(Dat_02!H31=0,"",Dat_02!H31)</f>
        <v/>
      </c>
    </row>
    <row r="33" spans="2:10">
      <c r="B33" s="256"/>
      <c r="C33" s="257" t="s">
        <v>201</v>
      </c>
      <c r="D33" s="256"/>
      <c r="E33" s="259">
        <f>Dat_02!C32</f>
        <v>94.439170259999344</v>
      </c>
      <c r="F33" s="259">
        <f>Dat_02!D32</f>
        <v>64.364342968573325</v>
      </c>
      <c r="G33" s="259">
        <f>Dat_02!E32</f>
        <v>64.364342968573325</v>
      </c>
      <c r="I33" s="260">
        <f>Dat_02!G32</f>
        <v>0</v>
      </c>
      <c r="J33" s="272" t="str">
        <f>IF(Dat_02!H32=0,"",Dat_02!H32)</f>
        <v/>
      </c>
    </row>
    <row r="34" spans="2:10">
      <c r="B34" s="256"/>
      <c r="C34" s="257" t="s">
        <v>202</v>
      </c>
      <c r="D34" s="258"/>
      <c r="E34" s="259">
        <f>Dat_02!C33</f>
        <v>83.442903070001222</v>
      </c>
      <c r="F34" s="259">
        <f>Dat_02!D33</f>
        <v>28.016997662909688</v>
      </c>
      <c r="G34" s="259">
        <f>Dat_02!E33</f>
        <v>28.016997662909688</v>
      </c>
      <c r="I34" s="260">
        <f>Dat_02!G33</f>
        <v>0</v>
      </c>
      <c r="J34" s="272" t="str">
        <f>IF(Dat_02!H33=0,"",Dat_02!H33)</f>
        <v/>
      </c>
    </row>
    <row r="35" spans="2:10">
      <c r="B35" s="258" t="s">
        <v>203</v>
      </c>
      <c r="C35" s="257" t="s">
        <v>204</v>
      </c>
      <c r="D35" s="258"/>
      <c r="E35" s="259">
        <f>Dat_02!C34</f>
        <v>87.552219355998915</v>
      </c>
      <c r="F35" s="259">
        <f>Dat_02!D34</f>
        <v>28.016997662909688</v>
      </c>
      <c r="G35" s="259">
        <f>Dat_02!E34</f>
        <v>28.016997662909688</v>
      </c>
      <c r="I35" s="260">
        <f>Dat_02!G34</f>
        <v>0</v>
      </c>
      <c r="J35" s="272" t="str">
        <f>IF(Dat_02!H34=0,"",Dat_02!H34)</f>
        <v/>
      </c>
    </row>
    <row r="36" spans="2:10">
      <c r="B36" s="256"/>
      <c r="C36" s="257" t="s">
        <v>205</v>
      </c>
      <c r="D36" s="258"/>
      <c r="E36" s="259">
        <f>Dat_02!C35</f>
        <v>84.88066473200044</v>
      </c>
      <c r="F36" s="259">
        <f>Dat_02!D35</f>
        <v>28.016997662909688</v>
      </c>
      <c r="G36" s="259">
        <f>Dat_02!E35</f>
        <v>28.016997662909688</v>
      </c>
      <c r="I36" s="260">
        <f>Dat_02!G35</f>
        <v>0</v>
      </c>
      <c r="J36" s="272" t="str">
        <f>IF(Dat_02!H35=0,"",Dat_02!H35)</f>
        <v/>
      </c>
    </row>
    <row r="37" spans="2:10">
      <c r="B37" s="256"/>
      <c r="C37" s="257" t="s">
        <v>206</v>
      </c>
      <c r="D37" s="256"/>
      <c r="E37" s="259">
        <f>Dat_02!C36</f>
        <v>85.820354398000092</v>
      </c>
      <c r="F37" s="259">
        <f>Dat_02!D36</f>
        <v>28.016997662909688</v>
      </c>
      <c r="G37" s="259">
        <f>Dat_02!E36</f>
        <v>28.016997662909688</v>
      </c>
      <c r="I37" s="260">
        <f>Dat_02!G36</f>
        <v>0</v>
      </c>
      <c r="J37" s="272" t="str">
        <f>IF(Dat_02!H36=0,"",Dat_02!H36)</f>
        <v/>
      </c>
    </row>
    <row r="38" spans="2:10">
      <c r="B38" s="256"/>
      <c r="C38" s="257" t="s">
        <v>207</v>
      </c>
      <c r="D38" s="256"/>
      <c r="E38" s="259">
        <f>Dat_02!C37</f>
        <v>69.123795566000467</v>
      </c>
      <c r="F38" s="259">
        <f>Dat_02!D37</f>
        <v>28.016997662909688</v>
      </c>
      <c r="G38" s="259">
        <f>Dat_02!E37</f>
        <v>28.016997662909688</v>
      </c>
      <c r="I38" s="260">
        <f>Dat_02!G37</f>
        <v>0</v>
      </c>
      <c r="J38" s="272" t="str">
        <f>IF(Dat_02!H37=0,"",Dat_02!H37)</f>
        <v/>
      </c>
    </row>
    <row r="39" spans="2:10">
      <c r="B39" s="256"/>
      <c r="C39" s="257" t="s">
        <v>208</v>
      </c>
      <c r="D39" s="256"/>
      <c r="E39" s="259">
        <f>Dat_02!C38</f>
        <v>83.784133238000351</v>
      </c>
      <c r="F39" s="259">
        <f>Dat_02!D38</f>
        <v>28.016997662909688</v>
      </c>
      <c r="G39" s="259">
        <f>Dat_02!E38</f>
        <v>28.016997662909688</v>
      </c>
      <c r="I39" s="260">
        <f>Dat_02!G38</f>
        <v>0</v>
      </c>
      <c r="J39" s="272" t="str">
        <f>IF(Dat_02!H38=0,"",Dat_02!H38)</f>
        <v/>
      </c>
    </row>
    <row r="40" spans="2:10">
      <c r="B40" s="256"/>
      <c r="C40" s="257" t="s">
        <v>209</v>
      </c>
      <c r="D40" s="256"/>
      <c r="E40" s="259">
        <f>Dat_02!C39</f>
        <v>62.529769319999858</v>
      </c>
      <c r="F40" s="259">
        <f>Dat_02!D39</f>
        <v>28.016997662909688</v>
      </c>
      <c r="G40" s="259">
        <f>Dat_02!E39</f>
        <v>28.016997662909688</v>
      </c>
      <c r="I40" s="260">
        <f>Dat_02!G39</f>
        <v>0</v>
      </c>
      <c r="J40" s="272" t="str">
        <f>IF(Dat_02!H39=0,"",Dat_02!H39)</f>
        <v/>
      </c>
    </row>
    <row r="41" spans="2:10">
      <c r="B41" s="256"/>
      <c r="C41" s="257" t="s">
        <v>210</v>
      </c>
      <c r="D41" s="256"/>
      <c r="E41" s="259">
        <f>Dat_02!C40</f>
        <v>45.655510867999546</v>
      </c>
      <c r="F41" s="259">
        <f>Dat_02!D40</f>
        <v>28.016997662909688</v>
      </c>
      <c r="G41" s="259">
        <f>Dat_02!E40</f>
        <v>28.016997662909688</v>
      </c>
      <c r="I41" s="260">
        <f>Dat_02!G40</f>
        <v>0</v>
      </c>
      <c r="J41" s="272" t="str">
        <f>IF(Dat_02!H40=0,"",Dat_02!H40)</f>
        <v/>
      </c>
    </row>
    <row r="42" spans="2:10">
      <c r="B42" s="256"/>
      <c r="C42" s="257" t="s">
        <v>211</v>
      </c>
      <c r="D42" s="256"/>
      <c r="E42" s="259">
        <f>Dat_02!C41</f>
        <v>73.347079030000401</v>
      </c>
      <c r="F42" s="259">
        <f>Dat_02!D41</f>
        <v>28.016997662909688</v>
      </c>
      <c r="G42" s="259">
        <f>Dat_02!E41</f>
        <v>28.016997662909688</v>
      </c>
      <c r="I42" s="260">
        <f>Dat_02!G41</f>
        <v>0</v>
      </c>
      <c r="J42" s="272" t="str">
        <f>IF(Dat_02!H41=0,"",Dat_02!H41)</f>
        <v/>
      </c>
    </row>
    <row r="43" spans="2:10">
      <c r="B43" s="256"/>
      <c r="C43" s="257" t="s">
        <v>212</v>
      </c>
      <c r="D43" s="256"/>
      <c r="E43" s="259">
        <f>Dat_02!C42</f>
        <v>71.813322876000214</v>
      </c>
      <c r="F43" s="259">
        <f>Dat_02!D42</f>
        <v>28.016997662909688</v>
      </c>
      <c r="G43" s="259">
        <f>Dat_02!E42</f>
        <v>28.016997662909688</v>
      </c>
      <c r="I43" s="260">
        <f>Dat_02!G42</f>
        <v>0</v>
      </c>
      <c r="J43" s="272" t="str">
        <f>IF(Dat_02!H42=0,"",Dat_02!H42)</f>
        <v/>
      </c>
    </row>
    <row r="44" spans="2:10">
      <c r="B44" s="256"/>
      <c r="C44" s="257" t="s">
        <v>213</v>
      </c>
      <c r="D44" s="256"/>
      <c r="E44" s="259">
        <f>Dat_02!C43</f>
        <v>57.828826144000296</v>
      </c>
      <c r="F44" s="259">
        <f>Dat_02!D43</f>
        <v>28.016997662909688</v>
      </c>
      <c r="G44" s="259">
        <f>Dat_02!E43</f>
        <v>28.016997662909688</v>
      </c>
      <c r="I44" s="260">
        <f>Dat_02!G43</f>
        <v>0</v>
      </c>
      <c r="J44" s="272" t="str">
        <f>IF(Dat_02!H43=0,"",Dat_02!H43)</f>
        <v/>
      </c>
    </row>
    <row r="45" spans="2:10">
      <c r="B45" s="256"/>
      <c r="C45" s="257" t="s">
        <v>214</v>
      </c>
      <c r="D45" s="256"/>
      <c r="E45" s="259">
        <f>Dat_02!C44</f>
        <v>67.78115290999979</v>
      </c>
      <c r="F45" s="259">
        <f>Dat_02!D44</f>
        <v>28.016997662909688</v>
      </c>
      <c r="G45" s="259">
        <f>Dat_02!E44</f>
        <v>28.016997662909688</v>
      </c>
      <c r="I45" s="260">
        <f>Dat_02!G44</f>
        <v>0</v>
      </c>
      <c r="J45" s="272" t="str">
        <f>IF(Dat_02!H44=0,"",Dat_02!H44)</f>
        <v/>
      </c>
    </row>
    <row r="46" spans="2:10">
      <c r="B46" s="256"/>
      <c r="C46" s="257" t="s">
        <v>215</v>
      </c>
      <c r="D46" s="256"/>
      <c r="E46" s="259">
        <f>Dat_02!C45</f>
        <v>37.368353595998762</v>
      </c>
      <c r="F46" s="259">
        <f>Dat_02!D45</f>
        <v>28.016997662909688</v>
      </c>
      <c r="G46" s="259">
        <f>Dat_02!E45</f>
        <v>28.016997662909688</v>
      </c>
      <c r="I46" s="260">
        <f>Dat_02!G45</f>
        <v>0</v>
      </c>
      <c r="J46" s="272" t="str">
        <f>IF(Dat_02!H45=0,"",Dat_02!H45)</f>
        <v/>
      </c>
    </row>
    <row r="47" spans="2:10">
      <c r="B47" s="256"/>
      <c r="C47" s="257" t="s">
        <v>216</v>
      </c>
      <c r="D47" s="256"/>
      <c r="E47" s="259">
        <f>Dat_02!C46</f>
        <v>22.442121530000588</v>
      </c>
      <c r="F47" s="259">
        <f>Dat_02!D46</f>
        <v>28.016997662909688</v>
      </c>
      <c r="G47" s="259">
        <f>Dat_02!E46</f>
        <v>22.442121530000588</v>
      </c>
      <c r="I47" s="260">
        <f>Dat_02!G46</f>
        <v>0</v>
      </c>
      <c r="J47" s="272" t="str">
        <f>IF(Dat_02!H46=0,"",Dat_02!H46)</f>
        <v/>
      </c>
    </row>
    <row r="48" spans="2:10">
      <c r="B48" s="256"/>
      <c r="C48" s="257" t="s">
        <v>217</v>
      </c>
      <c r="D48" s="256"/>
      <c r="E48" s="259">
        <f>Dat_02!C47</f>
        <v>6.4768478000008471</v>
      </c>
      <c r="F48" s="259">
        <f>Dat_02!D47</f>
        <v>28.016997662909688</v>
      </c>
      <c r="G48" s="259">
        <f>Dat_02!E47</f>
        <v>6.4768478000008471</v>
      </c>
      <c r="I48" s="260">
        <f>Dat_02!G47</f>
        <v>28.016997662909688</v>
      </c>
      <c r="J48" s="272" t="str">
        <f>IF(Dat_02!H47=0,"",Dat_02!H47)</f>
        <v/>
      </c>
    </row>
    <row r="49" spans="2:10">
      <c r="B49" s="256"/>
      <c r="C49" s="257" t="s">
        <v>218</v>
      </c>
      <c r="D49" s="256"/>
      <c r="E49" s="259">
        <f>Dat_02!C48</f>
        <v>7.1221750679984108</v>
      </c>
      <c r="F49" s="259">
        <f>Dat_02!D48</f>
        <v>28.016997662909688</v>
      </c>
      <c r="G49" s="259">
        <f>Dat_02!E48</f>
        <v>7.1221750679984108</v>
      </c>
      <c r="I49" s="260">
        <f>Dat_02!G48</f>
        <v>0</v>
      </c>
      <c r="J49" s="272" t="str">
        <f>IF(Dat_02!H48=0,"",Dat_02!H48)</f>
        <v/>
      </c>
    </row>
    <row r="50" spans="2:10">
      <c r="B50" s="256"/>
      <c r="C50" s="257" t="s">
        <v>219</v>
      </c>
      <c r="D50" s="256"/>
      <c r="E50" s="259">
        <f>Dat_02!C49</f>
        <v>5.5775102060000501</v>
      </c>
      <c r="F50" s="259">
        <f>Dat_02!D49</f>
        <v>28.016997662909688</v>
      </c>
      <c r="G50" s="259">
        <f>Dat_02!E49</f>
        <v>5.5775102060000501</v>
      </c>
      <c r="I50" s="260">
        <f>Dat_02!G49</f>
        <v>0</v>
      </c>
      <c r="J50" s="272" t="str">
        <f>IF(Dat_02!H49=0,"",Dat_02!H49)</f>
        <v/>
      </c>
    </row>
    <row r="51" spans="2:10">
      <c r="B51" s="256"/>
      <c r="C51" s="257" t="s">
        <v>220</v>
      </c>
      <c r="D51" s="256"/>
      <c r="E51" s="259">
        <f>Dat_02!C50</f>
        <v>6.9436143500001055</v>
      </c>
      <c r="F51" s="259">
        <f>Dat_02!D50</f>
        <v>28.016997662909688</v>
      </c>
      <c r="G51" s="259">
        <f>Dat_02!E50</f>
        <v>6.9436143500001055</v>
      </c>
      <c r="I51" s="260">
        <f>Dat_02!G50</f>
        <v>0</v>
      </c>
      <c r="J51" s="272" t="str">
        <f>IF(Dat_02!H50=0,"",Dat_02!H50)</f>
        <v/>
      </c>
    </row>
    <row r="52" spans="2:10">
      <c r="B52" s="256"/>
      <c r="C52" s="257" t="s">
        <v>221</v>
      </c>
      <c r="D52" s="256"/>
      <c r="E52" s="259">
        <f>Dat_02!C51</f>
        <v>8.0428851500002061</v>
      </c>
      <c r="F52" s="259">
        <f>Dat_02!D51</f>
        <v>28.016997662909688</v>
      </c>
      <c r="G52" s="259">
        <f>Dat_02!E51</f>
        <v>8.0428851500002061</v>
      </c>
      <c r="I52" s="260">
        <f>Dat_02!G51</f>
        <v>0</v>
      </c>
      <c r="J52" s="272" t="str">
        <f>IF(Dat_02!H51=0,"",Dat_02!H51)</f>
        <v/>
      </c>
    </row>
    <row r="53" spans="2:10">
      <c r="B53" s="256"/>
      <c r="C53" s="257" t="s">
        <v>222</v>
      </c>
      <c r="D53" s="256"/>
      <c r="E53" s="259">
        <f>Dat_02!C52</f>
        <v>5.3483192739994845</v>
      </c>
      <c r="F53" s="259">
        <f>Dat_02!D52</f>
        <v>28.016997662909688</v>
      </c>
      <c r="G53" s="259">
        <f>Dat_02!E52</f>
        <v>5.3483192739994845</v>
      </c>
      <c r="I53" s="260">
        <f>Dat_02!G52</f>
        <v>0</v>
      </c>
      <c r="J53" s="272" t="str">
        <f>IF(Dat_02!H52=0,"",Dat_02!H52)</f>
        <v/>
      </c>
    </row>
    <row r="54" spans="2:10">
      <c r="B54" s="256"/>
      <c r="C54" s="257" t="s">
        <v>223</v>
      </c>
      <c r="D54" s="256"/>
      <c r="E54" s="259">
        <f>Dat_02!C53</f>
        <v>4.3246602700016812</v>
      </c>
      <c r="F54" s="259">
        <f>Dat_02!D53</f>
        <v>28.016997662909688</v>
      </c>
      <c r="G54" s="259">
        <f>Dat_02!E53</f>
        <v>4.3246602700016812</v>
      </c>
      <c r="I54" s="260">
        <f>Dat_02!G53</f>
        <v>0</v>
      </c>
      <c r="J54" s="272" t="str">
        <f>IF(Dat_02!H53=0,"",Dat_02!H53)</f>
        <v/>
      </c>
    </row>
    <row r="55" spans="2:10">
      <c r="B55" s="256"/>
      <c r="C55" s="257" t="s">
        <v>224</v>
      </c>
      <c r="D55" s="256"/>
      <c r="E55" s="259">
        <f>Dat_02!C54</f>
        <v>3.1530496419999401</v>
      </c>
      <c r="F55" s="259">
        <f>Dat_02!D54</f>
        <v>28.016997662909688</v>
      </c>
      <c r="G55" s="259">
        <f>Dat_02!E54</f>
        <v>3.1530496419999401</v>
      </c>
      <c r="I55" s="260">
        <f>Dat_02!G54</f>
        <v>0</v>
      </c>
      <c r="J55" s="272" t="str">
        <f>IF(Dat_02!H54=0,"",Dat_02!H54)</f>
        <v/>
      </c>
    </row>
    <row r="56" spans="2:10">
      <c r="B56" s="256"/>
      <c r="C56" s="257" t="s">
        <v>225</v>
      </c>
      <c r="D56" s="256"/>
      <c r="E56" s="259">
        <f>Dat_02!C55</f>
        <v>61.288159533999846</v>
      </c>
      <c r="F56" s="259">
        <f>Dat_02!D55</f>
        <v>28.016997662909688</v>
      </c>
      <c r="G56" s="259">
        <f>Dat_02!E55</f>
        <v>28.016997662909688</v>
      </c>
      <c r="I56" s="260">
        <f>Dat_02!G55</f>
        <v>0</v>
      </c>
      <c r="J56" s="272" t="str">
        <f>IF(Dat_02!H55=0,"",Dat_02!H55)</f>
        <v/>
      </c>
    </row>
    <row r="57" spans="2:10">
      <c r="B57" s="256"/>
      <c r="C57" s="257" t="s">
        <v>226</v>
      </c>
      <c r="D57" s="256"/>
      <c r="E57" s="259">
        <f>Dat_02!C56</f>
        <v>54.448891888000247</v>
      </c>
      <c r="F57" s="259">
        <f>Dat_02!D56</f>
        <v>28.016997662909688</v>
      </c>
      <c r="G57" s="259">
        <f>Dat_02!E56</f>
        <v>28.016997662909688</v>
      </c>
      <c r="I57" s="260">
        <f>Dat_02!G56</f>
        <v>0</v>
      </c>
      <c r="J57" s="272" t="str">
        <f>IF(Dat_02!H56=0,"",Dat_02!H56)</f>
        <v/>
      </c>
    </row>
    <row r="58" spans="2:10">
      <c r="B58" s="256"/>
      <c r="C58" s="257" t="s">
        <v>227</v>
      </c>
      <c r="D58" s="256"/>
      <c r="E58" s="259">
        <f>Dat_02!C57</f>
        <v>48.740762289998735</v>
      </c>
      <c r="F58" s="259">
        <f>Dat_02!D57</f>
        <v>28.016997662909688</v>
      </c>
      <c r="G58" s="259">
        <f>Dat_02!E57</f>
        <v>28.016997662909688</v>
      </c>
      <c r="I58" s="260">
        <f>Dat_02!G57</f>
        <v>0</v>
      </c>
      <c r="J58" s="272" t="str">
        <f>IF(Dat_02!H57=0,"",Dat_02!H57)</f>
        <v/>
      </c>
    </row>
    <row r="59" spans="2:10">
      <c r="B59" s="256"/>
      <c r="C59" s="257" t="s">
        <v>228</v>
      </c>
      <c r="D59" s="256"/>
      <c r="E59" s="259">
        <f>Dat_02!C58</f>
        <v>48.222570548000483</v>
      </c>
      <c r="F59" s="259">
        <f>Dat_02!D58</f>
        <v>28.016997662909688</v>
      </c>
      <c r="G59" s="259">
        <f>Dat_02!E58</f>
        <v>28.016997662909688</v>
      </c>
      <c r="I59" s="260">
        <f>Dat_02!G58</f>
        <v>0</v>
      </c>
      <c r="J59" s="272" t="str">
        <f>IF(Dat_02!H58=0,"",Dat_02!H58)</f>
        <v/>
      </c>
    </row>
    <row r="60" spans="2:10">
      <c r="B60" s="256"/>
      <c r="C60" s="257" t="s">
        <v>229</v>
      </c>
      <c r="D60" s="256"/>
      <c r="E60" s="259">
        <f>Dat_02!C59</f>
        <v>48.665647313999173</v>
      </c>
      <c r="F60" s="259">
        <f>Dat_02!D59</f>
        <v>28.016997662909688</v>
      </c>
      <c r="G60" s="259">
        <f>Dat_02!E59</f>
        <v>28.016997662909688</v>
      </c>
      <c r="I60" s="260">
        <f>Dat_02!G59</f>
        <v>0</v>
      </c>
      <c r="J60" s="272" t="str">
        <f>IF(Dat_02!H59=0,"",Dat_02!H59)</f>
        <v/>
      </c>
    </row>
    <row r="61" spans="2:10">
      <c r="B61" s="256"/>
      <c r="C61" s="257" t="s">
        <v>230</v>
      </c>
      <c r="D61" s="256"/>
      <c r="E61" s="259">
        <f>Dat_02!C60</f>
        <v>41.122686298001703</v>
      </c>
      <c r="F61" s="259">
        <f>Dat_02!D60</f>
        <v>28.016997662909688</v>
      </c>
      <c r="G61" s="259">
        <f>Dat_02!E60</f>
        <v>28.016997662909688</v>
      </c>
      <c r="I61" s="260">
        <f>Dat_02!G60</f>
        <v>0</v>
      </c>
      <c r="J61" s="272" t="str">
        <f>IF(Dat_02!H60=0,"",Dat_02!H60)</f>
        <v/>
      </c>
    </row>
    <row r="62" spans="2:10">
      <c r="B62" s="256"/>
      <c r="C62" s="257" t="s">
        <v>231</v>
      </c>
      <c r="D62" s="256"/>
      <c r="E62" s="259">
        <f>Dat_02!C61</f>
        <v>36.724430007999224</v>
      </c>
      <c r="F62" s="259">
        <f>Dat_02!D61</f>
        <v>28.016997662909688</v>
      </c>
      <c r="G62" s="259">
        <f>Dat_02!E61</f>
        <v>28.016997662909688</v>
      </c>
      <c r="I62" s="260">
        <f>Dat_02!G61</f>
        <v>0</v>
      </c>
      <c r="J62" s="272" t="str">
        <f>IF(Dat_02!H61=0,"",Dat_02!H61)</f>
        <v/>
      </c>
    </row>
    <row r="63" spans="2:10">
      <c r="B63" s="256"/>
      <c r="C63" s="257" t="s">
        <v>232</v>
      </c>
      <c r="D63" s="256"/>
      <c r="E63" s="259">
        <f>Dat_02!C62</f>
        <v>43.001909232000386</v>
      </c>
      <c r="F63" s="259">
        <f>Dat_02!D62</f>
        <v>28.016997662909688</v>
      </c>
      <c r="G63" s="259">
        <f>Dat_02!E62</f>
        <v>28.016997662909688</v>
      </c>
      <c r="I63" s="260">
        <f>Dat_02!G62</f>
        <v>0</v>
      </c>
      <c r="J63" s="272" t="str">
        <f>IF(Dat_02!H62=0,"",Dat_02!H62)</f>
        <v/>
      </c>
    </row>
    <row r="64" spans="2:10">
      <c r="B64" s="258"/>
      <c r="C64" s="263" t="s">
        <v>233</v>
      </c>
      <c r="D64" s="256"/>
      <c r="E64" s="259">
        <f>Dat_02!C63</f>
        <v>34.720002079999318</v>
      </c>
      <c r="F64" s="259">
        <f>Dat_02!D63</f>
        <v>28.016997662909688</v>
      </c>
      <c r="G64" s="259">
        <f>Dat_02!E63</f>
        <v>28.016997662909688</v>
      </c>
      <c r="I64" s="260">
        <f>Dat_02!G63</f>
        <v>0</v>
      </c>
      <c r="J64" s="272" t="str">
        <f>IF(Dat_02!H63=0,"",Dat_02!H63)</f>
        <v/>
      </c>
    </row>
    <row r="65" spans="2:10">
      <c r="B65" s="256" t="s">
        <v>234</v>
      </c>
      <c r="C65" s="257" t="s">
        <v>235</v>
      </c>
      <c r="D65" s="258"/>
      <c r="E65" s="259">
        <f>Dat_02!C64</f>
        <v>50.225131983210481</v>
      </c>
      <c r="F65" s="259">
        <f>Dat_02!D64</f>
        <v>16.99706947525484</v>
      </c>
      <c r="G65" s="259">
        <f>Dat_02!E64</f>
        <v>16.99706947525484</v>
      </c>
      <c r="I65" s="260">
        <f>Dat_02!G64</f>
        <v>0</v>
      </c>
      <c r="J65" s="272" t="str">
        <f>IF(Dat_02!H64=0,"",Dat_02!H64)</f>
        <v/>
      </c>
    </row>
    <row r="66" spans="2:10">
      <c r="B66" s="258"/>
      <c r="C66" s="257" t="s">
        <v>236</v>
      </c>
      <c r="D66" s="258"/>
      <c r="E66" s="259">
        <f>Dat_02!C65</f>
        <v>61.525882113210479</v>
      </c>
      <c r="F66" s="259">
        <f>Dat_02!D65</f>
        <v>16.99706947525484</v>
      </c>
      <c r="G66" s="259">
        <f>Dat_02!E65</f>
        <v>16.99706947525484</v>
      </c>
      <c r="I66" s="260">
        <f>Dat_02!G65</f>
        <v>0</v>
      </c>
      <c r="J66" s="272" t="str">
        <f>IF(Dat_02!H65=0,"",Dat_02!H65)</f>
        <v/>
      </c>
    </row>
    <row r="67" spans="2:10">
      <c r="B67" s="256"/>
      <c r="C67" s="257" t="s">
        <v>237</v>
      </c>
      <c r="D67" s="256"/>
      <c r="E67" s="259">
        <f>Dat_02!C66</f>
        <v>73.043389039210481</v>
      </c>
      <c r="F67" s="259">
        <f>Dat_02!D66</f>
        <v>16.99706947525484</v>
      </c>
      <c r="G67" s="259">
        <f>Dat_02!E66</f>
        <v>16.99706947525484</v>
      </c>
      <c r="I67" s="260">
        <f>Dat_02!G66</f>
        <v>0</v>
      </c>
      <c r="J67" s="272" t="str">
        <f>IF(Dat_02!H66=0,"",Dat_02!H66)</f>
        <v/>
      </c>
    </row>
    <row r="68" spans="2:10">
      <c r="B68" s="256"/>
      <c r="C68" s="257" t="s">
        <v>238</v>
      </c>
      <c r="D68" s="256"/>
      <c r="E68" s="259">
        <f>Dat_02!C67</f>
        <v>47.858004181210475</v>
      </c>
      <c r="F68" s="259">
        <f>Dat_02!D67</f>
        <v>16.99706947525484</v>
      </c>
      <c r="G68" s="259">
        <f>Dat_02!E67</f>
        <v>16.99706947525484</v>
      </c>
      <c r="I68" s="260">
        <f>Dat_02!G67</f>
        <v>0</v>
      </c>
      <c r="J68" s="272" t="str">
        <f>IF(Dat_02!H67=0,"",Dat_02!H67)</f>
        <v/>
      </c>
    </row>
    <row r="69" spans="2:10">
      <c r="B69" s="256"/>
      <c r="C69" s="257" t="s">
        <v>239</v>
      </c>
      <c r="D69" s="256"/>
      <c r="E69" s="259">
        <f>Dat_02!C68</f>
        <v>38.260484667210477</v>
      </c>
      <c r="F69" s="259">
        <f>Dat_02!D68</f>
        <v>16.99706947525484</v>
      </c>
      <c r="G69" s="259">
        <f>Dat_02!E68</f>
        <v>16.99706947525484</v>
      </c>
      <c r="I69" s="260">
        <f>Dat_02!G68</f>
        <v>0</v>
      </c>
      <c r="J69" s="272" t="str">
        <f>IF(Dat_02!H68=0,"",Dat_02!H68)</f>
        <v/>
      </c>
    </row>
    <row r="70" spans="2:10">
      <c r="B70" s="256"/>
      <c r="C70" s="257" t="s">
        <v>240</v>
      </c>
      <c r="D70" s="256"/>
      <c r="E70" s="259">
        <f>Dat_02!C69</f>
        <v>54.943769509208607</v>
      </c>
      <c r="F70" s="259">
        <f>Dat_02!D69</f>
        <v>16.99706947525484</v>
      </c>
      <c r="G70" s="259">
        <f>Dat_02!E69</f>
        <v>16.99706947525484</v>
      </c>
      <c r="I70" s="260">
        <f>Dat_02!G69</f>
        <v>0</v>
      </c>
      <c r="J70" s="272" t="str">
        <f>IF(Dat_02!H69=0,"",Dat_02!H69)</f>
        <v/>
      </c>
    </row>
    <row r="71" spans="2:10">
      <c r="B71" s="256"/>
      <c r="C71" s="257" t="s">
        <v>241</v>
      </c>
      <c r="D71" s="256"/>
      <c r="E71" s="259">
        <f>Dat_02!C70</f>
        <v>41.099467483212344</v>
      </c>
      <c r="F71" s="259">
        <f>Dat_02!D70</f>
        <v>16.99706947525484</v>
      </c>
      <c r="G71" s="259">
        <f>Dat_02!E70</f>
        <v>16.99706947525484</v>
      </c>
      <c r="I71" s="260">
        <f>Dat_02!G70</f>
        <v>0</v>
      </c>
      <c r="J71" s="272" t="str">
        <f>IF(Dat_02!H70=0,"",Dat_02!H70)</f>
        <v/>
      </c>
    </row>
    <row r="72" spans="2:10">
      <c r="B72" s="256"/>
      <c r="C72" s="257" t="s">
        <v>242</v>
      </c>
      <c r="D72" s="256"/>
      <c r="E72" s="259">
        <f>Dat_02!C71</f>
        <v>40.945786410027097</v>
      </c>
      <c r="F72" s="259">
        <f>Dat_02!D71</f>
        <v>16.99706947525484</v>
      </c>
      <c r="G72" s="259">
        <f>Dat_02!E71</f>
        <v>16.99706947525484</v>
      </c>
      <c r="I72" s="260">
        <f>Dat_02!G71</f>
        <v>0</v>
      </c>
      <c r="J72" s="272" t="str">
        <f>IF(Dat_02!H71=0,"",Dat_02!H71)</f>
        <v/>
      </c>
    </row>
    <row r="73" spans="2:10">
      <c r="B73" s="256"/>
      <c r="C73" s="257" t="s">
        <v>243</v>
      </c>
      <c r="D73" s="256"/>
      <c r="E73" s="259">
        <f>Dat_02!C72</f>
        <v>35.889768946025235</v>
      </c>
      <c r="F73" s="259">
        <f>Dat_02!D72</f>
        <v>16.99706947525484</v>
      </c>
      <c r="G73" s="259">
        <f>Dat_02!E72</f>
        <v>16.99706947525484</v>
      </c>
      <c r="I73" s="260">
        <f>Dat_02!G72</f>
        <v>0</v>
      </c>
      <c r="J73" s="272" t="str">
        <f>IF(Dat_02!H72=0,"",Dat_02!H72)</f>
        <v/>
      </c>
    </row>
    <row r="74" spans="2:10">
      <c r="B74" s="256"/>
      <c r="C74" s="257" t="s">
        <v>244</v>
      </c>
      <c r="D74" s="256"/>
      <c r="E74" s="259">
        <f>Dat_02!C73</f>
        <v>27.263751104027097</v>
      </c>
      <c r="F74" s="259">
        <f>Dat_02!D73</f>
        <v>16.99706947525484</v>
      </c>
      <c r="G74" s="259">
        <f>Dat_02!E73</f>
        <v>16.99706947525484</v>
      </c>
      <c r="I74" s="260">
        <f>Dat_02!G73</f>
        <v>0</v>
      </c>
      <c r="J74" s="272" t="str">
        <f>IF(Dat_02!H73=0,"",Dat_02!H73)</f>
        <v/>
      </c>
    </row>
    <row r="75" spans="2:10">
      <c r="B75" s="256"/>
      <c r="C75" s="257" t="s">
        <v>245</v>
      </c>
      <c r="D75" s="256"/>
      <c r="E75" s="259">
        <f>Dat_02!C74</f>
        <v>38.547140088027099</v>
      </c>
      <c r="F75" s="259">
        <f>Dat_02!D74</f>
        <v>16.99706947525484</v>
      </c>
      <c r="G75" s="259">
        <f>Dat_02!E74</f>
        <v>16.99706947525484</v>
      </c>
      <c r="I75" s="260">
        <f>Dat_02!G74</f>
        <v>0</v>
      </c>
      <c r="J75" s="272" t="str">
        <f>IF(Dat_02!H74=0,"",Dat_02!H74)</f>
        <v/>
      </c>
    </row>
    <row r="76" spans="2:10">
      <c r="B76" s="256"/>
      <c r="C76" s="257" t="s">
        <v>246</v>
      </c>
      <c r="D76" s="256"/>
      <c r="E76" s="259">
        <f>Dat_02!C75</f>
        <v>28.974149410027103</v>
      </c>
      <c r="F76" s="259">
        <f>Dat_02!D75</f>
        <v>16.99706947525484</v>
      </c>
      <c r="G76" s="259">
        <f>Dat_02!E75</f>
        <v>16.99706947525484</v>
      </c>
      <c r="I76" s="260">
        <f>Dat_02!G75</f>
        <v>0</v>
      </c>
      <c r="J76" s="272" t="str">
        <f>IF(Dat_02!H75=0,"",Dat_02!H75)</f>
        <v/>
      </c>
    </row>
    <row r="77" spans="2:10">
      <c r="B77" s="256"/>
      <c r="C77" s="257" t="s">
        <v>247</v>
      </c>
      <c r="D77" s="256"/>
      <c r="E77" s="259">
        <f>Dat_02!C76</f>
        <v>32.685722826027103</v>
      </c>
      <c r="F77" s="259">
        <f>Dat_02!D76</f>
        <v>16.99706947525484</v>
      </c>
      <c r="G77" s="259">
        <f>Dat_02!E76</f>
        <v>16.99706947525484</v>
      </c>
      <c r="I77" s="260">
        <f>Dat_02!G76</f>
        <v>0</v>
      </c>
      <c r="J77" s="272" t="str">
        <f>IF(Dat_02!H76=0,"",Dat_02!H76)</f>
        <v/>
      </c>
    </row>
    <row r="78" spans="2:10">
      <c r="B78" s="256"/>
      <c r="C78" s="257" t="s">
        <v>248</v>
      </c>
      <c r="D78" s="256"/>
      <c r="E78" s="259">
        <f>Dat_02!C77</f>
        <v>29.523825512027098</v>
      </c>
      <c r="F78" s="259">
        <f>Dat_02!D77</f>
        <v>16.99706947525484</v>
      </c>
      <c r="G78" s="259">
        <f>Dat_02!E77</f>
        <v>16.99706947525484</v>
      </c>
      <c r="I78" s="260">
        <f>Dat_02!G77</f>
        <v>0</v>
      </c>
      <c r="J78" s="272" t="str">
        <f>IF(Dat_02!H77=0,"",Dat_02!H77)</f>
        <v/>
      </c>
    </row>
    <row r="79" spans="2:10">
      <c r="B79" s="256"/>
      <c r="C79" s="257" t="s">
        <v>249</v>
      </c>
      <c r="D79" s="256"/>
      <c r="E79" s="259">
        <f>Dat_02!C78</f>
        <v>26.665017136181465</v>
      </c>
      <c r="F79" s="259">
        <f>Dat_02!D78</f>
        <v>16.99706947525484</v>
      </c>
      <c r="G79" s="259">
        <f>Dat_02!E78</f>
        <v>16.99706947525484</v>
      </c>
      <c r="I79" s="260">
        <f>Dat_02!G78</f>
        <v>16.99706947525484</v>
      </c>
      <c r="J79" s="272" t="str">
        <f>IF(Dat_02!H78=0,"",Dat_02!H78)</f>
        <v/>
      </c>
    </row>
    <row r="80" spans="2:10">
      <c r="B80" s="256"/>
      <c r="C80" s="257" t="s">
        <v>250</v>
      </c>
      <c r="D80" s="256"/>
      <c r="E80" s="259">
        <f>Dat_02!C79</f>
        <v>34.922528152181464</v>
      </c>
      <c r="F80" s="259">
        <f>Dat_02!D79</f>
        <v>16.99706947525484</v>
      </c>
      <c r="G80" s="259">
        <f>Dat_02!E79</f>
        <v>16.99706947525484</v>
      </c>
      <c r="I80" s="260">
        <f>Dat_02!G79</f>
        <v>0</v>
      </c>
      <c r="J80" s="272" t="str">
        <f>IF(Dat_02!H79=0,"",Dat_02!H79)</f>
        <v/>
      </c>
    </row>
    <row r="81" spans="2:10">
      <c r="B81" s="256"/>
      <c r="C81" s="257" t="s">
        <v>251</v>
      </c>
      <c r="D81" s="256"/>
      <c r="E81" s="259">
        <f>Dat_02!C80</f>
        <v>20.846139648181467</v>
      </c>
      <c r="F81" s="259">
        <f>Dat_02!D80</f>
        <v>16.99706947525484</v>
      </c>
      <c r="G81" s="259">
        <f>Dat_02!E80</f>
        <v>16.99706947525484</v>
      </c>
      <c r="I81" s="260">
        <f>Dat_02!G80</f>
        <v>0</v>
      </c>
      <c r="J81" s="272" t="str">
        <f>IF(Dat_02!H80=0,"",Dat_02!H80)</f>
        <v/>
      </c>
    </row>
    <row r="82" spans="2:10">
      <c r="B82" s="256"/>
      <c r="C82" s="257" t="s">
        <v>252</v>
      </c>
      <c r="D82" s="256"/>
      <c r="E82" s="259">
        <f>Dat_02!C81</f>
        <v>22.256766180181469</v>
      </c>
      <c r="F82" s="259">
        <f>Dat_02!D81</f>
        <v>16.99706947525484</v>
      </c>
      <c r="G82" s="259">
        <f>Dat_02!E81</f>
        <v>16.99706947525484</v>
      </c>
      <c r="I82" s="260">
        <f>Dat_02!G81</f>
        <v>0</v>
      </c>
      <c r="J82" s="272" t="str">
        <f>IF(Dat_02!H81=0,"",Dat_02!H81)</f>
        <v/>
      </c>
    </row>
    <row r="83" spans="2:10">
      <c r="B83" s="256"/>
      <c r="C83" s="257" t="s">
        <v>253</v>
      </c>
      <c r="D83" s="256"/>
      <c r="E83" s="259">
        <f>Dat_02!C82</f>
        <v>21.563551994183335</v>
      </c>
      <c r="F83" s="259">
        <f>Dat_02!D82</f>
        <v>16.99706947525484</v>
      </c>
      <c r="G83" s="259">
        <f>Dat_02!E82</f>
        <v>16.99706947525484</v>
      </c>
      <c r="I83" s="260">
        <f>Dat_02!G82</f>
        <v>0</v>
      </c>
      <c r="J83" s="272" t="str">
        <f>IF(Dat_02!H82=0,"",Dat_02!H82)</f>
        <v/>
      </c>
    </row>
    <row r="84" spans="2:10">
      <c r="B84" s="256"/>
      <c r="C84" s="257" t="s">
        <v>254</v>
      </c>
      <c r="D84" s="256"/>
      <c r="E84" s="259">
        <f>Dat_02!C83</f>
        <v>52.050600474181472</v>
      </c>
      <c r="F84" s="259">
        <f>Dat_02!D83</f>
        <v>16.99706947525484</v>
      </c>
      <c r="G84" s="259">
        <f>Dat_02!E83</f>
        <v>16.99706947525484</v>
      </c>
      <c r="I84" s="260">
        <f>Dat_02!G83</f>
        <v>0</v>
      </c>
      <c r="J84" s="272" t="str">
        <f>IF(Dat_02!H83=0,"",Dat_02!H83)</f>
        <v/>
      </c>
    </row>
    <row r="85" spans="2:10">
      <c r="B85" s="256"/>
      <c r="C85" s="257" t="s">
        <v>255</v>
      </c>
      <c r="D85" s="256"/>
      <c r="E85" s="259">
        <f>Dat_02!C84</f>
        <v>49.617254990181465</v>
      </c>
      <c r="F85" s="259">
        <f>Dat_02!D84</f>
        <v>16.99706947525484</v>
      </c>
      <c r="G85" s="259">
        <f>Dat_02!E84</f>
        <v>16.99706947525484</v>
      </c>
      <c r="I85" s="260">
        <f>Dat_02!G84</f>
        <v>0</v>
      </c>
      <c r="J85" s="272" t="str">
        <f>IF(Dat_02!H84=0,"",Dat_02!H84)</f>
        <v/>
      </c>
    </row>
    <row r="86" spans="2:10">
      <c r="B86" s="256"/>
      <c r="C86" s="257" t="s">
        <v>256</v>
      </c>
      <c r="D86" s="256"/>
      <c r="E86" s="259">
        <f>Dat_02!C85</f>
        <v>47.518441093241606</v>
      </c>
      <c r="F86" s="259">
        <f>Dat_02!D85</f>
        <v>16.99706947525484</v>
      </c>
      <c r="G86" s="259">
        <f>Dat_02!E85</f>
        <v>16.99706947525484</v>
      </c>
      <c r="I86" s="260">
        <f>Dat_02!G85</f>
        <v>0</v>
      </c>
      <c r="J86" s="272" t="str">
        <f>IF(Dat_02!H85=0,"",Dat_02!H85)</f>
        <v/>
      </c>
    </row>
    <row r="87" spans="2:10">
      <c r="B87" s="256"/>
      <c r="C87" s="257" t="s">
        <v>257</v>
      </c>
      <c r="D87" s="256"/>
      <c r="E87" s="259">
        <f>Dat_02!C86</f>
        <v>48.319693417243471</v>
      </c>
      <c r="F87" s="259">
        <f>Dat_02!D86</f>
        <v>16.99706947525484</v>
      </c>
      <c r="G87" s="259">
        <f>Dat_02!E86</f>
        <v>16.99706947525484</v>
      </c>
      <c r="I87" s="260">
        <f>Dat_02!G86</f>
        <v>0</v>
      </c>
      <c r="J87" s="272" t="str">
        <f>IF(Dat_02!H86=0,"",Dat_02!H86)</f>
        <v/>
      </c>
    </row>
    <row r="88" spans="2:10">
      <c r="B88" s="256"/>
      <c r="C88" s="257" t="s">
        <v>258</v>
      </c>
      <c r="D88" s="256"/>
      <c r="E88" s="259">
        <f>Dat_02!C87</f>
        <v>30.097564563243466</v>
      </c>
      <c r="F88" s="259">
        <f>Dat_02!D87</f>
        <v>16.99706947525484</v>
      </c>
      <c r="G88" s="259">
        <f>Dat_02!E87</f>
        <v>16.99706947525484</v>
      </c>
      <c r="I88" s="260">
        <f>Dat_02!G87</f>
        <v>0</v>
      </c>
      <c r="J88" s="272" t="str">
        <f>IF(Dat_02!H87=0,"",Dat_02!H87)</f>
        <v/>
      </c>
    </row>
    <row r="89" spans="2:10">
      <c r="B89" s="256"/>
      <c r="C89" s="257" t="s">
        <v>259</v>
      </c>
      <c r="D89" s="256"/>
      <c r="E89" s="259">
        <f>Dat_02!C88</f>
        <v>11.081069043241602</v>
      </c>
      <c r="F89" s="259">
        <f>Dat_02!D88</f>
        <v>16.99706947525484</v>
      </c>
      <c r="G89" s="259">
        <f>Dat_02!E88</f>
        <v>11.081069043241602</v>
      </c>
      <c r="I89" s="260">
        <f>Dat_02!G88</f>
        <v>0</v>
      </c>
      <c r="J89" s="272" t="str">
        <f>IF(Dat_02!H88=0,"",Dat_02!H88)</f>
        <v/>
      </c>
    </row>
    <row r="90" spans="2:10">
      <c r="B90" s="256"/>
      <c r="C90" s="257" t="s">
        <v>260</v>
      </c>
      <c r="D90" s="256"/>
      <c r="E90" s="259">
        <f>Dat_02!C89</f>
        <v>13.516125849243464</v>
      </c>
      <c r="F90" s="259">
        <f>Dat_02!D89</f>
        <v>16.99706947525484</v>
      </c>
      <c r="G90" s="259">
        <f>Dat_02!E89</f>
        <v>13.516125849243464</v>
      </c>
      <c r="I90" s="260">
        <f>Dat_02!G89</f>
        <v>0</v>
      </c>
      <c r="J90" s="272" t="str">
        <f>IF(Dat_02!H89=0,"",Dat_02!H89)</f>
        <v/>
      </c>
    </row>
    <row r="91" spans="2:10">
      <c r="B91" s="256"/>
      <c r="C91" s="257" t="s">
        <v>261</v>
      </c>
      <c r="D91" s="256"/>
      <c r="E91" s="259">
        <f>Dat_02!C90</f>
        <v>46.489331559243467</v>
      </c>
      <c r="F91" s="259">
        <f>Dat_02!D90</f>
        <v>16.99706947525484</v>
      </c>
      <c r="G91" s="259">
        <f>Dat_02!E90</f>
        <v>16.99706947525484</v>
      </c>
      <c r="I91" s="260">
        <f>Dat_02!G90</f>
        <v>0</v>
      </c>
      <c r="J91" s="272" t="str">
        <f>IF(Dat_02!H90=0,"",Dat_02!H90)</f>
        <v/>
      </c>
    </row>
    <row r="92" spans="2:10">
      <c r="B92" s="256"/>
      <c r="C92" s="257" t="s">
        <v>262</v>
      </c>
      <c r="D92" s="256"/>
      <c r="E92" s="259">
        <f>Dat_02!C91</f>
        <v>40.751426009241605</v>
      </c>
      <c r="F92" s="259">
        <f>Dat_02!D91</f>
        <v>16.99706947525484</v>
      </c>
      <c r="G92" s="259">
        <f>Dat_02!E91</f>
        <v>16.99706947525484</v>
      </c>
      <c r="I92" s="260">
        <f>Dat_02!G91</f>
        <v>0</v>
      </c>
      <c r="J92" s="272" t="str">
        <f>IF(Dat_02!H91=0,"",Dat_02!H91)</f>
        <v/>
      </c>
    </row>
    <row r="93" spans="2:10">
      <c r="B93" s="256"/>
      <c r="C93" s="257" t="s">
        <v>263</v>
      </c>
      <c r="D93" s="256"/>
      <c r="E93" s="259">
        <f>Dat_02!C92</f>
        <v>34.861840490035739</v>
      </c>
      <c r="F93" s="259">
        <f>Dat_02!D92</f>
        <v>16.99706947525484</v>
      </c>
      <c r="G93" s="259">
        <f>Dat_02!E92</f>
        <v>16.99706947525484</v>
      </c>
      <c r="I93" s="260">
        <f>Dat_02!G92</f>
        <v>0</v>
      </c>
      <c r="J93" s="272" t="str">
        <f>IF(Dat_02!H92=0,"",Dat_02!H92)</f>
        <v/>
      </c>
    </row>
    <row r="94" spans="2:10">
      <c r="B94" s="256"/>
      <c r="C94" s="257" t="s">
        <v>264</v>
      </c>
      <c r="D94" s="256"/>
      <c r="E94" s="259">
        <f>Dat_02!C93</f>
        <v>43.86060615203575</v>
      </c>
      <c r="F94" s="259">
        <f>Dat_02!D93</f>
        <v>16.99706947525484</v>
      </c>
      <c r="G94" s="259">
        <f>Dat_02!E93</f>
        <v>16.99706947525484</v>
      </c>
      <c r="I94" s="260">
        <f>Dat_02!G93</f>
        <v>0</v>
      </c>
      <c r="J94" s="272" t="str">
        <f>IF(Dat_02!H93=0,"",Dat_02!H93)</f>
        <v/>
      </c>
    </row>
    <row r="95" spans="2:10">
      <c r="B95" s="258"/>
      <c r="C95" s="263" t="s">
        <v>265</v>
      </c>
      <c r="D95" s="258"/>
      <c r="E95" s="259">
        <f>Dat_02!C94</f>
        <v>28.653423582033881</v>
      </c>
      <c r="F95" s="259">
        <f>Dat_02!D94</f>
        <v>16.99706947525484</v>
      </c>
      <c r="G95" s="259">
        <f>Dat_02!E94</f>
        <v>16.99706947525484</v>
      </c>
      <c r="I95" s="260">
        <f>Dat_02!G94</f>
        <v>0</v>
      </c>
      <c r="J95" s="272" t="str">
        <f>IF(Dat_02!H94=0,"",Dat_02!H94)</f>
        <v/>
      </c>
    </row>
    <row r="96" spans="2:10">
      <c r="B96" s="256" t="s">
        <v>266</v>
      </c>
      <c r="C96" s="257" t="s">
        <v>267</v>
      </c>
      <c r="D96" s="258"/>
      <c r="E96" s="259">
        <f>Dat_02!C95</f>
        <v>16.29434298203574</v>
      </c>
      <c r="F96" s="259">
        <f>Dat_02!D95</f>
        <v>22.743378673520009</v>
      </c>
      <c r="G96" s="259">
        <f>Dat_02!E95</f>
        <v>16.29434298203574</v>
      </c>
      <c r="I96" s="260">
        <f>Dat_02!G95</f>
        <v>0</v>
      </c>
      <c r="J96" s="272" t="str">
        <f>IF(Dat_02!H95=0,"",Dat_02!H95)</f>
        <v/>
      </c>
    </row>
    <row r="97" spans="2:10">
      <c r="B97" s="258"/>
      <c r="C97" s="257" t="s">
        <v>268</v>
      </c>
      <c r="D97" s="258"/>
      <c r="E97" s="259">
        <f>Dat_02!C96</f>
        <v>28.816637316035738</v>
      </c>
      <c r="F97" s="259">
        <f>Dat_02!D96</f>
        <v>22.743378673520009</v>
      </c>
      <c r="G97" s="259">
        <f>Dat_02!E96</f>
        <v>22.743378673520009</v>
      </c>
      <c r="I97" s="260">
        <f>Dat_02!G96</f>
        <v>0</v>
      </c>
      <c r="J97" s="272" t="str">
        <f>IF(Dat_02!H96=0,"",Dat_02!H96)</f>
        <v/>
      </c>
    </row>
    <row r="98" spans="2:10">
      <c r="B98" s="256"/>
      <c r="C98" s="257" t="s">
        <v>269</v>
      </c>
      <c r="D98" s="256"/>
      <c r="E98" s="259">
        <f>Dat_02!C97</f>
        <v>39.483834496035733</v>
      </c>
      <c r="F98" s="259">
        <f>Dat_02!D97</f>
        <v>22.743378673520009</v>
      </c>
      <c r="G98" s="259">
        <f>Dat_02!E97</f>
        <v>22.743378673520009</v>
      </c>
      <c r="I98" s="260">
        <f>Dat_02!G97</f>
        <v>0</v>
      </c>
      <c r="J98" s="272" t="str">
        <f>IF(Dat_02!H97=0,"",Dat_02!H97)</f>
        <v/>
      </c>
    </row>
    <row r="99" spans="2:10">
      <c r="B99" s="256"/>
      <c r="C99" s="257" t="s">
        <v>270</v>
      </c>
      <c r="D99" s="256"/>
      <c r="E99" s="259">
        <f>Dat_02!C98</f>
        <v>33.96026485803575</v>
      </c>
      <c r="F99" s="259">
        <f>Dat_02!D98</f>
        <v>22.743378673520009</v>
      </c>
      <c r="G99" s="259">
        <f>Dat_02!E98</f>
        <v>22.743378673520009</v>
      </c>
      <c r="I99" s="260">
        <f>Dat_02!G98</f>
        <v>0</v>
      </c>
      <c r="J99" s="272" t="str">
        <f>IF(Dat_02!H98=0,"",Dat_02!H98)</f>
        <v/>
      </c>
    </row>
    <row r="100" spans="2:10">
      <c r="B100" s="256"/>
      <c r="C100" s="257" t="s">
        <v>271</v>
      </c>
      <c r="D100" s="256"/>
      <c r="E100" s="259">
        <f>Dat_02!C99</f>
        <v>37.351048555248447</v>
      </c>
      <c r="F100" s="259">
        <f>Dat_02!D99</f>
        <v>22.743378673520009</v>
      </c>
      <c r="G100" s="259">
        <f>Dat_02!E99</f>
        <v>22.743378673520009</v>
      </c>
      <c r="I100" s="260">
        <f>Dat_02!G99</f>
        <v>0</v>
      </c>
      <c r="J100" s="272" t="str">
        <f>IF(Dat_02!H99=0,"",Dat_02!H99)</f>
        <v/>
      </c>
    </row>
    <row r="101" spans="2:10">
      <c r="B101" s="256"/>
      <c r="C101" s="257" t="s">
        <v>272</v>
      </c>
      <c r="D101" s="256"/>
      <c r="E101" s="259">
        <f>Dat_02!C100</f>
        <v>26.664488277248456</v>
      </c>
      <c r="F101" s="259">
        <f>Dat_02!D100</f>
        <v>22.743378673520009</v>
      </c>
      <c r="G101" s="259">
        <f>Dat_02!E100</f>
        <v>22.743378673520009</v>
      </c>
      <c r="I101" s="260">
        <f>Dat_02!G100</f>
        <v>0</v>
      </c>
      <c r="J101" s="272" t="str">
        <f>IF(Dat_02!H100=0,"",Dat_02!H100)</f>
        <v/>
      </c>
    </row>
    <row r="102" spans="2:10">
      <c r="B102" s="256"/>
      <c r="C102" s="257" t="s">
        <v>273</v>
      </c>
      <c r="D102" s="256"/>
      <c r="E102" s="259">
        <f>Dat_02!C101</f>
        <v>24.865991769250314</v>
      </c>
      <c r="F102" s="259">
        <f>Dat_02!D101</f>
        <v>22.743378673520009</v>
      </c>
      <c r="G102" s="259">
        <f>Dat_02!E101</f>
        <v>22.743378673520009</v>
      </c>
      <c r="I102" s="260">
        <f>Dat_02!G101</f>
        <v>0</v>
      </c>
      <c r="J102" s="272" t="str">
        <f>IF(Dat_02!H101=0,"",Dat_02!H101)</f>
        <v/>
      </c>
    </row>
    <row r="103" spans="2:10">
      <c r="B103" s="256"/>
      <c r="C103" s="257" t="s">
        <v>274</v>
      </c>
      <c r="D103" s="256"/>
      <c r="E103" s="259">
        <f>Dat_02!C102</f>
        <v>29.210810431248451</v>
      </c>
      <c r="F103" s="259">
        <f>Dat_02!D102</f>
        <v>22.743378673520009</v>
      </c>
      <c r="G103" s="259">
        <f>Dat_02!E102</f>
        <v>22.743378673520009</v>
      </c>
      <c r="I103" s="260">
        <f>Dat_02!G102</f>
        <v>0</v>
      </c>
      <c r="J103" s="272" t="str">
        <f>IF(Dat_02!H102=0,"",Dat_02!H102)</f>
        <v/>
      </c>
    </row>
    <row r="104" spans="2:10">
      <c r="B104" s="256"/>
      <c r="C104" s="257" t="s">
        <v>275</v>
      </c>
      <c r="D104" s="256"/>
      <c r="E104" s="259">
        <f>Dat_02!C103</f>
        <v>19.46127643524845</v>
      </c>
      <c r="F104" s="259">
        <f>Dat_02!D103</f>
        <v>22.743378673520009</v>
      </c>
      <c r="G104" s="259">
        <f>Dat_02!E103</f>
        <v>19.46127643524845</v>
      </c>
      <c r="I104" s="260">
        <f>Dat_02!G103</f>
        <v>0</v>
      </c>
      <c r="J104" s="272" t="str">
        <f>IF(Dat_02!H103=0,"",Dat_02!H103)</f>
        <v/>
      </c>
    </row>
    <row r="105" spans="2:10">
      <c r="B105" s="256"/>
      <c r="C105" s="257" t="s">
        <v>276</v>
      </c>
      <c r="D105" s="256"/>
      <c r="E105" s="259">
        <f>Dat_02!C104</f>
        <v>34.97555358325031</v>
      </c>
      <c r="F105" s="259">
        <f>Dat_02!D104</f>
        <v>22.743378673520009</v>
      </c>
      <c r="G105" s="259">
        <f>Dat_02!E104</f>
        <v>22.743378673520009</v>
      </c>
      <c r="I105" s="260">
        <f>Dat_02!G104</f>
        <v>0</v>
      </c>
      <c r="J105" s="272" t="str">
        <f>IF(Dat_02!H104=0,"",Dat_02!H104)</f>
        <v/>
      </c>
    </row>
    <row r="106" spans="2:10">
      <c r="B106" s="256"/>
      <c r="C106" s="257" t="s">
        <v>277</v>
      </c>
      <c r="D106" s="256"/>
      <c r="E106" s="259">
        <f>Dat_02!C105</f>
        <v>52.272047133248456</v>
      </c>
      <c r="F106" s="259">
        <f>Dat_02!D105</f>
        <v>22.743378673520009</v>
      </c>
      <c r="G106" s="259">
        <f>Dat_02!E105</f>
        <v>22.743378673520009</v>
      </c>
      <c r="I106" s="260">
        <f>Dat_02!G105</f>
        <v>0</v>
      </c>
      <c r="J106" s="272" t="str">
        <f>IF(Dat_02!H105=0,"",Dat_02!H105)</f>
        <v/>
      </c>
    </row>
    <row r="107" spans="2:10">
      <c r="B107" s="256"/>
      <c r="C107" s="257" t="s">
        <v>278</v>
      </c>
      <c r="D107" s="256"/>
      <c r="E107" s="259">
        <f>Dat_02!C106</f>
        <v>55.017085317802554</v>
      </c>
      <c r="F107" s="259">
        <f>Dat_02!D106</f>
        <v>22.743378673520009</v>
      </c>
      <c r="G107" s="259">
        <f>Dat_02!E106</f>
        <v>22.743378673520009</v>
      </c>
      <c r="I107" s="260">
        <f>Dat_02!G106</f>
        <v>0</v>
      </c>
      <c r="J107" s="272" t="str">
        <f>IF(Dat_02!H106=0,"",Dat_02!H106)</f>
        <v/>
      </c>
    </row>
    <row r="108" spans="2:10">
      <c r="B108" s="256"/>
      <c r="C108" s="257" t="s">
        <v>279</v>
      </c>
      <c r="D108" s="256"/>
      <c r="E108" s="259">
        <f>Dat_02!C107</f>
        <v>51.866999353802548</v>
      </c>
      <c r="F108" s="259">
        <f>Dat_02!D107</f>
        <v>22.743378673520009</v>
      </c>
      <c r="G108" s="259">
        <f>Dat_02!E107</f>
        <v>22.743378673520009</v>
      </c>
      <c r="I108" s="260">
        <f>Dat_02!G107</f>
        <v>0</v>
      </c>
      <c r="J108" s="272" t="str">
        <f>IF(Dat_02!H107=0,"",Dat_02!H107)</f>
        <v/>
      </c>
    </row>
    <row r="109" spans="2:10">
      <c r="B109" s="256"/>
      <c r="C109" s="257" t="s">
        <v>280</v>
      </c>
      <c r="D109" s="256"/>
      <c r="E109" s="259">
        <f>Dat_02!C108</f>
        <v>36.70443928780255</v>
      </c>
      <c r="F109" s="259">
        <f>Dat_02!D108</f>
        <v>22.743378673520009</v>
      </c>
      <c r="G109" s="259">
        <f>Dat_02!E108</f>
        <v>22.743378673520009</v>
      </c>
      <c r="I109" s="260">
        <f>Dat_02!G108</f>
        <v>0</v>
      </c>
      <c r="J109" s="272" t="str">
        <f>IF(Dat_02!H108=0,"",Dat_02!H108)</f>
        <v/>
      </c>
    </row>
    <row r="110" spans="2:10">
      <c r="B110" s="256"/>
      <c r="C110" s="257" t="s">
        <v>281</v>
      </c>
      <c r="D110" s="256"/>
      <c r="E110" s="259">
        <f>Dat_02!C109</f>
        <v>15.317967983802555</v>
      </c>
      <c r="F110" s="259">
        <f>Dat_02!D109</f>
        <v>22.743378673520009</v>
      </c>
      <c r="G110" s="259">
        <f>Dat_02!E109</f>
        <v>15.317967983802555</v>
      </c>
      <c r="I110" s="260">
        <f>Dat_02!G109</f>
        <v>22.743378673520009</v>
      </c>
      <c r="J110" s="272" t="str">
        <f>IF(Dat_02!H109=0,"",Dat_02!H109)</f>
        <v/>
      </c>
    </row>
    <row r="111" spans="2:10">
      <c r="B111" s="256"/>
      <c r="C111" s="257" t="s">
        <v>282</v>
      </c>
      <c r="D111" s="256"/>
      <c r="E111" s="259">
        <f>Dat_02!C110</f>
        <v>8.5635028258025478</v>
      </c>
      <c r="F111" s="259">
        <f>Dat_02!D110</f>
        <v>22.743378673520009</v>
      </c>
      <c r="G111" s="259">
        <f>Dat_02!E110</f>
        <v>8.5635028258025478</v>
      </c>
      <c r="I111" s="260">
        <f>Dat_02!G110</f>
        <v>0</v>
      </c>
      <c r="J111" s="272" t="str">
        <f>IF(Dat_02!H110=0,"",Dat_02!H110)</f>
        <v/>
      </c>
    </row>
    <row r="112" spans="2:10">
      <c r="B112" s="256"/>
      <c r="C112" s="257" t="s">
        <v>283</v>
      </c>
      <c r="D112" s="256"/>
      <c r="E112" s="259">
        <f>Dat_02!C111</f>
        <v>14.357926075802549</v>
      </c>
      <c r="F112" s="259">
        <f>Dat_02!D111</f>
        <v>22.743378673520009</v>
      </c>
      <c r="G112" s="259">
        <f>Dat_02!E111</f>
        <v>14.357926075802549</v>
      </c>
      <c r="I112" s="260">
        <f>Dat_02!G111</f>
        <v>0</v>
      </c>
      <c r="J112" s="272" t="str">
        <f>IF(Dat_02!H111=0,"",Dat_02!H111)</f>
        <v/>
      </c>
    </row>
    <row r="113" spans="2:10">
      <c r="B113" s="256"/>
      <c r="C113" s="257" t="s">
        <v>284</v>
      </c>
      <c r="D113" s="256"/>
      <c r="E113" s="259">
        <f>Dat_02!C112</f>
        <v>28.287417725802545</v>
      </c>
      <c r="F113" s="259">
        <f>Dat_02!D112</f>
        <v>22.743378673520009</v>
      </c>
      <c r="G113" s="259">
        <f>Dat_02!E112</f>
        <v>22.743378673520009</v>
      </c>
      <c r="I113" s="260">
        <f>Dat_02!G112</f>
        <v>0</v>
      </c>
      <c r="J113" s="272" t="str">
        <f>IF(Dat_02!H112=0,"",Dat_02!H112)</f>
        <v/>
      </c>
    </row>
    <row r="114" spans="2:10">
      <c r="B114" s="256"/>
      <c r="C114" s="257" t="s">
        <v>285</v>
      </c>
      <c r="D114" s="256"/>
      <c r="E114" s="259">
        <f>Dat_02!C113</f>
        <v>52.46800354169644</v>
      </c>
      <c r="F114" s="259">
        <f>Dat_02!D113</f>
        <v>22.743378673520009</v>
      </c>
      <c r="G114" s="259">
        <f>Dat_02!E113</f>
        <v>22.743378673520009</v>
      </c>
      <c r="I114" s="260">
        <f>Dat_02!G113</f>
        <v>0</v>
      </c>
      <c r="J114" s="272" t="str">
        <f>IF(Dat_02!H113=0,"",Dat_02!H113)</f>
        <v/>
      </c>
    </row>
    <row r="115" spans="2:10">
      <c r="B115" s="256"/>
      <c r="C115" s="257" t="s">
        <v>286</v>
      </c>
      <c r="D115" s="256"/>
      <c r="E115" s="259">
        <f>Dat_02!C114</f>
        <v>48.679917139698297</v>
      </c>
      <c r="F115" s="259">
        <f>Dat_02!D114</f>
        <v>22.743378673520009</v>
      </c>
      <c r="G115" s="259">
        <f>Dat_02!E114</f>
        <v>22.743378673520009</v>
      </c>
      <c r="I115" s="260">
        <f>Dat_02!G114</f>
        <v>0</v>
      </c>
      <c r="J115" s="272" t="str">
        <f>IF(Dat_02!H114=0,"",Dat_02!H114)</f>
        <v/>
      </c>
    </row>
    <row r="116" spans="2:10">
      <c r="B116" s="256"/>
      <c r="C116" s="257" t="s">
        <v>287</v>
      </c>
      <c r="D116" s="256"/>
      <c r="E116" s="259">
        <f>Dat_02!C115</f>
        <v>41.435194311696442</v>
      </c>
      <c r="F116" s="259">
        <f>Dat_02!D115</f>
        <v>22.743378673520009</v>
      </c>
      <c r="G116" s="259">
        <f>Dat_02!E115</f>
        <v>22.743378673520009</v>
      </c>
      <c r="I116" s="260">
        <f>Dat_02!G115</f>
        <v>0</v>
      </c>
      <c r="J116" s="272" t="str">
        <f>IF(Dat_02!H115=0,"",Dat_02!H115)</f>
        <v/>
      </c>
    </row>
    <row r="117" spans="2:10">
      <c r="B117" s="256"/>
      <c r="C117" s="257" t="s">
        <v>288</v>
      </c>
      <c r="D117" s="256"/>
      <c r="E117" s="259">
        <f>Dat_02!C116</f>
        <v>15.697499941696435</v>
      </c>
      <c r="F117" s="259">
        <f>Dat_02!D116</f>
        <v>22.743378673520009</v>
      </c>
      <c r="G117" s="259">
        <f>Dat_02!E116</f>
        <v>15.697499941696435</v>
      </c>
      <c r="I117" s="260">
        <f>Dat_02!G116</f>
        <v>0</v>
      </c>
      <c r="J117" s="272" t="str">
        <f>IF(Dat_02!H116=0,"",Dat_02!H116)</f>
        <v/>
      </c>
    </row>
    <row r="118" spans="2:10">
      <c r="B118" s="256"/>
      <c r="C118" s="257" t="s">
        <v>289</v>
      </c>
      <c r="D118" s="256"/>
      <c r="E118" s="259">
        <f>Dat_02!C117</f>
        <v>5.7475459036983008</v>
      </c>
      <c r="F118" s="259">
        <f>Dat_02!D117</f>
        <v>22.743378673520009</v>
      </c>
      <c r="G118" s="259">
        <f>Dat_02!E117</f>
        <v>5.7475459036983008</v>
      </c>
      <c r="I118" s="260">
        <f>Dat_02!G117</f>
        <v>0</v>
      </c>
      <c r="J118" s="272" t="str">
        <f>IF(Dat_02!H117=0,"",Dat_02!H117)</f>
        <v/>
      </c>
    </row>
    <row r="119" spans="2:10">
      <c r="B119" s="256"/>
      <c r="C119" s="257" t="s">
        <v>290</v>
      </c>
      <c r="D119" s="256"/>
      <c r="E119" s="259">
        <f>Dat_02!C118</f>
        <v>18.110724911696437</v>
      </c>
      <c r="F119" s="259">
        <f>Dat_02!D118</f>
        <v>22.743378673520009</v>
      </c>
      <c r="G119" s="259">
        <f>Dat_02!E118</f>
        <v>18.110724911696437</v>
      </c>
      <c r="I119" s="260">
        <f>Dat_02!G118</f>
        <v>0</v>
      </c>
      <c r="J119" s="272" t="str">
        <f>IF(Dat_02!H118=0,"",Dat_02!H118)</f>
        <v/>
      </c>
    </row>
    <row r="120" spans="2:10">
      <c r="B120" s="256"/>
      <c r="C120" s="257" t="s">
        <v>291</v>
      </c>
      <c r="D120" s="256"/>
      <c r="E120" s="259">
        <f>Dat_02!C119</f>
        <v>18.962033891696432</v>
      </c>
      <c r="F120" s="259">
        <f>Dat_02!D119</f>
        <v>22.743378673520009</v>
      </c>
      <c r="G120" s="259">
        <f>Dat_02!E119</f>
        <v>18.962033891696432</v>
      </c>
      <c r="I120" s="260">
        <f>Dat_02!G119</f>
        <v>0</v>
      </c>
      <c r="J120" s="272" t="str">
        <f>IF(Dat_02!H119=0,"",Dat_02!H119)</f>
        <v/>
      </c>
    </row>
    <row r="121" spans="2:10">
      <c r="B121" s="256"/>
      <c r="C121" s="257" t="s">
        <v>292</v>
      </c>
      <c r="D121" s="256"/>
      <c r="E121" s="259">
        <f>Dat_02!C120</f>
        <v>10.506583021213366</v>
      </c>
      <c r="F121" s="259">
        <f>Dat_02!D120</f>
        <v>22.743378673520009</v>
      </c>
      <c r="G121" s="259">
        <f>Dat_02!E120</f>
        <v>10.506583021213366</v>
      </c>
      <c r="I121" s="260">
        <f>Dat_02!G120</f>
        <v>0</v>
      </c>
      <c r="J121" s="272" t="str">
        <f>IF(Dat_02!H120=0,"",Dat_02!H120)</f>
        <v/>
      </c>
    </row>
    <row r="122" spans="2:10">
      <c r="B122" s="256"/>
      <c r="C122" s="257" t="s">
        <v>293</v>
      </c>
      <c r="D122" s="256"/>
      <c r="E122" s="259">
        <f>Dat_02!C121</f>
        <v>10.024327815213372</v>
      </c>
      <c r="F122" s="259">
        <f>Dat_02!D121</f>
        <v>22.743378673520009</v>
      </c>
      <c r="G122" s="259">
        <f>Dat_02!E121</f>
        <v>10.024327815213372</v>
      </c>
      <c r="I122" s="260">
        <f>Dat_02!G121</f>
        <v>0</v>
      </c>
      <c r="J122" s="272" t="str">
        <f>IF(Dat_02!H121=0,"",Dat_02!H121)</f>
        <v/>
      </c>
    </row>
    <row r="123" spans="2:10">
      <c r="B123" s="256"/>
      <c r="C123" s="257" t="s">
        <v>294</v>
      </c>
      <c r="D123" s="256"/>
      <c r="E123" s="259">
        <f>Dat_02!C122</f>
        <v>10.118638751212435</v>
      </c>
      <c r="F123" s="259">
        <f>Dat_02!D122</f>
        <v>22.743378673520009</v>
      </c>
      <c r="G123" s="259">
        <f>Dat_02!E122</f>
        <v>10.118638751212435</v>
      </c>
      <c r="I123" s="260">
        <f>Dat_02!G122</f>
        <v>0</v>
      </c>
      <c r="J123" s="272" t="str">
        <f>IF(Dat_02!H122=0,"",Dat_02!H122)</f>
        <v/>
      </c>
    </row>
    <row r="124" spans="2:10">
      <c r="B124" s="256"/>
      <c r="C124" s="257" t="s">
        <v>295</v>
      </c>
      <c r="D124" s="256"/>
      <c r="E124" s="259">
        <f>Dat_02!C123</f>
        <v>8.9131956272133692</v>
      </c>
      <c r="F124" s="259">
        <f>Dat_02!D123</f>
        <v>22.743378673520009</v>
      </c>
      <c r="G124" s="259">
        <f>Dat_02!E123</f>
        <v>8.9131956272133692</v>
      </c>
      <c r="I124" s="260">
        <f>Dat_02!G123</f>
        <v>0</v>
      </c>
      <c r="J124" s="272" t="str">
        <f>IF(Dat_02!H123=0,"",Dat_02!H123)</f>
        <v/>
      </c>
    </row>
    <row r="125" spans="2:10">
      <c r="B125" s="258"/>
      <c r="C125" s="263" t="s">
        <v>296</v>
      </c>
      <c r="D125" s="256"/>
      <c r="E125" s="259">
        <f>Dat_02!C124</f>
        <v>8.1930394632124379</v>
      </c>
      <c r="F125" s="259">
        <f>Dat_02!D124</f>
        <v>22.743378673520009</v>
      </c>
      <c r="G125" s="259">
        <f>Dat_02!E124</f>
        <v>8.1930394632124379</v>
      </c>
      <c r="I125" s="260">
        <f>Dat_02!G124</f>
        <v>0</v>
      </c>
      <c r="J125" s="272" t="str">
        <f>IF(Dat_02!H124=0,"",Dat_02!H124)</f>
        <v/>
      </c>
    </row>
    <row r="126" spans="2:10">
      <c r="B126" s="256" t="s">
        <v>297</v>
      </c>
      <c r="C126" s="257" t="s">
        <v>298</v>
      </c>
      <c r="D126" s="258"/>
      <c r="E126" s="259">
        <f>Dat_02!C125</f>
        <v>7.3986204952133701</v>
      </c>
      <c r="F126" s="259">
        <f>Dat_02!D125</f>
        <v>45.741764250654825</v>
      </c>
      <c r="G126" s="259">
        <f>Dat_02!E125</f>
        <v>7.3986204952133701</v>
      </c>
      <c r="I126" s="260">
        <f>Dat_02!G125</f>
        <v>0</v>
      </c>
      <c r="J126" s="272" t="str">
        <f>IF(Dat_02!H125=0,"",Dat_02!H125)</f>
        <v/>
      </c>
    </row>
    <row r="127" spans="2:10">
      <c r="B127" s="258"/>
      <c r="C127" s="257" t="s">
        <v>299</v>
      </c>
      <c r="D127" s="258"/>
      <c r="E127" s="259">
        <f>Dat_02!C126</f>
        <v>4.609804207212437</v>
      </c>
      <c r="F127" s="259">
        <f>Dat_02!D126</f>
        <v>45.741764250654825</v>
      </c>
      <c r="G127" s="259">
        <f>Dat_02!E126</f>
        <v>4.609804207212437</v>
      </c>
      <c r="I127" s="260">
        <f>Dat_02!G126</f>
        <v>0</v>
      </c>
      <c r="J127" s="272" t="str">
        <f>IF(Dat_02!H126=0,"",Dat_02!H126)</f>
        <v/>
      </c>
    </row>
    <row r="128" spans="2:10">
      <c r="B128" s="256"/>
      <c r="C128" s="257" t="s">
        <v>300</v>
      </c>
      <c r="D128" s="258"/>
      <c r="E128" s="259">
        <f>Dat_02!C127</f>
        <v>2.3887407607003261</v>
      </c>
      <c r="F128" s="259">
        <f>Dat_02!D127</f>
        <v>45.741764250654825</v>
      </c>
      <c r="G128" s="259">
        <f>Dat_02!E127</f>
        <v>2.3887407607003261</v>
      </c>
      <c r="I128" s="260">
        <f>Dat_02!G127</f>
        <v>0</v>
      </c>
      <c r="J128" s="272" t="str">
        <f>IF(Dat_02!H127=0,"",Dat_02!H127)</f>
        <v/>
      </c>
    </row>
    <row r="129" spans="2:10">
      <c r="B129" s="256"/>
      <c r="C129" s="257" t="s">
        <v>301</v>
      </c>
      <c r="D129" s="256"/>
      <c r="E129" s="259">
        <f>Dat_02!C128</f>
        <v>7.0064342647012596</v>
      </c>
      <c r="F129" s="259">
        <f>Dat_02!D128</f>
        <v>45.741764250654825</v>
      </c>
      <c r="G129" s="259">
        <f>Dat_02!E128</f>
        <v>7.0064342647012596</v>
      </c>
      <c r="I129" s="260">
        <f>Dat_02!G128</f>
        <v>0</v>
      </c>
      <c r="J129" s="272" t="str">
        <f>IF(Dat_02!H128=0,"",Dat_02!H128)</f>
        <v/>
      </c>
    </row>
    <row r="130" spans="2:10">
      <c r="B130" s="256"/>
      <c r="C130" s="257" t="s">
        <v>302</v>
      </c>
      <c r="D130" s="256"/>
      <c r="E130" s="259">
        <f>Dat_02!C129</f>
        <v>5.9097920727003297</v>
      </c>
      <c r="F130" s="259">
        <f>Dat_02!D129</f>
        <v>45.741764250654825</v>
      </c>
      <c r="G130" s="259">
        <f>Dat_02!E129</f>
        <v>5.9097920727003297</v>
      </c>
      <c r="I130" s="260">
        <f>Dat_02!G129</f>
        <v>0</v>
      </c>
      <c r="J130" s="272" t="str">
        <f>IF(Dat_02!H129=0,"",Dat_02!H129)</f>
        <v/>
      </c>
    </row>
    <row r="131" spans="2:10">
      <c r="B131" s="256"/>
      <c r="C131" s="257" t="s">
        <v>303</v>
      </c>
      <c r="D131" s="256"/>
      <c r="E131" s="259">
        <f>Dat_02!C130</f>
        <v>3.9427618527003285</v>
      </c>
      <c r="F131" s="259">
        <f>Dat_02!D130</f>
        <v>45.741764250654825</v>
      </c>
      <c r="G131" s="259">
        <f>Dat_02!E130</f>
        <v>3.9427618527003285</v>
      </c>
      <c r="I131" s="260">
        <f>Dat_02!G130</f>
        <v>0</v>
      </c>
      <c r="J131" s="272" t="str">
        <f>IF(Dat_02!H130=0,"",Dat_02!H130)</f>
        <v/>
      </c>
    </row>
    <row r="132" spans="2:10">
      <c r="B132" s="256"/>
      <c r="C132" s="257" t="s">
        <v>304</v>
      </c>
      <c r="D132" s="256"/>
      <c r="E132" s="259">
        <f>Dat_02!C131</f>
        <v>1.9604446107003277</v>
      </c>
      <c r="F132" s="259">
        <f>Dat_02!D131</f>
        <v>45.741764250654825</v>
      </c>
      <c r="G132" s="259">
        <f>Dat_02!E131</f>
        <v>1.9604446107003277</v>
      </c>
      <c r="I132" s="260">
        <f>Dat_02!G131</f>
        <v>0</v>
      </c>
      <c r="J132" s="272" t="str">
        <f>IF(Dat_02!H131=0,"",Dat_02!H131)</f>
        <v/>
      </c>
    </row>
    <row r="133" spans="2:10">
      <c r="B133" s="256"/>
      <c r="C133" s="257" t="s">
        <v>305</v>
      </c>
      <c r="D133" s="256"/>
      <c r="E133" s="259">
        <f>Dat_02!C132</f>
        <v>2.4853065447012632</v>
      </c>
      <c r="F133" s="259">
        <f>Dat_02!D132</f>
        <v>45.741764250654825</v>
      </c>
      <c r="G133" s="259">
        <f>Dat_02!E132</f>
        <v>2.4853065447012632</v>
      </c>
      <c r="I133" s="260">
        <f>Dat_02!G132</f>
        <v>0</v>
      </c>
      <c r="J133" s="272" t="str">
        <f>IF(Dat_02!H132=0,"",Dat_02!H132)</f>
        <v/>
      </c>
    </row>
    <row r="134" spans="2:10">
      <c r="B134" s="256"/>
      <c r="C134" s="257" t="s">
        <v>306</v>
      </c>
      <c r="D134" s="256"/>
      <c r="E134" s="259">
        <f>Dat_02!C133</f>
        <v>5.0754817527003322</v>
      </c>
      <c r="F134" s="259">
        <f>Dat_02!D133</f>
        <v>45.741764250654825</v>
      </c>
      <c r="G134" s="259">
        <f>Dat_02!E133</f>
        <v>5.0754817527003322</v>
      </c>
      <c r="I134" s="260">
        <f>Dat_02!G133</f>
        <v>0</v>
      </c>
      <c r="J134" s="272" t="str">
        <f>IF(Dat_02!H133=0,"",Dat_02!H133)</f>
        <v/>
      </c>
    </row>
    <row r="135" spans="2:10">
      <c r="B135" s="256"/>
      <c r="C135" s="257" t="s">
        <v>307</v>
      </c>
      <c r="D135" s="256"/>
      <c r="E135" s="259">
        <f>Dat_02!C134</f>
        <v>29.921168912888817</v>
      </c>
      <c r="F135" s="259">
        <f>Dat_02!D134</f>
        <v>45.741764250654825</v>
      </c>
      <c r="G135" s="259">
        <f>Dat_02!E134</f>
        <v>29.921168912888817</v>
      </c>
      <c r="I135" s="260">
        <f>Dat_02!G134</f>
        <v>0</v>
      </c>
      <c r="J135" s="272" t="str">
        <f>IF(Dat_02!H134=0,"",Dat_02!H134)</f>
        <v/>
      </c>
    </row>
    <row r="136" spans="2:10">
      <c r="B136" s="256"/>
      <c r="C136" s="257" t="s">
        <v>308</v>
      </c>
      <c r="D136" s="256"/>
      <c r="E136" s="259">
        <f>Dat_02!C135</f>
        <v>25.387030768888813</v>
      </c>
      <c r="F136" s="259">
        <f>Dat_02!D135</f>
        <v>45.741764250654825</v>
      </c>
      <c r="G136" s="259">
        <f>Dat_02!E135</f>
        <v>25.387030768888813</v>
      </c>
      <c r="I136" s="260">
        <f>Dat_02!G135</f>
        <v>0</v>
      </c>
      <c r="J136" s="272" t="str">
        <f>IF(Dat_02!H135=0,"",Dat_02!H135)</f>
        <v/>
      </c>
    </row>
    <row r="137" spans="2:10">
      <c r="B137" s="256"/>
      <c r="C137" s="257" t="s">
        <v>309</v>
      </c>
      <c r="D137" s="256"/>
      <c r="E137" s="259">
        <f>Dat_02!C136</f>
        <v>26.288014220888815</v>
      </c>
      <c r="F137" s="259">
        <f>Dat_02!D136</f>
        <v>45.741764250654825</v>
      </c>
      <c r="G137" s="259">
        <f>Dat_02!E136</f>
        <v>26.288014220888815</v>
      </c>
      <c r="I137" s="260">
        <f>Dat_02!G136</f>
        <v>0</v>
      </c>
      <c r="J137" s="272" t="str">
        <f>IF(Dat_02!H136=0,"",Dat_02!H136)</f>
        <v/>
      </c>
    </row>
    <row r="138" spans="2:10">
      <c r="B138" s="256"/>
      <c r="C138" s="257" t="s">
        <v>310</v>
      </c>
      <c r="D138" s="256"/>
      <c r="E138" s="259">
        <f>Dat_02!C137</f>
        <v>14.197880838888818</v>
      </c>
      <c r="F138" s="259">
        <f>Dat_02!D137</f>
        <v>45.741764250654825</v>
      </c>
      <c r="G138" s="259">
        <f>Dat_02!E137</f>
        <v>14.197880838888818</v>
      </c>
      <c r="I138" s="260">
        <f>Dat_02!G137</f>
        <v>0</v>
      </c>
      <c r="J138" s="272" t="str">
        <f>IF(Dat_02!H137=0,"",Dat_02!H137)</f>
        <v/>
      </c>
    </row>
    <row r="139" spans="2:10">
      <c r="B139" s="256"/>
      <c r="C139" s="257" t="s">
        <v>311</v>
      </c>
      <c r="D139" s="256"/>
      <c r="E139" s="259">
        <f>Dat_02!C138</f>
        <v>17.363311476889745</v>
      </c>
      <c r="F139" s="259">
        <f>Dat_02!D138</f>
        <v>45.741764250654825</v>
      </c>
      <c r="G139" s="259">
        <f>Dat_02!E138</f>
        <v>17.363311476889745</v>
      </c>
      <c r="I139" s="260">
        <f>Dat_02!G138</f>
        <v>0</v>
      </c>
      <c r="J139" s="272" t="str">
        <f>IF(Dat_02!H138=0,"",Dat_02!H138)</f>
        <v/>
      </c>
    </row>
    <row r="140" spans="2:10">
      <c r="B140" s="256"/>
      <c r="C140" s="257" t="s">
        <v>312</v>
      </c>
      <c r="D140" s="256"/>
      <c r="E140" s="259">
        <f>Dat_02!C139</f>
        <v>36.118517392888819</v>
      </c>
      <c r="F140" s="259">
        <f>Dat_02!D139</f>
        <v>45.741764250654825</v>
      </c>
      <c r="G140" s="259">
        <f>Dat_02!E139</f>
        <v>36.118517392888819</v>
      </c>
      <c r="I140" s="260">
        <f>Dat_02!G139</f>
        <v>45.741764250654825</v>
      </c>
      <c r="J140" s="272" t="str">
        <f>IF(Dat_02!H139=0,"",Dat_02!H139)</f>
        <v/>
      </c>
    </row>
    <row r="141" spans="2:10">
      <c r="B141" s="256"/>
      <c r="C141" s="257" t="s">
        <v>313</v>
      </c>
      <c r="D141" s="256"/>
      <c r="E141" s="259">
        <f>Dat_02!C140</f>
        <v>65.71111752088882</v>
      </c>
      <c r="F141" s="259">
        <f>Dat_02!D140</f>
        <v>45.741764250654825</v>
      </c>
      <c r="G141" s="259">
        <f>Dat_02!E140</f>
        <v>45.741764250654825</v>
      </c>
      <c r="I141" s="260">
        <f>Dat_02!G140</f>
        <v>0</v>
      </c>
      <c r="J141" s="272" t="str">
        <f>IF(Dat_02!H140=0,"",Dat_02!H140)</f>
        <v/>
      </c>
    </row>
    <row r="142" spans="2:10">
      <c r="B142" s="256"/>
      <c r="C142" s="257" t="s">
        <v>314</v>
      </c>
      <c r="D142" s="256"/>
      <c r="E142" s="259">
        <f>Dat_02!C141</f>
        <v>73.385188114986491</v>
      </c>
      <c r="F142" s="259">
        <f>Dat_02!D141</f>
        <v>45.741764250654825</v>
      </c>
      <c r="G142" s="259">
        <f>Dat_02!E141</f>
        <v>45.741764250654825</v>
      </c>
      <c r="I142" s="260">
        <f>Dat_02!G141</f>
        <v>0</v>
      </c>
      <c r="J142" s="272" t="str">
        <f>IF(Dat_02!H141=0,"",Dat_02!H141)</f>
        <v/>
      </c>
    </row>
    <row r="143" spans="2:10">
      <c r="B143" s="256"/>
      <c r="C143" s="257" t="s">
        <v>315</v>
      </c>
      <c r="D143" s="256"/>
      <c r="E143" s="259">
        <f>Dat_02!C142</f>
        <v>45.949748128986485</v>
      </c>
      <c r="F143" s="259">
        <f>Dat_02!D142</f>
        <v>45.741764250654825</v>
      </c>
      <c r="G143" s="259">
        <f>Dat_02!E142</f>
        <v>45.741764250654825</v>
      </c>
      <c r="I143" s="260">
        <f>Dat_02!G142</f>
        <v>0</v>
      </c>
      <c r="J143" s="272" t="str">
        <f>IF(Dat_02!H142=0,"",Dat_02!H142)</f>
        <v/>
      </c>
    </row>
    <row r="144" spans="2:10">
      <c r="B144" s="256"/>
      <c r="C144" s="257" t="s">
        <v>316</v>
      </c>
      <c r="D144" s="256"/>
      <c r="E144" s="259">
        <f>Dat_02!C143</f>
        <v>49.229851926986491</v>
      </c>
      <c r="F144" s="259">
        <f>Dat_02!D143</f>
        <v>45.741764250654825</v>
      </c>
      <c r="G144" s="259">
        <f>Dat_02!E143</f>
        <v>45.741764250654825</v>
      </c>
      <c r="I144" s="260">
        <f>Dat_02!G143</f>
        <v>0</v>
      </c>
      <c r="J144" s="272" t="str">
        <f>IF(Dat_02!H143=0,"",Dat_02!H143)</f>
        <v/>
      </c>
    </row>
    <row r="145" spans="2:10">
      <c r="B145" s="256"/>
      <c r="C145" s="257" t="s">
        <v>317</v>
      </c>
      <c r="D145" s="256"/>
      <c r="E145" s="259">
        <f>Dat_02!C144</f>
        <v>45.339036974987422</v>
      </c>
      <c r="F145" s="259">
        <f>Dat_02!D144</f>
        <v>45.741764250654825</v>
      </c>
      <c r="G145" s="259">
        <f>Dat_02!E144</f>
        <v>45.339036974987422</v>
      </c>
      <c r="I145" s="260">
        <f>Dat_02!G144</f>
        <v>0</v>
      </c>
      <c r="J145" s="272" t="str">
        <f>IF(Dat_02!H144=0,"",Dat_02!H144)</f>
        <v/>
      </c>
    </row>
    <row r="146" spans="2:10">
      <c r="B146" s="256"/>
      <c r="C146" s="257" t="s">
        <v>318</v>
      </c>
      <c r="D146" s="256"/>
      <c r="E146" s="259">
        <f>Dat_02!C145</f>
        <v>45.970911122986486</v>
      </c>
      <c r="F146" s="259">
        <f>Dat_02!D145</f>
        <v>45.741764250654825</v>
      </c>
      <c r="G146" s="259">
        <f>Dat_02!E145</f>
        <v>45.741764250654825</v>
      </c>
      <c r="I146" s="260">
        <f>Dat_02!G145</f>
        <v>0</v>
      </c>
      <c r="J146" s="272" t="str">
        <f>IF(Dat_02!H145=0,"",Dat_02!H145)</f>
        <v/>
      </c>
    </row>
    <row r="147" spans="2:10">
      <c r="B147" s="256"/>
      <c r="C147" s="257" t="s">
        <v>319</v>
      </c>
      <c r="D147" s="256"/>
      <c r="E147" s="259">
        <f>Dat_02!C146</f>
        <v>44.120979864986488</v>
      </c>
      <c r="F147" s="259">
        <f>Dat_02!D146</f>
        <v>45.741764250654825</v>
      </c>
      <c r="G147" s="259">
        <f>Dat_02!E146</f>
        <v>44.120979864986488</v>
      </c>
      <c r="I147" s="260">
        <f>Dat_02!G146</f>
        <v>0</v>
      </c>
      <c r="J147" s="272" t="str">
        <f>IF(Dat_02!H146=0,"",Dat_02!H146)</f>
        <v/>
      </c>
    </row>
    <row r="148" spans="2:10">
      <c r="B148" s="256"/>
      <c r="C148" s="257" t="s">
        <v>320</v>
      </c>
      <c r="D148" s="256"/>
      <c r="E148" s="259">
        <f>Dat_02!C147</f>
        <v>42.554396610986494</v>
      </c>
      <c r="F148" s="259">
        <f>Dat_02!D147</f>
        <v>45.741764250654825</v>
      </c>
      <c r="G148" s="259">
        <f>Dat_02!E147</f>
        <v>42.554396610986494</v>
      </c>
      <c r="I148" s="260">
        <f>Dat_02!G147</f>
        <v>0</v>
      </c>
      <c r="J148" s="272" t="str">
        <f>IF(Dat_02!H147=0,"",Dat_02!H147)</f>
        <v/>
      </c>
    </row>
    <row r="149" spans="2:10">
      <c r="B149" s="256"/>
      <c r="C149" s="257" t="s">
        <v>321</v>
      </c>
      <c r="D149" s="256"/>
      <c r="E149" s="259">
        <f>Dat_02!C148</f>
        <v>32.042032314450054</v>
      </c>
      <c r="F149" s="259">
        <f>Dat_02!D148</f>
        <v>45.741764250654825</v>
      </c>
      <c r="G149" s="259">
        <f>Dat_02!E148</f>
        <v>32.042032314450054</v>
      </c>
      <c r="I149" s="260">
        <f>Dat_02!G148</f>
        <v>0</v>
      </c>
      <c r="J149" s="272" t="str">
        <f>IF(Dat_02!H148=0,"",Dat_02!H148)</f>
        <v/>
      </c>
    </row>
    <row r="150" spans="2:10">
      <c r="B150" s="256"/>
      <c r="C150" s="257" t="s">
        <v>322</v>
      </c>
      <c r="D150" s="256"/>
      <c r="E150" s="259">
        <f>Dat_02!C149</f>
        <v>46.542265682450044</v>
      </c>
      <c r="F150" s="259">
        <f>Dat_02!D149</f>
        <v>45.741764250654825</v>
      </c>
      <c r="G150" s="259">
        <f>Dat_02!E149</f>
        <v>45.741764250654825</v>
      </c>
      <c r="I150" s="260">
        <f>Dat_02!G149</f>
        <v>0</v>
      </c>
      <c r="J150" s="272" t="str">
        <f>IF(Dat_02!H149=0,"",Dat_02!H149)</f>
        <v/>
      </c>
    </row>
    <row r="151" spans="2:10">
      <c r="B151" s="256"/>
      <c r="C151" s="257" t="s">
        <v>323</v>
      </c>
      <c r="D151" s="256"/>
      <c r="E151" s="259">
        <f>Dat_02!C150</f>
        <v>49.274852104450055</v>
      </c>
      <c r="F151" s="259">
        <f>Dat_02!D150</f>
        <v>45.741764250654825</v>
      </c>
      <c r="G151" s="259">
        <f>Dat_02!E150</f>
        <v>45.741764250654825</v>
      </c>
      <c r="I151" s="260">
        <f>Dat_02!G150</f>
        <v>0</v>
      </c>
      <c r="J151" s="272" t="str">
        <f>IF(Dat_02!H150=0,"",Dat_02!H150)</f>
        <v/>
      </c>
    </row>
    <row r="152" spans="2:10">
      <c r="B152" s="256"/>
      <c r="C152" s="257" t="s">
        <v>324</v>
      </c>
      <c r="D152" s="256"/>
      <c r="E152" s="259">
        <f>Dat_02!C151</f>
        <v>19.380238686450053</v>
      </c>
      <c r="F152" s="259">
        <f>Dat_02!D151</f>
        <v>45.741764250654825</v>
      </c>
      <c r="G152" s="259">
        <f>Dat_02!E151</f>
        <v>19.380238686450053</v>
      </c>
      <c r="I152" s="260">
        <f>Dat_02!G151</f>
        <v>0</v>
      </c>
      <c r="J152" s="272" t="str">
        <f>IF(Dat_02!H151=0,"",Dat_02!H151)</f>
        <v/>
      </c>
    </row>
    <row r="153" spans="2:10">
      <c r="B153" s="256"/>
      <c r="C153" s="257" t="s">
        <v>325</v>
      </c>
      <c r="D153" s="256"/>
      <c r="E153" s="259">
        <f>Dat_02!C152</f>
        <v>11.52307071845005</v>
      </c>
      <c r="F153" s="259">
        <f>Dat_02!D152</f>
        <v>45.741764250654825</v>
      </c>
      <c r="G153" s="259">
        <f>Dat_02!E152</f>
        <v>11.52307071845005</v>
      </c>
      <c r="I153" s="260">
        <f>Dat_02!G152</f>
        <v>0</v>
      </c>
      <c r="J153" s="272" t="str">
        <f>IF(Dat_02!H152=0,"",Dat_02!H152)</f>
        <v/>
      </c>
    </row>
    <row r="154" spans="2:10">
      <c r="B154" s="256"/>
      <c r="C154" s="257" t="s">
        <v>326</v>
      </c>
      <c r="D154" s="256"/>
      <c r="E154" s="259">
        <f>Dat_02!C153</f>
        <v>16.50693054445005</v>
      </c>
      <c r="F154" s="259">
        <f>Dat_02!D153</f>
        <v>45.741764250654825</v>
      </c>
      <c r="G154" s="259">
        <f>Dat_02!E153</f>
        <v>16.50693054445005</v>
      </c>
      <c r="I154" s="260">
        <f>Dat_02!G153</f>
        <v>0</v>
      </c>
      <c r="J154" s="272" t="str">
        <f>IF(Dat_02!H153=0,"",Dat_02!H153)</f>
        <v/>
      </c>
    </row>
    <row r="155" spans="2:10">
      <c r="B155" s="256"/>
      <c r="C155" s="257" t="s">
        <v>327</v>
      </c>
      <c r="D155" s="256"/>
      <c r="E155" s="259">
        <f>Dat_02!C154</f>
        <v>46.011846108450044</v>
      </c>
      <c r="F155" s="259">
        <f>Dat_02!D154</f>
        <v>45.741764250654825</v>
      </c>
      <c r="G155" s="259">
        <f>Dat_02!E154</f>
        <v>45.741764250654825</v>
      </c>
      <c r="I155" s="260">
        <f>Dat_02!G154</f>
        <v>0</v>
      </c>
      <c r="J155" s="272" t="str">
        <f>IF(Dat_02!H154=0,"",Dat_02!H154)</f>
        <v/>
      </c>
    </row>
    <row r="156" spans="2:10">
      <c r="B156" s="258"/>
      <c r="C156" s="263" t="s">
        <v>328</v>
      </c>
      <c r="D156" s="258"/>
      <c r="E156" s="259">
        <f>Dat_02!C155</f>
        <v>76.009693372363614</v>
      </c>
      <c r="F156" s="259">
        <f>Dat_02!D155</f>
        <v>45.741764250654825</v>
      </c>
      <c r="G156" s="259">
        <f>Dat_02!E155</f>
        <v>45.741764250654825</v>
      </c>
      <c r="I156" s="260">
        <f>Dat_02!G155</f>
        <v>0</v>
      </c>
      <c r="J156" s="272" t="str">
        <f>IF(Dat_02!H155=0,"",Dat_02!H155)</f>
        <v/>
      </c>
    </row>
    <row r="157" spans="2:10">
      <c r="B157" s="256" t="s">
        <v>329</v>
      </c>
      <c r="C157" s="257" t="s">
        <v>330</v>
      </c>
      <c r="D157" s="258"/>
      <c r="E157" s="259">
        <f>Dat_02!C156</f>
        <v>43.416546616363625</v>
      </c>
      <c r="F157" s="259">
        <f>Dat_02!D156</f>
        <v>80.413851096189973</v>
      </c>
      <c r="G157" s="259">
        <f>Dat_02!E156</f>
        <v>43.416546616363625</v>
      </c>
      <c r="I157" s="260">
        <f>Dat_02!G156</f>
        <v>0</v>
      </c>
      <c r="J157" s="272" t="str">
        <f>IF(Dat_02!H156=0,"",Dat_02!H156)</f>
        <v/>
      </c>
    </row>
    <row r="158" spans="2:10">
      <c r="B158" s="258"/>
      <c r="C158" s="257" t="s">
        <v>331</v>
      </c>
      <c r="D158" s="258"/>
      <c r="E158" s="259">
        <f>Dat_02!C157</f>
        <v>47.075057798362693</v>
      </c>
      <c r="F158" s="259">
        <f>Dat_02!D157</f>
        <v>80.413851096189973</v>
      </c>
      <c r="G158" s="259">
        <f>Dat_02!E157</f>
        <v>47.075057798362693</v>
      </c>
      <c r="I158" s="260">
        <f>Dat_02!G157</f>
        <v>0</v>
      </c>
      <c r="J158" s="272" t="str">
        <f>IF(Dat_02!H157=0,"",Dat_02!H157)</f>
        <v/>
      </c>
    </row>
    <row r="159" spans="2:10">
      <c r="B159" s="256"/>
      <c r="C159" s="257" t="s">
        <v>332</v>
      </c>
      <c r="D159" s="256"/>
      <c r="E159" s="259">
        <f>Dat_02!C158</f>
        <v>47.243531606363618</v>
      </c>
      <c r="F159" s="259">
        <f>Dat_02!D158</f>
        <v>80.413851096189973</v>
      </c>
      <c r="G159" s="259">
        <f>Dat_02!E158</f>
        <v>47.243531606363618</v>
      </c>
      <c r="I159" s="260">
        <f>Dat_02!G158</f>
        <v>0</v>
      </c>
      <c r="J159" s="272" t="str">
        <f>IF(Dat_02!H158=0,"",Dat_02!H158)</f>
        <v/>
      </c>
    </row>
    <row r="160" spans="2:10">
      <c r="B160" s="256"/>
      <c r="C160" s="257" t="s">
        <v>333</v>
      </c>
      <c r="D160" s="256"/>
      <c r="E160" s="259">
        <f>Dat_02!C159</f>
        <v>43.315809924363627</v>
      </c>
      <c r="F160" s="259">
        <f>Dat_02!D159</f>
        <v>80.413851096189973</v>
      </c>
      <c r="G160" s="259">
        <f>Dat_02!E159</f>
        <v>43.315809924363627</v>
      </c>
      <c r="I160" s="260">
        <f>Dat_02!G159</f>
        <v>0</v>
      </c>
      <c r="J160" s="272" t="str">
        <f>IF(Dat_02!H159=0,"",Dat_02!H159)</f>
        <v/>
      </c>
    </row>
    <row r="161" spans="2:10">
      <c r="B161" s="256"/>
      <c r="C161" s="257" t="s">
        <v>334</v>
      </c>
      <c r="D161" s="256"/>
      <c r="E161" s="259">
        <f>Dat_02!C160</f>
        <v>57.857351662362696</v>
      </c>
      <c r="F161" s="259">
        <f>Dat_02!D160</f>
        <v>80.413851096189973</v>
      </c>
      <c r="G161" s="259">
        <f>Dat_02!E160</f>
        <v>57.857351662362696</v>
      </c>
      <c r="I161" s="260">
        <f>Dat_02!G160</f>
        <v>0</v>
      </c>
      <c r="J161" s="272" t="str">
        <f>IF(Dat_02!H160=0,"",Dat_02!H160)</f>
        <v/>
      </c>
    </row>
    <row r="162" spans="2:10">
      <c r="B162" s="256"/>
      <c r="C162" s="257" t="s">
        <v>335</v>
      </c>
      <c r="D162" s="256"/>
      <c r="E162" s="259">
        <f>Dat_02!C161</f>
        <v>48.876081674363625</v>
      </c>
      <c r="F162" s="259">
        <f>Dat_02!D161</f>
        <v>80.413851096189973</v>
      </c>
      <c r="G162" s="259">
        <f>Dat_02!E161</f>
        <v>48.876081674363625</v>
      </c>
      <c r="I162" s="260">
        <f>Dat_02!G161</f>
        <v>0</v>
      </c>
      <c r="J162" s="272" t="str">
        <f>IF(Dat_02!H161=0,"",Dat_02!H161)</f>
        <v/>
      </c>
    </row>
    <row r="163" spans="2:10">
      <c r="B163" s="256"/>
      <c r="C163" s="257" t="s">
        <v>336</v>
      </c>
      <c r="D163" s="256"/>
      <c r="E163" s="259">
        <f>Dat_02!C162</f>
        <v>86.689850459148872</v>
      </c>
      <c r="F163" s="259">
        <f>Dat_02!D162</f>
        <v>80.413851096189973</v>
      </c>
      <c r="G163" s="259">
        <f>Dat_02!E162</f>
        <v>80.413851096189973</v>
      </c>
      <c r="I163" s="260">
        <f>Dat_02!G162</f>
        <v>0</v>
      </c>
      <c r="J163" s="272" t="str">
        <f>IF(Dat_02!H162=0,"",Dat_02!H162)</f>
        <v/>
      </c>
    </row>
    <row r="164" spans="2:10">
      <c r="B164" s="256"/>
      <c r="C164" s="257" t="s">
        <v>337</v>
      </c>
      <c r="D164" s="256"/>
      <c r="E164" s="259">
        <f>Dat_02!C163</f>
        <v>90.691329073148879</v>
      </c>
      <c r="F164" s="259">
        <f>Dat_02!D163</f>
        <v>80.413851096189973</v>
      </c>
      <c r="G164" s="259">
        <f>Dat_02!E163</f>
        <v>80.413851096189973</v>
      </c>
      <c r="I164" s="260">
        <f>Dat_02!G163</f>
        <v>0</v>
      </c>
      <c r="J164" s="272" t="str">
        <f>IF(Dat_02!H163=0,"",Dat_02!H163)</f>
        <v/>
      </c>
    </row>
    <row r="165" spans="2:10">
      <c r="B165" s="256"/>
      <c r="C165" s="257" t="s">
        <v>338</v>
      </c>
      <c r="D165" s="256"/>
      <c r="E165" s="259">
        <f>Dat_02!C164</f>
        <v>92.796391639148879</v>
      </c>
      <c r="F165" s="259">
        <f>Dat_02!D164</f>
        <v>80.413851096189973</v>
      </c>
      <c r="G165" s="259">
        <f>Dat_02!E164</f>
        <v>80.413851096189973</v>
      </c>
      <c r="I165" s="260">
        <f>Dat_02!G164</f>
        <v>0</v>
      </c>
      <c r="J165" s="272" t="str">
        <f>IF(Dat_02!H164=0,"",Dat_02!H164)</f>
        <v/>
      </c>
    </row>
    <row r="166" spans="2:10">
      <c r="B166" s="256"/>
      <c r="C166" s="257" t="s">
        <v>339</v>
      </c>
      <c r="D166" s="256"/>
      <c r="E166" s="259">
        <f>Dat_02!C165</f>
        <v>94.994770411147954</v>
      </c>
      <c r="F166" s="259">
        <f>Dat_02!D165</f>
        <v>80.413851096189973</v>
      </c>
      <c r="G166" s="259">
        <f>Dat_02!E165</f>
        <v>80.413851096189973</v>
      </c>
      <c r="I166" s="260">
        <f>Dat_02!G165</f>
        <v>0</v>
      </c>
      <c r="J166" s="272" t="str">
        <f>IF(Dat_02!H165=0,"",Dat_02!H165)</f>
        <v/>
      </c>
    </row>
    <row r="167" spans="2:10">
      <c r="B167" s="256"/>
      <c r="C167" s="257" t="s">
        <v>340</v>
      </c>
      <c r="D167" s="256"/>
      <c r="E167" s="259">
        <f>Dat_02!C166</f>
        <v>98.084029529148893</v>
      </c>
      <c r="F167" s="259">
        <f>Dat_02!D166</f>
        <v>80.413851096189973</v>
      </c>
      <c r="G167" s="259">
        <f>Dat_02!E166</f>
        <v>80.413851096189973</v>
      </c>
      <c r="I167" s="260">
        <f>Dat_02!G166</f>
        <v>0</v>
      </c>
      <c r="J167" s="272" t="str">
        <f>IF(Dat_02!H166=0,"",Dat_02!H166)</f>
        <v/>
      </c>
    </row>
    <row r="168" spans="2:10">
      <c r="B168" s="256"/>
      <c r="C168" s="257" t="s">
        <v>341</v>
      </c>
      <c r="D168" s="256"/>
      <c r="E168" s="259">
        <f>Dat_02!C167</f>
        <v>121.64374552914889</v>
      </c>
      <c r="F168" s="259">
        <f>Dat_02!D167</f>
        <v>80.413851096189973</v>
      </c>
      <c r="G168" s="259">
        <f>Dat_02!E167</f>
        <v>80.413851096189973</v>
      </c>
      <c r="I168" s="260">
        <f>Dat_02!G167</f>
        <v>0</v>
      </c>
      <c r="J168" s="272" t="str">
        <f>IF(Dat_02!H167=0,"",Dat_02!H167)</f>
        <v/>
      </c>
    </row>
    <row r="169" spans="2:10">
      <c r="B169" s="256"/>
      <c r="C169" s="257" t="s">
        <v>342</v>
      </c>
      <c r="D169" s="256"/>
      <c r="E169" s="259">
        <f>Dat_02!C168</f>
        <v>115.98538030914888</v>
      </c>
      <c r="F169" s="259">
        <f>Dat_02!D168</f>
        <v>80.413851096189973</v>
      </c>
      <c r="G169" s="259">
        <f>Dat_02!E168</f>
        <v>80.413851096189973</v>
      </c>
      <c r="I169" s="260">
        <f>Dat_02!G168</f>
        <v>0</v>
      </c>
      <c r="J169" s="272" t="str">
        <f>IF(Dat_02!H168=0,"",Dat_02!H168)</f>
        <v/>
      </c>
    </row>
    <row r="170" spans="2:10">
      <c r="B170" s="256"/>
      <c r="C170" s="257" t="s">
        <v>343</v>
      </c>
      <c r="D170" s="256"/>
      <c r="E170" s="259">
        <f>Dat_02!C169</f>
        <v>92.884565129739187</v>
      </c>
      <c r="F170" s="259">
        <f>Dat_02!D169</f>
        <v>80.413851096189973</v>
      </c>
      <c r="G170" s="259">
        <f>Dat_02!E169</f>
        <v>80.413851096189973</v>
      </c>
      <c r="I170" s="260">
        <f>Dat_02!G169</f>
        <v>0</v>
      </c>
      <c r="J170" s="272" t="str">
        <f>IF(Dat_02!H169=0,"",Dat_02!H169)</f>
        <v/>
      </c>
    </row>
    <row r="171" spans="2:10">
      <c r="B171" s="256"/>
      <c r="C171" s="257" t="s">
        <v>344</v>
      </c>
      <c r="D171" s="256"/>
      <c r="E171" s="259">
        <f>Dat_02!C170</f>
        <v>99.53025571373918</v>
      </c>
      <c r="F171" s="259">
        <f>Dat_02!D170</f>
        <v>80.413851096189973</v>
      </c>
      <c r="G171" s="259">
        <f>Dat_02!E170</f>
        <v>80.413851096189973</v>
      </c>
      <c r="I171" s="260">
        <f>Dat_02!G170</f>
        <v>80.413851096189973</v>
      </c>
      <c r="J171" s="272" t="str">
        <f>IF(Dat_02!H170=0,"",Dat_02!H170)</f>
        <v/>
      </c>
    </row>
    <row r="172" spans="2:10">
      <c r="B172" s="256"/>
      <c r="C172" s="257" t="s">
        <v>345</v>
      </c>
      <c r="D172" s="256"/>
      <c r="E172" s="259">
        <f>Dat_02!C171</f>
        <v>100.64944806573826</v>
      </c>
      <c r="F172" s="259">
        <f>Dat_02!D171</f>
        <v>80.413851096189973</v>
      </c>
      <c r="G172" s="259">
        <f>Dat_02!E171</f>
        <v>80.413851096189973</v>
      </c>
      <c r="I172" s="260">
        <f>Dat_02!G171</f>
        <v>0</v>
      </c>
      <c r="J172" s="272" t="str">
        <f>IF(Dat_02!H171=0,"",Dat_02!H171)</f>
        <v/>
      </c>
    </row>
    <row r="173" spans="2:10">
      <c r="B173" s="256"/>
      <c r="C173" s="257" t="s">
        <v>346</v>
      </c>
      <c r="D173" s="256"/>
      <c r="E173" s="259">
        <f>Dat_02!C172</f>
        <v>76.32607546173918</v>
      </c>
      <c r="F173" s="259">
        <f>Dat_02!D172</f>
        <v>80.413851096189973</v>
      </c>
      <c r="G173" s="259">
        <f>Dat_02!E172</f>
        <v>76.32607546173918</v>
      </c>
      <c r="I173" s="260">
        <f>Dat_02!G172</f>
        <v>0</v>
      </c>
      <c r="J173" s="272" t="str">
        <f>IF(Dat_02!H172=0,"",Dat_02!H172)</f>
        <v/>
      </c>
    </row>
    <row r="174" spans="2:10">
      <c r="B174" s="256"/>
      <c r="C174" s="257" t="s">
        <v>347</v>
      </c>
      <c r="D174" s="256"/>
      <c r="E174" s="259">
        <f>Dat_02!C173</f>
        <v>72.289244381739181</v>
      </c>
      <c r="F174" s="259">
        <f>Dat_02!D173</f>
        <v>80.413851096189973</v>
      </c>
      <c r="G174" s="259">
        <f>Dat_02!E173</f>
        <v>72.289244381739181</v>
      </c>
      <c r="I174" s="260">
        <f>Dat_02!G173</f>
        <v>0</v>
      </c>
      <c r="J174" s="272" t="str">
        <f>IF(Dat_02!H173=0,"",Dat_02!H173)</f>
        <v/>
      </c>
    </row>
    <row r="175" spans="2:10">
      <c r="B175" s="256"/>
      <c r="C175" s="257" t="s">
        <v>348</v>
      </c>
      <c r="D175" s="256"/>
      <c r="E175" s="259">
        <f>Dat_02!C174</f>
        <v>107.85845773573918</v>
      </c>
      <c r="F175" s="259">
        <f>Dat_02!D174</f>
        <v>80.413851096189973</v>
      </c>
      <c r="G175" s="259">
        <f>Dat_02!E174</f>
        <v>80.413851096189973</v>
      </c>
      <c r="I175" s="260">
        <f>Dat_02!G174</f>
        <v>0</v>
      </c>
      <c r="J175" s="272" t="str">
        <f>IF(Dat_02!H174=0,"",Dat_02!H174)</f>
        <v/>
      </c>
    </row>
    <row r="176" spans="2:10">
      <c r="B176" s="256"/>
      <c r="C176" s="257" t="s">
        <v>349</v>
      </c>
      <c r="D176" s="256"/>
      <c r="E176" s="259">
        <f>Dat_02!C175</f>
        <v>95.251663345739189</v>
      </c>
      <c r="F176" s="259">
        <f>Dat_02!D175</f>
        <v>80.413851096189973</v>
      </c>
      <c r="G176" s="259">
        <f>Dat_02!E175</f>
        <v>80.413851096189973</v>
      </c>
      <c r="I176" s="260">
        <f>Dat_02!G175</f>
        <v>0</v>
      </c>
      <c r="J176" s="272" t="str">
        <f>IF(Dat_02!H175=0,"",Dat_02!H175)</f>
        <v/>
      </c>
    </row>
    <row r="177" spans="2:10">
      <c r="B177" s="256"/>
      <c r="C177" s="257" t="s">
        <v>350</v>
      </c>
      <c r="D177" s="256"/>
      <c r="E177" s="259">
        <f>Dat_02!C176</f>
        <v>84.210863363573011</v>
      </c>
      <c r="F177" s="259">
        <f>Dat_02!D176</f>
        <v>80.413851096189973</v>
      </c>
      <c r="G177" s="259">
        <f>Dat_02!E176</f>
        <v>80.413851096189973</v>
      </c>
      <c r="I177" s="260">
        <f>Dat_02!G176</f>
        <v>0</v>
      </c>
      <c r="J177" s="272" t="str">
        <f>IF(Dat_02!H176=0,"",Dat_02!H176)</f>
        <v/>
      </c>
    </row>
    <row r="178" spans="2:10">
      <c r="B178" s="256"/>
      <c r="C178" s="257" t="s">
        <v>351</v>
      </c>
      <c r="D178" s="256"/>
      <c r="E178" s="259">
        <f>Dat_02!C177</f>
        <v>100.02806360957393</v>
      </c>
      <c r="F178" s="259">
        <f>Dat_02!D177</f>
        <v>80.413851096189973</v>
      </c>
      <c r="G178" s="259">
        <f>Dat_02!E177</f>
        <v>80.413851096189973</v>
      </c>
      <c r="I178" s="260">
        <f>Dat_02!G177</f>
        <v>0</v>
      </c>
      <c r="J178" s="272" t="str">
        <f>IF(Dat_02!H177=0,"",Dat_02!H177)</f>
        <v/>
      </c>
    </row>
    <row r="179" spans="2:10">
      <c r="B179" s="256"/>
      <c r="C179" s="257" t="s">
        <v>352</v>
      </c>
      <c r="D179" s="256"/>
      <c r="E179" s="259">
        <f>Dat_02!C178</f>
        <v>93.973128249573932</v>
      </c>
      <c r="F179" s="259">
        <f>Dat_02!D178</f>
        <v>80.413851096189973</v>
      </c>
      <c r="G179" s="259">
        <f>Dat_02!E178</f>
        <v>80.413851096189973</v>
      </c>
      <c r="I179" s="260">
        <f>Dat_02!G178</f>
        <v>0</v>
      </c>
      <c r="J179" s="272" t="str">
        <f>IF(Dat_02!H178=0,"",Dat_02!H178)</f>
        <v/>
      </c>
    </row>
    <row r="180" spans="2:10">
      <c r="B180" s="256"/>
      <c r="C180" s="257" t="s">
        <v>353</v>
      </c>
      <c r="D180" s="256"/>
      <c r="E180" s="259">
        <f>Dat_02!C179</f>
        <v>71.462767399572996</v>
      </c>
      <c r="F180" s="259">
        <f>Dat_02!D179</f>
        <v>80.413851096189973</v>
      </c>
      <c r="G180" s="259">
        <f>Dat_02!E179</f>
        <v>71.462767399572996</v>
      </c>
      <c r="I180" s="260">
        <f>Dat_02!G179</f>
        <v>0</v>
      </c>
      <c r="J180" s="272" t="str">
        <f>IF(Dat_02!H179=0,"",Dat_02!H179)</f>
        <v/>
      </c>
    </row>
    <row r="181" spans="2:10">
      <c r="B181" s="256"/>
      <c r="C181" s="257" t="s">
        <v>354</v>
      </c>
      <c r="D181" s="256"/>
      <c r="E181" s="259">
        <f>Dat_02!C180</f>
        <v>73.556786463573943</v>
      </c>
      <c r="F181" s="259">
        <f>Dat_02!D180</f>
        <v>80.413851096189973</v>
      </c>
      <c r="G181" s="259">
        <f>Dat_02!E180</f>
        <v>73.556786463573943</v>
      </c>
      <c r="I181" s="260">
        <f>Dat_02!G180</f>
        <v>0</v>
      </c>
      <c r="J181" s="272" t="str">
        <f>IF(Dat_02!H180=0,"",Dat_02!H180)</f>
        <v/>
      </c>
    </row>
    <row r="182" spans="2:10">
      <c r="B182" s="256"/>
      <c r="C182" s="257" t="s">
        <v>355</v>
      </c>
      <c r="D182" s="256"/>
      <c r="E182" s="259">
        <f>Dat_02!C181</f>
        <v>89.032887399573013</v>
      </c>
      <c r="F182" s="259">
        <f>Dat_02!D181</f>
        <v>80.413851096189973</v>
      </c>
      <c r="G182" s="259">
        <f>Dat_02!E181</f>
        <v>80.413851096189973</v>
      </c>
      <c r="I182" s="260">
        <f>Dat_02!G181</f>
        <v>0</v>
      </c>
      <c r="J182" s="272" t="str">
        <f>IF(Dat_02!H181=0,"",Dat_02!H181)</f>
        <v/>
      </c>
    </row>
    <row r="183" spans="2:10">
      <c r="B183" s="256"/>
      <c r="C183" s="257" t="s">
        <v>356</v>
      </c>
      <c r="D183" s="256"/>
      <c r="E183" s="259">
        <f>Dat_02!C182</f>
        <v>91.791408073573947</v>
      </c>
      <c r="F183" s="259">
        <f>Dat_02!D182</f>
        <v>80.413851096189973</v>
      </c>
      <c r="G183" s="259">
        <f>Dat_02!E182</f>
        <v>80.413851096189973</v>
      </c>
      <c r="I183" s="260">
        <f>Dat_02!G182</f>
        <v>0</v>
      </c>
      <c r="J183" s="272" t="str">
        <f>IF(Dat_02!H182=0,"",Dat_02!H182)</f>
        <v/>
      </c>
    </row>
    <row r="184" spans="2:10">
      <c r="B184" s="256"/>
      <c r="C184" s="257" t="s">
        <v>357</v>
      </c>
      <c r="D184" s="256"/>
      <c r="E184" s="259">
        <f>Dat_02!C183</f>
        <v>100.62520183628585</v>
      </c>
      <c r="F184" s="259">
        <f>Dat_02!D183</f>
        <v>80.413851096189973</v>
      </c>
      <c r="G184" s="259">
        <f>Dat_02!E183</f>
        <v>80.413851096189973</v>
      </c>
      <c r="I184" s="260">
        <f>Dat_02!G183</f>
        <v>0</v>
      </c>
      <c r="J184" s="272" t="str">
        <f>IF(Dat_02!H183=0,"",Dat_02!H183)</f>
        <v/>
      </c>
    </row>
    <row r="185" spans="2:10">
      <c r="B185" s="256"/>
      <c r="C185" s="257" t="s">
        <v>358</v>
      </c>
      <c r="D185" s="256"/>
      <c r="E185" s="259">
        <f>Dat_02!C184</f>
        <v>106.07573600028584</v>
      </c>
      <c r="F185" s="259">
        <f>Dat_02!D184</f>
        <v>80.413851096189973</v>
      </c>
      <c r="G185" s="259">
        <f>Dat_02!E184</f>
        <v>80.413851096189973</v>
      </c>
      <c r="I185" s="260">
        <f>Dat_02!G184</f>
        <v>0</v>
      </c>
      <c r="J185" s="272" t="str">
        <f>IF(Dat_02!H184=0,"",Dat_02!H184)</f>
        <v/>
      </c>
    </row>
    <row r="186" spans="2:10">
      <c r="B186" s="258"/>
      <c r="C186" s="263" t="s">
        <v>359</v>
      </c>
      <c r="D186" s="256"/>
      <c r="E186" s="259">
        <f>Dat_02!C185</f>
        <v>97.476653356285851</v>
      </c>
      <c r="F186" s="259">
        <f>Dat_02!D185</f>
        <v>80.413851096189973</v>
      </c>
      <c r="G186" s="259">
        <f>Dat_02!E185</f>
        <v>80.413851096189973</v>
      </c>
      <c r="I186" s="260">
        <f>Dat_02!G185</f>
        <v>0</v>
      </c>
      <c r="J186" s="272" t="str">
        <f>IF(Dat_02!H185=0,"",Dat_02!H185)</f>
        <v/>
      </c>
    </row>
    <row r="187" spans="2:10">
      <c r="B187" s="258"/>
      <c r="C187" s="263" t="s">
        <v>360</v>
      </c>
      <c r="D187" s="258"/>
      <c r="E187" s="259">
        <f>Dat_02!C186</f>
        <v>90.394212360286787</v>
      </c>
      <c r="F187" s="259">
        <f>Dat_02!D186</f>
        <v>101.95753277636452</v>
      </c>
      <c r="G187" s="259">
        <f>Dat_02!E186</f>
        <v>90.394212360286787</v>
      </c>
      <c r="I187" s="260">
        <f>Dat_02!G186</f>
        <v>0</v>
      </c>
      <c r="J187" s="272" t="str">
        <f>IF(Dat_02!H186=0,"",Dat_02!H186)</f>
        <v/>
      </c>
    </row>
    <row r="188" spans="2:10">
      <c r="B188" s="256" t="s">
        <v>361</v>
      </c>
      <c r="C188" s="257" t="s">
        <v>362</v>
      </c>
      <c r="D188" s="258"/>
      <c r="E188" s="259">
        <f>Dat_02!C187</f>
        <v>84.866914290285848</v>
      </c>
      <c r="F188" s="259">
        <f>Dat_02!D187</f>
        <v>101.95753277636452</v>
      </c>
      <c r="G188" s="259">
        <f>Dat_02!E187</f>
        <v>84.866914290285848</v>
      </c>
      <c r="I188" s="260">
        <f>Dat_02!G187</f>
        <v>0</v>
      </c>
      <c r="J188" s="272" t="str">
        <f>IF(Dat_02!H187=0,"",Dat_02!H187)</f>
        <v/>
      </c>
    </row>
    <row r="189" spans="2:10">
      <c r="B189" s="258"/>
      <c r="C189" s="257" t="s">
        <v>363</v>
      </c>
      <c r="D189" s="258"/>
      <c r="E189" s="259">
        <f>Dat_02!C188</f>
        <v>108.37415833628584</v>
      </c>
      <c r="F189" s="259">
        <f>Dat_02!D188</f>
        <v>101.95753277636452</v>
      </c>
      <c r="G189" s="259">
        <f>Dat_02!E188</f>
        <v>101.95753277636452</v>
      </c>
      <c r="I189" s="260">
        <f>Dat_02!G188</f>
        <v>0</v>
      </c>
      <c r="J189" s="272" t="str">
        <f>IF(Dat_02!H188=0,"",Dat_02!H188)</f>
        <v/>
      </c>
    </row>
    <row r="190" spans="2:10">
      <c r="B190" s="256"/>
      <c r="C190" s="257" t="s">
        <v>364</v>
      </c>
      <c r="D190" s="256"/>
      <c r="E190" s="259">
        <f>Dat_02!C189</f>
        <v>126.38090736228585</v>
      </c>
      <c r="F190" s="259">
        <f>Dat_02!D189</f>
        <v>101.95753277636452</v>
      </c>
      <c r="G190" s="259">
        <f>Dat_02!E189</f>
        <v>101.95753277636452</v>
      </c>
      <c r="I190" s="260">
        <f>Dat_02!G189</f>
        <v>0</v>
      </c>
      <c r="J190" s="272" t="str">
        <f>IF(Dat_02!H189=0,"",Dat_02!H189)</f>
        <v/>
      </c>
    </row>
    <row r="191" spans="2:10">
      <c r="B191" s="256"/>
      <c r="C191" s="257" t="s">
        <v>365</v>
      </c>
      <c r="D191" s="256"/>
      <c r="E191" s="259">
        <f>Dat_02!C190</f>
        <v>87.515008344428594</v>
      </c>
      <c r="F191" s="259">
        <f>Dat_02!D190</f>
        <v>101.95753277636452</v>
      </c>
      <c r="G191" s="259">
        <f>Dat_02!E190</f>
        <v>87.515008344428594</v>
      </c>
      <c r="I191" s="260">
        <f>Dat_02!G190</f>
        <v>0</v>
      </c>
      <c r="J191" s="272" t="str">
        <f>IF(Dat_02!H190=0,"",Dat_02!H190)</f>
        <v/>
      </c>
    </row>
    <row r="192" spans="2:10">
      <c r="B192" s="256"/>
      <c r="C192" s="257" t="s">
        <v>366</v>
      </c>
      <c r="D192" s="256"/>
      <c r="E192" s="259">
        <f>Dat_02!C191</f>
        <v>77.782506294428586</v>
      </c>
      <c r="F192" s="259">
        <f>Dat_02!D191</f>
        <v>101.95753277636452</v>
      </c>
      <c r="G192" s="259">
        <f>Dat_02!E191</f>
        <v>77.782506294428586</v>
      </c>
      <c r="I192" s="260">
        <f>Dat_02!G191</f>
        <v>0</v>
      </c>
      <c r="J192" s="272" t="str">
        <f>IF(Dat_02!H191=0,"",Dat_02!H191)</f>
        <v/>
      </c>
    </row>
    <row r="193" spans="2:10">
      <c r="B193" s="256"/>
      <c r="C193" s="257" t="s">
        <v>367</v>
      </c>
      <c r="D193" s="256"/>
      <c r="E193" s="259">
        <f>Dat_02!C192</f>
        <v>62.18230000042859</v>
      </c>
      <c r="F193" s="259">
        <f>Dat_02!D192</f>
        <v>101.95753277636452</v>
      </c>
      <c r="G193" s="259">
        <f>Dat_02!E192</f>
        <v>62.18230000042859</v>
      </c>
      <c r="I193" s="260">
        <f>Dat_02!G192</f>
        <v>0</v>
      </c>
      <c r="J193" s="272" t="str">
        <f>IF(Dat_02!H192=0,"",Dat_02!H192)</f>
        <v/>
      </c>
    </row>
    <row r="194" spans="2:10">
      <c r="B194" s="256"/>
      <c r="C194" s="257" t="s">
        <v>368</v>
      </c>
      <c r="D194" s="256"/>
      <c r="E194" s="259">
        <f>Dat_02!C193</f>
        <v>55.709332724428592</v>
      </c>
      <c r="F194" s="259">
        <f>Dat_02!D193</f>
        <v>101.95753277636452</v>
      </c>
      <c r="G194" s="259">
        <f>Dat_02!E193</f>
        <v>55.709332724428592</v>
      </c>
      <c r="I194" s="260">
        <f>Dat_02!G193</f>
        <v>0</v>
      </c>
      <c r="J194" s="272" t="str">
        <f>IF(Dat_02!H193=0,"",Dat_02!H193)</f>
        <v/>
      </c>
    </row>
    <row r="195" spans="2:10">
      <c r="B195" s="256"/>
      <c r="C195" s="257" t="s">
        <v>369</v>
      </c>
      <c r="D195" s="256"/>
      <c r="E195" s="259">
        <f>Dat_02!C194</f>
        <v>55.556556698428594</v>
      </c>
      <c r="F195" s="259">
        <f>Dat_02!D194</f>
        <v>101.95753277636452</v>
      </c>
      <c r="G195" s="259">
        <f>Dat_02!E194</f>
        <v>55.556556698428594</v>
      </c>
      <c r="I195" s="260">
        <f>Dat_02!G194</f>
        <v>0</v>
      </c>
      <c r="J195" s="272" t="str">
        <f>IF(Dat_02!H194=0,"",Dat_02!H194)</f>
        <v/>
      </c>
    </row>
    <row r="196" spans="2:10">
      <c r="B196" s="256"/>
      <c r="C196" s="257" t="s">
        <v>370</v>
      </c>
      <c r="D196" s="256"/>
      <c r="E196" s="259">
        <f>Dat_02!C195</f>
        <v>67.053807550428601</v>
      </c>
      <c r="F196" s="259">
        <f>Dat_02!D195</f>
        <v>101.95753277636452</v>
      </c>
      <c r="G196" s="259">
        <f>Dat_02!E195</f>
        <v>67.053807550428601</v>
      </c>
      <c r="I196" s="260">
        <f>Dat_02!G195</f>
        <v>0</v>
      </c>
      <c r="J196" s="272" t="str">
        <f>IF(Dat_02!H195=0,"",Dat_02!H195)</f>
        <v/>
      </c>
    </row>
    <row r="197" spans="2:10">
      <c r="B197" s="256"/>
      <c r="C197" s="257" t="s">
        <v>371</v>
      </c>
      <c r="D197" s="256"/>
      <c r="E197" s="259">
        <f>Dat_02!C196</f>
        <v>96.102252704428594</v>
      </c>
      <c r="F197" s="259">
        <f>Dat_02!D196</f>
        <v>101.95753277636452</v>
      </c>
      <c r="G197" s="259">
        <f>Dat_02!E196</f>
        <v>96.102252704428594</v>
      </c>
      <c r="I197" s="260">
        <f>Dat_02!G196</f>
        <v>0</v>
      </c>
      <c r="J197" s="272" t="str">
        <f>IF(Dat_02!H196=0,"",Dat_02!H196)</f>
        <v/>
      </c>
    </row>
    <row r="198" spans="2:10">
      <c r="B198" s="256"/>
      <c r="C198" s="257" t="s">
        <v>372</v>
      </c>
      <c r="D198" s="256"/>
      <c r="E198" s="259">
        <f>Dat_02!C197</f>
        <v>108.87868366227644</v>
      </c>
      <c r="F198" s="259">
        <f>Dat_02!D197</f>
        <v>101.95753277636452</v>
      </c>
      <c r="G198" s="259">
        <f>Dat_02!E197</f>
        <v>101.95753277636452</v>
      </c>
      <c r="I198" s="260">
        <f>Dat_02!G197</f>
        <v>0</v>
      </c>
      <c r="J198" s="272" t="str">
        <f>IF(Dat_02!H197=0,"",Dat_02!H197)</f>
        <v/>
      </c>
    </row>
    <row r="199" spans="2:10">
      <c r="B199" s="256"/>
      <c r="C199" s="257" t="s">
        <v>373</v>
      </c>
      <c r="D199" s="256"/>
      <c r="E199" s="259">
        <f>Dat_02!C198</f>
        <v>84.353938072275511</v>
      </c>
      <c r="F199" s="259">
        <f>Dat_02!D198</f>
        <v>101.95753277636452</v>
      </c>
      <c r="G199" s="259">
        <f>Dat_02!E198</f>
        <v>84.353938072275511</v>
      </c>
      <c r="I199" s="260">
        <f>Dat_02!G198</f>
        <v>0</v>
      </c>
      <c r="J199" s="272" t="str">
        <f>IF(Dat_02!H198=0,"",Dat_02!H198)</f>
        <v/>
      </c>
    </row>
    <row r="200" spans="2:10">
      <c r="B200" s="256"/>
      <c r="C200" s="257" t="s">
        <v>374</v>
      </c>
      <c r="D200" s="256"/>
      <c r="E200" s="259">
        <f>Dat_02!C199</f>
        <v>86.425479054275513</v>
      </c>
      <c r="F200" s="259">
        <f>Dat_02!D199</f>
        <v>101.95753277636452</v>
      </c>
      <c r="G200" s="259">
        <f>Dat_02!E199</f>
        <v>86.425479054275513</v>
      </c>
      <c r="I200" s="260">
        <f>Dat_02!G199</f>
        <v>0</v>
      </c>
      <c r="J200" s="272" t="str">
        <f>IF(Dat_02!H199=0,"",Dat_02!H199)</f>
        <v/>
      </c>
    </row>
    <row r="201" spans="2:10">
      <c r="B201" s="256"/>
      <c r="C201" s="257" t="s">
        <v>375</v>
      </c>
      <c r="D201" s="256"/>
      <c r="E201" s="259">
        <f>Dat_02!C200</f>
        <v>74.544494642275509</v>
      </c>
      <c r="F201" s="259">
        <f>Dat_02!D200</f>
        <v>101.95753277636452</v>
      </c>
      <c r="G201" s="259">
        <f>Dat_02!E200</f>
        <v>74.544494642275509</v>
      </c>
      <c r="I201" s="260">
        <f>Dat_02!G200</f>
        <v>101.95753277636452</v>
      </c>
      <c r="J201" s="272" t="str">
        <f>IF(Dat_02!H200=0,"",Dat_02!H200)</f>
        <v/>
      </c>
    </row>
    <row r="202" spans="2:10">
      <c r="B202" s="256"/>
      <c r="C202" s="257" t="s">
        <v>376</v>
      </c>
      <c r="D202" s="256"/>
      <c r="E202" s="259">
        <f>Dat_02!C201</f>
        <v>69.967279598275525</v>
      </c>
      <c r="F202" s="259">
        <f>Dat_02!D201</f>
        <v>101.95753277636452</v>
      </c>
      <c r="G202" s="259">
        <f>Dat_02!E201</f>
        <v>69.967279598275525</v>
      </c>
      <c r="I202" s="260">
        <f>Dat_02!G201</f>
        <v>0</v>
      </c>
      <c r="J202" s="272" t="str">
        <f>IF(Dat_02!H201=0,"",Dat_02!H201)</f>
        <v/>
      </c>
    </row>
    <row r="203" spans="2:10">
      <c r="B203" s="256"/>
      <c r="C203" s="257" t="s">
        <v>377</v>
      </c>
      <c r="D203" s="256"/>
      <c r="E203" s="259">
        <f>Dat_02!C202</f>
        <v>111.34327048227644</v>
      </c>
      <c r="F203" s="259">
        <f>Dat_02!D202</f>
        <v>101.95753277636452</v>
      </c>
      <c r="G203" s="259">
        <f>Dat_02!E202</f>
        <v>101.95753277636452</v>
      </c>
      <c r="I203" s="260">
        <f>Dat_02!G202</f>
        <v>0</v>
      </c>
      <c r="J203" s="272" t="str">
        <f>IF(Dat_02!H202=0,"",Dat_02!H202)</f>
        <v/>
      </c>
    </row>
    <row r="204" spans="2:10">
      <c r="B204" s="256"/>
      <c r="C204" s="257" t="s">
        <v>378</v>
      </c>
      <c r="D204" s="256"/>
      <c r="E204" s="259">
        <f>Dat_02!C203</f>
        <v>93.932545482275515</v>
      </c>
      <c r="F204" s="259">
        <f>Dat_02!D203</f>
        <v>101.95753277636452</v>
      </c>
      <c r="G204" s="259">
        <f>Dat_02!E203</f>
        <v>93.932545482275515</v>
      </c>
      <c r="I204" s="260">
        <f>Dat_02!G203</f>
        <v>0</v>
      </c>
      <c r="J204" s="272" t="str">
        <f>IF(Dat_02!H203=0,"",Dat_02!H203)</f>
        <v/>
      </c>
    </row>
    <row r="205" spans="2:10">
      <c r="B205" s="256"/>
      <c r="C205" s="257" t="s">
        <v>379</v>
      </c>
      <c r="D205" s="256"/>
      <c r="E205" s="259">
        <f>Dat_02!C204</f>
        <v>100.38242194998713</v>
      </c>
      <c r="F205" s="259">
        <f>Dat_02!D204</f>
        <v>101.95753277636452</v>
      </c>
      <c r="G205" s="259">
        <f>Dat_02!E204</f>
        <v>100.38242194998713</v>
      </c>
      <c r="I205" s="260">
        <f>Dat_02!G204</f>
        <v>0</v>
      </c>
      <c r="J205" s="272" t="str">
        <f>IF(Dat_02!H204=0,"",Dat_02!H204)</f>
        <v/>
      </c>
    </row>
    <row r="206" spans="2:10">
      <c r="B206" s="256"/>
      <c r="C206" s="257" t="s">
        <v>380</v>
      </c>
      <c r="D206" s="256"/>
      <c r="E206" s="259">
        <f>Dat_02!C205</f>
        <v>105.40698662998713</v>
      </c>
      <c r="F206" s="259">
        <f>Dat_02!D205</f>
        <v>101.95753277636452</v>
      </c>
      <c r="G206" s="259">
        <f>Dat_02!E205</f>
        <v>101.95753277636452</v>
      </c>
      <c r="I206" s="260">
        <f>Dat_02!G205</f>
        <v>0</v>
      </c>
      <c r="J206" s="272" t="str">
        <f>IF(Dat_02!H205=0,"",Dat_02!H205)</f>
        <v/>
      </c>
    </row>
    <row r="207" spans="2:10">
      <c r="B207" s="256"/>
      <c r="C207" s="257" t="s">
        <v>381</v>
      </c>
      <c r="D207" s="256"/>
      <c r="E207" s="259">
        <f>Dat_02!C206</f>
        <v>94.165243369987138</v>
      </c>
      <c r="F207" s="259">
        <f>Dat_02!D206</f>
        <v>101.95753277636452</v>
      </c>
      <c r="G207" s="259">
        <f>Dat_02!E206</f>
        <v>94.165243369987138</v>
      </c>
      <c r="I207" s="260">
        <f>Dat_02!G206</f>
        <v>0</v>
      </c>
      <c r="J207" s="272" t="str">
        <f>IF(Dat_02!H206=0,"",Dat_02!H206)</f>
        <v/>
      </c>
    </row>
    <row r="208" spans="2:10">
      <c r="B208" s="256"/>
      <c r="C208" s="257" t="s">
        <v>382</v>
      </c>
      <c r="D208" s="256"/>
      <c r="E208" s="259">
        <f>Dat_02!C207</f>
        <v>95.940931389987128</v>
      </c>
      <c r="F208" s="259">
        <f>Dat_02!D207</f>
        <v>101.95753277636452</v>
      </c>
      <c r="G208" s="259">
        <f>Dat_02!E207</f>
        <v>95.940931389987128</v>
      </c>
      <c r="I208" s="260">
        <f>Dat_02!G207</f>
        <v>0</v>
      </c>
      <c r="J208" s="272" t="str">
        <f>IF(Dat_02!H207=0,"",Dat_02!H207)</f>
        <v/>
      </c>
    </row>
    <row r="209" spans="2:10">
      <c r="B209" s="256"/>
      <c r="C209" s="257" t="s">
        <v>383</v>
      </c>
      <c r="D209" s="256"/>
      <c r="E209" s="259">
        <f>Dat_02!C208</f>
        <v>90.126315709987125</v>
      </c>
      <c r="F209" s="259">
        <f>Dat_02!D208</f>
        <v>101.95753277636452</v>
      </c>
      <c r="G209" s="259">
        <f>Dat_02!E208</f>
        <v>90.126315709987125</v>
      </c>
      <c r="I209" s="260">
        <f>Dat_02!G208</f>
        <v>0</v>
      </c>
      <c r="J209" s="272" t="str">
        <f>IF(Dat_02!H208=0,"",Dat_02!H208)</f>
        <v/>
      </c>
    </row>
    <row r="210" spans="2:10">
      <c r="B210" s="256"/>
      <c r="C210" s="257" t="s">
        <v>384</v>
      </c>
      <c r="D210" s="256"/>
      <c r="E210" s="259">
        <f>Dat_02!C209</f>
        <v>92.583022409987137</v>
      </c>
      <c r="F210" s="259">
        <f>Dat_02!D209</f>
        <v>101.95753277636452</v>
      </c>
      <c r="G210" s="259">
        <f>Dat_02!E209</f>
        <v>92.583022409987137</v>
      </c>
      <c r="I210" s="260">
        <f>Dat_02!G209</f>
        <v>0</v>
      </c>
      <c r="J210" s="272" t="str">
        <f>IF(Dat_02!H209=0,"",Dat_02!H209)</f>
        <v/>
      </c>
    </row>
    <row r="211" spans="2:10">
      <c r="B211" s="256"/>
      <c r="C211" s="257" t="s">
        <v>385</v>
      </c>
      <c r="D211" s="256"/>
      <c r="E211" s="259">
        <f>Dat_02!C210</f>
        <v>78.185484777987128</v>
      </c>
      <c r="F211" s="259">
        <f>Dat_02!D210</f>
        <v>101.95753277636452</v>
      </c>
      <c r="G211" s="259">
        <f>Dat_02!E210</f>
        <v>78.185484777987128</v>
      </c>
      <c r="I211" s="260">
        <f>Dat_02!G210</f>
        <v>0</v>
      </c>
      <c r="J211" s="272" t="str">
        <f>IF(Dat_02!H210=0,"",Dat_02!H210)</f>
        <v/>
      </c>
    </row>
    <row r="212" spans="2:10">
      <c r="B212" s="256"/>
      <c r="C212" s="257" t="s">
        <v>386</v>
      </c>
      <c r="D212" s="256"/>
      <c r="E212" s="259">
        <f>Dat_02!C211</f>
        <v>80.373116800517693</v>
      </c>
      <c r="F212" s="259">
        <f>Dat_02!D211</f>
        <v>101.95753277636452</v>
      </c>
      <c r="G212" s="259">
        <f>Dat_02!E211</f>
        <v>80.373116800517693</v>
      </c>
      <c r="I212" s="260">
        <f>Dat_02!G211</f>
        <v>0</v>
      </c>
      <c r="J212" s="272" t="str">
        <f>IF(Dat_02!H211=0,"",Dat_02!H211)</f>
        <v/>
      </c>
    </row>
    <row r="213" spans="2:10">
      <c r="B213" s="256"/>
      <c r="C213" s="257" t="s">
        <v>387</v>
      </c>
      <c r="D213" s="256"/>
      <c r="E213" s="259">
        <f>Dat_02!C212</f>
        <v>100.59527395651676</v>
      </c>
      <c r="F213" s="259">
        <f>Dat_02!D212</f>
        <v>101.95753277636452</v>
      </c>
      <c r="G213" s="259">
        <f>Dat_02!E212</f>
        <v>100.59527395651676</v>
      </c>
      <c r="I213" s="260">
        <f>Dat_02!G212</f>
        <v>0</v>
      </c>
      <c r="J213" s="272" t="str">
        <f>IF(Dat_02!H212=0,"",Dat_02!H212)</f>
        <v/>
      </c>
    </row>
    <row r="214" spans="2:10">
      <c r="B214" s="256"/>
      <c r="C214" s="257" t="s">
        <v>388</v>
      </c>
      <c r="D214" s="256"/>
      <c r="E214" s="259">
        <f>Dat_02!C213</f>
        <v>78.486777536517678</v>
      </c>
      <c r="F214" s="259">
        <f>Dat_02!D213</f>
        <v>101.95753277636452</v>
      </c>
      <c r="G214" s="259">
        <f>Dat_02!E213</f>
        <v>78.486777536517678</v>
      </c>
      <c r="I214" s="260">
        <f>Dat_02!G213</f>
        <v>0</v>
      </c>
      <c r="J214" s="272" t="str">
        <f>IF(Dat_02!H213=0,"",Dat_02!H213)</f>
        <v/>
      </c>
    </row>
    <row r="215" spans="2:10">
      <c r="B215" s="256"/>
      <c r="C215" s="257" t="s">
        <v>389</v>
      </c>
      <c r="D215" s="256"/>
      <c r="E215" s="259">
        <f>Dat_02!C214</f>
        <v>61.710580186517689</v>
      </c>
      <c r="F215" s="259">
        <f>Dat_02!D214</f>
        <v>101.95753277636452</v>
      </c>
      <c r="G215" s="259">
        <f>Dat_02!E214</f>
        <v>61.710580186517689</v>
      </c>
      <c r="I215" s="260">
        <f>Dat_02!G214</f>
        <v>0</v>
      </c>
      <c r="J215" s="272" t="str">
        <f>IF(Dat_02!H214=0,"",Dat_02!H214)</f>
        <v/>
      </c>
    </row>
    <row r="216" spans="2:10">
      <c r="B216" s="256" t="s">
        <v>390</v>
      </c>
      <c r="C216" s="257" t="s">
        <v>391</v>
      </c>
      <c r="D216" s="256"/>
      <c r="E216" s="259">
        <f>Dat_02!C215</f>
        <v>62.105505364517683</v>
      </c>
      <c r="F216" s="259">
        <f>Dat_02!D215</f>
        <v>101.95753277636452</v>
      </c>
      <c r="G216" s="259">
        <f>Dat_02!E215</f>
        <v>62.105505364517683</v>
      </c>
      <c r="I216" s="260">
        <f>Dat_02!G215</f>
        <v>0</v>
      </c>
      <c r="J216" s="272" t="str">
        <f>IF(Dat_02!H215=0,"",Dat_02!H215)</f>
        <v/>
      </c>
    </row>
    <row r="217" spans="2:10">
      <c r="B217" s="258"/>
      <c r="C217" s="263" t="s">
        <v>392</v>
      </c>
      <c r="D217" s="258"/>
      <c r="E217" s="259">
        <f>Dat_02!C216</f>
        <v>67.689349472517691</v>
      </c>
      <c r="F217" s="259">
        <f>Dat_02!D216</f>
        <v>101.95753277636452</v>
      </c>
      <c r="G217" s="259">
        <f>Dat_02!E216</f>
        <v>67.689349472517691</v>
      </c>
      <c r="I217" s="260">
        <f>Dat_02!G216</f>
        <v>0</v>
      </c>
      <c r="J217" s="272" t="str">
        <f>IF(Dat_02!H216=0,"",Dat_02!H216)</f>
        <v/>
      </c>
    </row>
    <row r="218" spans="2:10">
      <c r="B218" s="258"/>
      <c r="C218" s="263" t="s">
        <v>393</v>
      </c>
      <c r="D218" s="258"/>
      <c r="E218" s="259">
        <f>Dat_02!C217</f>
        <v>48.113297146517681</v>
      </c>
      <c r="F218" s="259">
        <f>Dat_02!D217</f>
        <v>120.59631724353227</v>
      </c>
      <c r="G218" s="259">
        <f>Dat_02!E217</f>
        <v>48.113297146517681</v>
      </c>
      <c r="I218" s="260">
        <f>Dat_02!G217</f>
        <v>0</v>
      </c>
      <c r="J218" s="272" t="str">
        <f>IF(Dat_02!H217=0,"",Dat_02!H217)</f>
        <v/>
      </c>
    </row>
    <row r="219" spans="2:10">
      <c r="B219" s="256"/>
      <c r="C219" s="257" t="s">
        <v>394</v>
      </c>
      <c r="D219" s="258"/>
      <c r="E219" s="259">
        <f>Dat_02!C218</f>
        <v>42.619816521668227</v>
      </c>
      <c r="F219" s="259">
        <f>Dat_02!D218</f>
        <v>120.59631724353227</v>
      </c>
      <c r="G219" s="259">
        <f>Dat_02!E218</f>
        <v>42.619816521668227</v>
      </c>
      <c r="I219" s="260">
        <f>Dat_02!G218</f>
        <v>0</v>
      </c>
      <c r="J219" s="272" t="str">
        <f>IF(Dat_02!H218=0,"",Dat_02!H218)</f>
        <v/>
      </c>
    </row>
    <row r="220" spans="2:10">
      <c r="B220" s="258"/>
      <c r="C220" s="257" t="s">
        <v>395</v>
      </c>
      <c r="D220" s="258"/>
      <c r="E220" s="259">
        <f>Dat_02!C219</f>
        <v>64.313447971668225</v>
      </c>
      <c r="F220" s="259">
        <f>Dat_02!D219</f>
        <v>120.59631724353227</v>
      </c>
      <c r="G220" s="259">
        <f>Dat_02!E219</f>
        <v>64.313447971668225</v>
      </c>
      <c r="I220" s="260">
        <f>Dat_02!G219</f>
        <v>0</v>
      </c>
      <c r="J220" s="272" t="str">
        <f>IF(Dat_02!H219=0,"",Dat_02!H219)</f>
        <v/>
      </c>
    </row>
    <row r="221" spans="2:10">
      <c r="B221" s="256"/>
      <c r="C221" s="257" t="s">
        <v>396</v>
      </c>
      <c r="D221" s="256"/>
      <c r="E221" s="259">
        <f>Dat_02!C220</f>
        <v>75.624265243669157</v>
      </c>
      <c r="F221" s="259">
        <f>Dat_02!D220</f>
        <v>120.59631724353227</v>
      </c>
      <c r="G221" s="259">
        <f>Dat_02!E220</f>
        <v>75.624265243669157</v>
      </c>
      <c r="I221" s="260">
        <f>Dat_02!G220</f>
        <v>0</v>
      </c>
      <c r="J221" s="272" t="str">
        <f>IF(Dat_02!H220=0,"",Dat_02!H220)</f>
        <v/>
      </c>
    </row>
    <row r="222" spans="2:10">
      <c r="B222" s="256"/>
      <c r="C222" s="257" t="s">
        <v>397</v>
      </c>
      <c r="D222" s="256"/>
      <c r="E222" s="259">
        <f>Dat_02!C221</f>
        <v>40.138169683668224</v>
      </c>
      <c r="F222" s="259">
        <f>Dat_02!D221</f>
        <v>120.59631724353227</v>
      </c>
      <c r="G222" s="259">
        <f>Dat_02!E221</f>
        <v>40.138169683668224</v>
      </c>
      <c r="I222" s="260">
        <f>Dat_02!G221</f>
        <v>0</v>
      </c>
      <c r="J222" s="272" t="str">
        <f>IF(Dat_02!H221=0,"",Dat_02!H221)</f>
        <v/>
      </c>
    </row>
    <row r="223" spans="2:10">
      <c r="B223" s="256"/>
      <c r="C223" s="257" t="s">
        <v>398</v>
      </c>
      <c r="D223" s="256"/>
      <c r="E223" s="259">
        <f>Dat_02!C222</f>
        <v>23.395089041669156</v>
      </c>
      <c r="F223" s="259">
        <f>Dat_02!D222</f>
        <v>120.59631724353227</v>
      </c>
      <c r="G223" s="259">
        <f>Dat_02!E222</f>
        <v>23.395089041669156</v>
      </c>
      <c r="I223" s="260">
        <f>Dat_02!G222</f>
        <v>0</v>
      </c>
      <c r="J223" s="272" t="str">
        <f>IF(Dat_02!H222=0,"",Dat_02!H222)</f>
        <v/>
      </c>
    </row>
    <row r="224" spans="2:10">
      <c r="B224" s="256"/>
      <c r="C224" s="257" t="s">
        <v>399</v>
      </c>
      <c r="D224" s="256"/>
      <c r="E224" s="259">
        <f>Dat_02!C223</f>
        <v>48.039766631668229</v>
      </c>
      <c r="F224" s="259">
        <f>Dat_02!D223</f>
        <v>120.59631724353227</v>
      </c>
      <c r="G224" s="259">
        <f>Dat_02!E223</f>
        <v>48.039766631668229</v>
      </c>
      <c r="I224" s="260">
        <f>Dat_02!G223</f>
        <v>0</v>
      </c>
      <c r="J224" s="272" t="str">
        <f>IF(Dat_02!H223=0,"",Dat_02!H223)</f>
        <v/>
      </c>
    </row>
    <row r="225" spans="2:10">
      <c r="B225" s="256"/>
      <c r="C225" s="257" t="s">
        <v>400</v>
      </c>
      <c r="D225" s="256"/>
      <c r="E225" s="259">
        <f>Dat_02!C224</f>
        <v>49.373965037669159</v>
      </c>
      <c r="F225" s="259">
        <f>Dat_02!D224</f>
        <v>120.59631724353227</v>
      </c>
      <c r="G225" s="259">
        <f>Dat_02!E224</f>
        <v>49.373965037669159</v>
      </c>
      <c r="I225" s="260">
        <f>Dat_02!G224</f>
        <v>0</v>
      </c>
      <c r="J225" s="272" t="str">
        <f>IF(Dat_02!H224=0,"",Dat_02!H224)</f>
        <v/>
      </c>
    </row>
    <row r="226" spans="2:10">
      <c r="B226" s="256"/>
      <c r="C226" s="257" t="s">
        <v>401</v>
      </c>
      <c r="D226" s="256"/>
      <c r="E226" s="259">
        <f>Dat_02!C225</f>
        <v>33.704585509775029</v>
      </c>
      <c r="F226" s="259">
        <f>Dat_02!D225</f>
        <v>120.59631724353227</v>
      </c>
      <c r="G226" s="259">
        <f>Dat_02!E225</f>
        <v>33.704585509775029</v>
      </c>
      <c r="I226" s="260">
        <f>Dat_02!G225</f>
        <v>0</v>
      </c>
      <c r="J226" s="272" t="str">
        <f>IF(Dat_02!H225=0,"",Dat_02!H225)</f>
        <v/>
      </c>
    </row>
    <row r="227" spans="2:10">
      <c r="B227" s="256"/>
      <c r="C227" s="257" t="s">
        <v>402</v>
      </c>
      <c r="D227" s="256"/>
      <c r="E227" s="259">
        <f>Dat_02!C226</f>
        <v>47.277197803775032</v>
      </c>
      <c r="F227" s="259">
        <f>Dat_02!D226</f>
        <v>120.59631724353227</v>
      </c>
      <c r="G227" s="259">
        <f>Dat_02!E226</f>
        <v>47.277197803775032</v>
      </c>
      <c r="I227" s="260">
        <f>Dat_02!G226</f>
        <v>0</v>
      </c>
      <c r="J227" s="272" t="str">
        <f>IF(Dat_02!H226=0,"",Dat_02!H226)</f>
        <v/>
      </c>
    </row>
    <row r="228" spans="2:10">
      <c r="B228" s="256"/>
      <c r="C228" s="257" t="s">
        <v>403</v>
      </c>
      <c r="D228" s="256"/>
      <c r="E228" s="259">
        <f>Dat_02!C227</f>
        <v>49.300718171775031</v>
      </c>
      <c r="F228" s="259">
        <f>Dat_02!D227</f>
        <v>120.59631724353227</v>
      </c>
      <c r="G228" s="259">
        <f>Dat_02!E227</f>
        <v>49.300718171775031</v>
      </c>
      <c r="I228" s="260">
        <f>Dat_02!G227</f>
        <v>0</v>
      </c>
      <c r="J228" s="272" t="str">
        <f>IF(Dat_02!H227=0,"",Dat_02!H227)</f>
        <v/>
      </c>
    </row>
    <row r="229" spans="2:10">
      <c r="B229" s="256"/>
      <c r="C229" s="257" t="s">
        <v>404</v>
      </c>
      <c r="D229" s="256"/>
      <c r="E229" s="259">
        <f>Dat_02!C228</f>
        <v>21.41234182177503</v>
      </c>
      <c r="F229" s="259">
        <f>Dat_02!D228</f>
        <v>120.59631724353227</v>
      </c>
      <c r="G229" s="259">
        <f>Dat_02!E228</f>
        <v>21.41234182177503</v>
      </c>
      <c r="I229" s="260">
        <f>Dat_02!G228</f>
        <v>0</v>
      </c>
      <c r="J229" s="272" t="str">
        <f>IF(Dat_02!H228=0,"",Dat_02!H228)</f>
        <v/>
      </c>
    </row>
    <row r="230" spans="2:10">
      <c r="B230" s="256"/>
      <c r="C230" s="257" t="s">
        <v>405</v>
      </c>
      <c r="D230" s="256"/>
      <c r="E230" s="259">
        <f>Dat_02!C229</f>
        <v>27.367468911775031</v>
      </c>
      <c r="F230" s="259">
        <f>Dat_02!D229</f>
        <v>120.59631724353227</v>
      </c>
      <c r="G230" s="259">
        <f>Dat_02!E229</f>
        <v>27.367468911775031</v>
      </c>
      <c r="I230" s="260">
        <f>Dat_02!G229</f>
        <v>0</v>
      </c>
      <c r="J230" s="272" t="str">
        <f>IF(Dat_02!H229=0,"",Dat_02!H229)</f>
        <v/>
      </c>
    </row>
    <row r="231" spans="2:10">
      <c r="B231" s="256"/>
      <c r="C231" s="257" t="s">
        <v>406</v>
      </c>
      <c r="D231" s="256"/>
      <c r="E231" s="259">
        <f>Dat_02!C230</f>
        <v>38.59618624177503</v>
      </c>
      <c r="F231" s="259">
        <f>Dat_02!D230</f>
        <v>120.59631724353227</v>
      </c>
      <c r="G231" s="259">
        <f>Dat_02!E230</f>
        <v>38.59618624177503</v>
      </c>
      <c r="I231" s="260">
        <f>Dat_02!G230</f>
        <v>0</v>
      </c>
      <c r="J231" s="272" t="str">
        <f>IF(Dat_02!H230=0,"",Dat_02!H230)</f>
        <v/>
      </c>
    </row>
    <row r="232" spans="2:10">
      <c r="B232" s="256"/>
      <c r="C232" s="257" t="s">
        <v>407</v>
      </c>
      <c r="D232" s="256"/>
      <c r="E232" s="259">
        <f>Dat_02!C231</f>
        <v>66.260391331775963</v>
      </c>
      <c r="F232" s="259">
        <f>Dat_02!D231</f>
        <v>120.59631724353227</v>
      </c>
      <c r="G232" s="259">
        <f>Dat_02!E231</f>
        <v>66.260391331775963</v>
      </c>
      <c r="I232" s="260">
        <f>Dat_02!G231</f>
        <v>120.59631724353227</v>
      </c>
      <c r="J232" s="272" t="str">
        <f>IF(Dat_02!H231=0,"",Dat_02!H231)</f>
        <v/>
      </c>
    </row>
    <row r="233" spans="2:10">
      <c r="B233" s="256"/>
      <c r="C233" s="257" t="s">
        <v>408</v>
      </c>
      <c r="D233" s="256"/>
      <c r="E233" s="259">
        <f>Dat_02!C232</f>
        <v>57.04045158485799</v>
      </c>
      <c r="F233" s="259">
        <f>Dat_02!D232</f>
        <v>120.59631724353227</v>
      </c>
      <c r="G233" s="259">
        <f>Dat_02!E232</f>
        <v>57.04045158485799</v>
      </c>
      <c r="I233" s="260">
        <f>Dat_02!G232</f>
        <v>0</v>
      </c>
      <c r="J233" s="272" t="str">
        <f>IF(Dat_02!H232=0,"",Dat_02!H232)</f>
        <v/>
      </c>
    </row>
    <row r="234" spans="2:10">
      <c r="B234" s="256"/>
      <c r="C234" s="257" t="s">
        <v>409</v>
      </c>
      <c r="D234" s="256"/>
      <c r="E234" s="259">
        <f>Dat_02!C233</f>
        <v>47.077626530858922</v>
      </c>
      <c r="F234" s="259">
        <f>Dat_02!D233</f>
        <v>120.59631724353227</v>
      </c>
      <c r="G234" s="259">
        <f>Dat_02!E233</f>
        <v>47.077626530858922</v>
      </c>
      <c r="I234" s="260">
        <f>Dat_02!G233</f>
        <v>0</v>
      </c>
      <c r="J234" s="272" t="str">
        <f>IF(Dat_02!H233=0,"",Dat_02!H233)</f>
        <v/>
      </c>
    </row>
    <row r="235" spans="2:10">
      <c r="B235" s="256"/>
      <c r="C235" s="257" t="s">
        <v>410</v>
      </c>
      <c r="D235" s="256"/>
      <c r="E235" s="259">
        <f>Dat_02!C234</f>
        <v>75.719266858857978</v>
      </c>
      <c r="F235" s="259">
        <f>Dat_02!D234</f>
        <v>120.59631724353227</v>
      </c>
      <c r="G235" s="259">
        <f>Dat_02!E234</f>
        <v>75.719266858857978</v>
      </c>
      <c r="I235" s="260">
        <f>Dat_02!G234</f>
        <v>0</v>
      </c>
      <c r="J235" s="272" t="str">
        <f>IF(Dat_02!H234=0,"",Dat_02!H234)</f>
        <v/>
      </c>
    </row>
    <row r="236" spans="2:10">
      <c r="B236" s="256"/>
      <c r="C236" s="257" t="s">
        <v>411</v>
      </c>
      <c r="D236" s="256"/>
      <c r="E236" s="259">
        <f>Dat_02!C235</f>
        <v>43.363908048857994</v>
      </c>
      <c r="F236" s="259">
        <f>Dat_02!D235</f>
        <v>120.59631724353227</v>
      </c>
      <c r="G236" s="259">
        <f>Dat_02!E235</f>
        <v>43.363908048857994</v>
      </c>
      <c r="I236" s="260">
        <f>Dat_02!G235</f>
        <v>0</v>
      </c>
      <c r="J236" s="272" t="str">
        <f>IF(Dat_02!H235=0,"",Dat_02!H235)</f>
        <v/>
      </c>
    </row>
    <row r="237" spans="2:10">
      <c r="B237" s="256"/>
      <c r="C237" s="257" t="s">
        <v>412</v>
      </c>
      <c r="D237" s="256"/>
      <c r="E237" s="259">
        <f>Dat_02!C236</f>
        <v>21.83003846885892</v>
      </c>
      <c r="F237" s="259">
        <f>Dat_02!D236</f>
        <v>120.59631724353227</v>
      </c>
      <c r="G237" s="259">
        <f>Dat_02!E236</f>
        <v>21.83003846885892</v>
      </c>
      <c r="I237" s="260">
        <f>Dat_02!G236</f>
        <v>0</v>
      </c>
      <c r="J237" s="272" t="str">
        <f>IF(Dat_02!H236=0,"",Dat_02!H236)</f>
        <v/>
      </c>
    </row>
    <row r="238" spans="2:10">
      <c r="B238" s="256"/>
      <c r="C238" s="257" t="s">
        <v>413</v>
      </c>
      <c r="D238" s="256"/>
      <c r="E238" s="259">
        <f>Dat_02!C237</f>
        <v>65.392766698857983</v>
      </c>
      <c r="F238" s="259">
        <f>Dat_02!D237</f>
        <v>120.59631724353227</v>
      </c>
      <c r="G238" s="259">
        <f>Dat_02!E237</f>
        <v>65.392766698857983</v>
      </c>
      <c r="I238" s="260">
        <f>Dat_02!G237</f>
        <v>0</v>
      </c>
      <c r="J238" s="272" t="str">
        <f>IF(Dat_02!H237=0,"",Dat_02!H237)</f>
        <v/>
      </c>
    </row>
    <row r="239" spans="2:10">
      <c r="B239" s="256"/>
      <c r="C239" s="257" t="s">
        <v>414</v>
      </c>
      <c r="D239" s="256"/>
      <c r="E239" s="259">
        <f>Dat_02!C238</f>
        <v>50.397212048858911</v>
      </c>
      <c r="F239" s="259">
        <f>Dat_02!D238</f>
        <v>120.59631724353227</v>
      </c>
      <c r="G239" s="259">
        <f>Dat_02!E238</f>
        <v>50.397212048858911</v>
      </c>
      <c r="I239" s="260">
        <f>Dat_02!G238</f>
        <v>0</v>
      </c>
      <c r="J239" s="272" t="str">
        <f>IF(Dat_02!H238=0,"",Dat_02!H238)</f>
        <v/>
      </c>
    </row>
    <row r="240" spans="2:10">
      <c r="B240" s="256"/>
      <c r="C240" s="257" t="s">
        <v>415</v>
      </c>
      <c r="D240" s="256"/>
      <c r="E240" s="259">
        <f>Dat_02!C239</f>
        <v>86.926067344620051</v>
      </c>
      <c r="F240" s="259">
        <f>Dat_02!D239</f>
        <v>120.59631724353227</v>
      </c>
      <c r="G240" s="259">
        <f>Dat_02!E239</f>
        <v>86.926067344620051</v>
      </c>
      <c r="I240" s="260">
        <f>Dat_02!G239</f>
        <v>0</v>
      </c>
      <c r="J240" s="272" t="str">
        <f>IF(Dat_02!H239=0,"",Dat_02!H239)</f>
        <v/>
      </c>
    </row>
    <row r="241" spans="2:10">
      <c r="B241" s="256"/>
      <c r="C241" s="257" t="s">
        <v>416</v>
      </c>
      <c r="D241" s="256"/>
      <c r="E241" s="259">
        <f>Dat_02!C240</f>
        <v>94.078569926620986</v>
      </c>
      <c r="F241" s="259">
        <f>Dat_02!D240</f>
        <v>120.59631724353227</v>
      </c>
      <c r="G241" s="259">
        <f>Dat_02!E240</f>
        <v>94.078569926620986</v>
      </c>
      <c r="I241" s="260">
        <f>Dat_02!G240</f>
        <v>0</v>
      </c>
      <c r="J241" s="272" t="str">
        <f>IF(Dat_02!H240=0,"",Dat_02!H240)</f>
        <v/>
      </c>
    </row>
    <row r="242" spans="2:10">
      <c r="B242" s="256"/>
      <c r="C242" s="257" t="s">
        <v>417</v>
      </c>
      <c r="D242" s="256"/>
      <c r="E242" s="259">
        <f>Dat_02!C241</f>
        <v>99.235658760620055</v>
      </c>
      <c r="F242" s="259">
        <f>Dat_02!D241</f>
        <v>120.59631724353227</v>
      </c>
      <c r="G242" s="259">
        <f>Dat_02!E241</f>
        <v>99.235658760620055</v>
      </c>
      <c r="I242" s="260">
        <f>Dat_02!G241</f>
        <v>0</v>
      </c>
      <c r="J242" s="272" t="str">
        <f>IF(Dat_02!H241=0,"",Dat_02!H241)</f>
        <v/>
      </c>
    </row>
    <row r="243" spans="2:10">
      <c r="B243" s="256"/>
      <c r="C243" s="257" t="s">
        <v>418</v>
      </c>
      <c r="D243" s="256"/>
      <c r="E243" s="259">
        <f>Dat_02!C242</f>
        <v>91.517316510620049</v>
      </c>
      <c r="F243" s="259">
        <f>Dat_02!D242</f>
        <v>120.59631724353227</v>
      </c>
      <c r="G243" s="259">
        <f>Dat_02!E242</f>
        <v>91.517316510620049</v>
      </c>
      <c r="I243" s="260">
        <f>Dat_02!G242</f>
        <v>0</v>
      </c>
      <c r="J243" s="272" t="str">
        <f>IF(Dat_02!H242=0,"",Dat_02!H242)</f>
        <v/>
      </c>
    </row>
    <row r="244" spans="2:10">
      <c r="B244" s="256"/>
      <c r="C244" s="257" t="s">
        <v>419</v>
      </c>
      <c r="D244" s="256"/>
      <c r="E244" s="259">
        <f>Dat_02!C243</f>
        <v>77.204728650620993</v>
      </c>
      <c r="F244" s="259">
        <f>Dat_02!D243</f>
        <v>120.59631724353227</v>
      </c>
      <c r="G244" s="259">
        <f>Dat_02!E243</f>
        <v>77.204728650620993</v>
      </c>
      <c r="I244" s="260">
        <f>Dat_02!G243</f>
        <v>0</v>
      </c>
      <c r="J244" s="272" t="str">
        <f>IF(Dat_02!H243=0,"",Dat_02!H243)</f>
        <v/>
      </c>
    </row>
    <row r="245" spans="2:10">
      <c r="B245" s="256"/>
      <c r="C245" s="257" t="s">
        <v>420</v>
      </c>
      <c r="D245" s="256"/>
      <c r="E245" s="259">
        <f>Dat_02!C244</f>
        <v>98.923464460620039</v>
      </c>
      <c r="F245" s="259">
        <f>Dat_02!D244</f>
        <v>120.59631724353227</v>
      </c>
      <c r="G245" s="259">
        <f>Dat_02!E244</f>
        <v>98.923464460620039</v>
      </c>
      <c r="I245" s="260">
        <f>Dat_02!G244</f>
        <v>0</v>
      </c>
      <c r="J245" s="272" t="str">
        <f>IF(Dat_02!H244=0,"",Dat_02!H244)</f>
        <v/>
      </c>
    </row>
    <row r="246" spans="2:10">
      <c r="B246" s="256"/>
      <c r="C246" s="257" t="s">
        <v>421</v>
      </c>
      <c r="D246" s="256"/>
      <c r="E246" s="259">
        <f>Dat_02!C245</f>
        <v>101.44524273062005</v>
      </c>
      <c r="F246" s="259">
        <f>Dat_02!D245</f>
        <v>120.59631724353227</v>
      </c>
      <c r="G246" s="259">
        <f>Dat_02!E245</f>
        <v>101.44524273062005</v>
      </c>
      <c r="I246" s="260">
        <f>Dat_02!G245</f>
        <v>0</v>
      </c>
      <c r="J246" s="272" t="str">
        <f>IF(Dat_02!H245=0,"",Dat_02!H245)</f>
        <v/>
      </c>
    </row>
    <row r="247" spans="2:10">
      <c r="B247" s="258" t="s">
        <v>422</v>
      </c>
      <c r="C247" s="263" t="s">
        <v>423</v>
      </c>
      <c r="D247" s="256"/>
      <c r="E247" s="259">
        <f>Dat_02!C246</f>
        <v>167.32214358214841</v>
      </c>
      <c r="F247" s="259">
        <f>Dat_02!D246</f>
        <v>120.59631724353227</v>
      </c>
      <c r="G247" s="259">
        <f>Dat_02!E246</f>
        <v>120.59631724353227</v>
      </c>
      <c r="I247" s="260">
        <f>Dat_02!G246</f>
        <v>0</v>
      </c>
      <c r="J247" s="272" t="str">
        <f>IF(Dat_02!H246=0,"",Dat_02!H246)</f>
        <v/>
      </c>
    </row>
    <row r="248" spans="2:10">
      <c r="B248" s="256"/>
      <c r="C248" s="257" t="s">
        <v>424</v>
      </c>
      <c r="D248" s="258"/>
      <c r="E248" s="259">
        <f>Dat_02!C247</f>
        <v>172.56405617015773</v>
      </c>
      <c r="F248" s="259">
        <f>Dat_02!D247</f>
        <v>120.59631724353227</v>
      </c>
      <c r="G248" s="259">
        <f>Dat_02!E247</f>
        <v>120.59631724353227</v>
      </c>
      <c r="I248" s="260">
        <f>Dat_02!G247</f>
        <v>0</v>
      </c>
      <c r="J248" s="272" t="str">
        <f>IF(Dat_02!H247=0,"",Dat_02!H247)</f>
        <v/>
      </c>
    </row>
    <row r="249" spans="2:10">
      <c r="B249" s="256"/>
      <c r="C249" s="257" t="s">
        <v>425</v>
      </c>
      <c r="D249" s="258"/>
      <c r="E249" s="259">
        <f>Dat_02!C248</f>
        <v>185.55380824014654</v>
      </c>
      <c r="F249" s="259">
        <f>Dat_02!D248</f>
        <v>120.04142913099631</v>
      </c>
      <c r="G249" s="259">
        <f>Dat_02!E248</f>
        <v>120.04142913099631</v>
      </c>
      <c r="I249" s="260">
        <f>Dat_02!G248</f>
        <v>0</v>
      </c>
      <c r="J249" s="272" t="str">
        <f>IF(Dat_02!H248=0,"",Dat_02!H248)</f>
        <v/>
      </c>
    </row>
    <row r="250" spans="2:10">
      <c r="B250" s="256"/>
      <c r="C250" s="257" t="s">
        <v>426</v>
      </c>
      <c r="D250" s="258"/>
      <c r="E250" s="259">
        <f>Dat_02!C249</f>
        <v>185.54341329814844</v>
      </c>
      <c r="F250" s="259">
        <f>Dat_02!D249</f>
        <v>120.04142913099631</v>
      </c>
      <c r="G250" s="259">
        <f>Dat_02!E249</f>
        <v>120.04142913099631</v>
      </c>
      <c r="I250" s="260">
        <f>Dat_02!G249</f>
        <v>0</v>
      </c>
      <c r="J250" s="272" t="str">
        <f>IF(Dat_02!H249=0,"",Dat_02!H249)</f>
        <v/>
      </c>
    </row>
    <row r="251" spans="2:10">
      <c r="B251" s="256"/>
      <c r="C251" s="257" t="s">
        <v>427</v>
      </c>
      <c r="D251" s="258"/>
      <c r="E251" s="259">
        <f>Dat_02!C250</f>
        <v>184.93688635014843</v>
      </c>
      <c r="F251" s="259">
        <f>Dat_02!D250</f>
        <v>120.04142913099631</v>
      </c>
      <c r="G251" s="259">
        <f>Dat_02!E250</f>
        <v>120.04142913099631</v>
      </c>
      <c r="I251" s="260">
        <f>Dat_02!G250</f>
        <v>0</v>
      </c>
      <c r="J251" s="272" t="str">
        <f>IF(Dat_02!H250=0,"",Dat_02!H250)</f>
        <v/>
      </c>
    </row>
    <row r="252" spans="2:10">
      <c r="B252" s="256"/>
      <c r="C252" s="257" t="s">
        <v>428</v>
      </c>
      <c r="D252" s="256"/>
      <c r="E252" s="259">
        <f>Dat_02!C251</f>
        <v>193.98394959414841</v>
      </c>
      <c r="F252" s="259">
        <f>Dat_02!D251</f>
        <v>120.04142913099631</v>
      </c>
      <c r="G252" s="259">
        <f>Dat_02!E251</f>
        <v>120.04142913099631</v>
      </c>
      <c r="I252" s="260">
        <f>Dat_02!G251</f>
        <v>0</v>
      </c>
      <c r="J252" s="272" t="str">
        <f>IF(Dat_02!H251=0,"",Dat_02!H251)</f>
        <v/>
      </c>
    </row>
    <row r="253" spans="2:10">
      <c r="B253" s="256"/>
      <c r="C253" s="257" t="s">
        <v>429</v>
      </c>
      <c r="D253" s="256"/>
      <c r="E253" s="259">
        <f>Dat_02!C252</f>
        <v>194.63379708214842</v>
      </c>
      <c r="F253" s="259">
        <f>Dat_02!D252</f>
        <v>120.04142913099631</v>
      </c>
      <c r="G253" s="259">
        <f>Dat_02!E252</f>
        <v>120.04142913099631</v>
      </c>
      <c r="I253" s="260">
        <f>Dat_02!G252</f>
        <v>0</v>
      </c>
      <c r="J253" s="272" t="str">
        <f>IF(Dat_02!H252=0,"",Dat_02!H252)</f>
        <v/>
      </c>
    </row>
    <row r="254" spans="2:10">
      <c r="B254" s="256"/>
      <c r="C254" s="257" t="s">
        <v>430</v>
      </c>
      <c r="D254" s="256"/>
      <c r="E254" s="259">
        <f>Dat_02!C253</f>
        <v>141.24407143784808</v>
      </c>
      <c r="F254" s="259">
        <f>Dat_02!D253</f>
        <v>120.04142913099631</v>
      </c>
      <c r="G254" s="259">
        <f>Dat_02!E253</f>
        <v>120.04142913099631</v>
      </c>
      <c r="I254" s="260">
        <f>Dat_02!G253</f>
        <v>0</v>
      </c>
      <c r="J254" s="272" t="str">
        <f>IF(Dat_02!H253=0,"",Dat_02!H253)</f>
        <v/>
      </c>
    </row>
    <row r="255" spans="2:10">
      <c r="B255" s="256"/>
      <c r="C255" s="257" t="s">
        <v>431</v>
      </c>
      <c r="D255" s="256"/>
      <c r="E255" s="259">
        <f>Dat_02!C254</f>
        <v>141.98757405784806</v>
      </c>
      <c r="F255" s="259">
        <f>Dat_02!D254</f>
        <v>120.04142913099631</v>
      </c>
      <c r="G255" s="259">
        <f>Dat_02!E254</f>
        <v>120.04142913099631</v>
      </c>
      <c r="I255" s="260">
        <f>Dat_02!G254</f>
        <v>0</v>
      </c>
      <c r="J255" s="272" t="str">
        <f>IF(Dat_02!H254=0,"",Dat_02!H254)</f>
        <v/>
      </c>
    </row>
    <row r="256" spans="2:10">
      <c r="B256" s="256"/>
      <c r="C256" s="257" t="s">
        <v>432</v>
      </c>
      <c r="D256" s="256"/>
      <c r="E256" s="259">
        <f>Dat_02!C255</f>
        <v>133.18402521984808</v>
      </c>
      <c r="F256" s="259">
        <f>Dat_02!D255</f>
        <v>120.04142913099631</v>
      </c>
      <c r="G256" s="259">
        <f>Dat_02!E255</f>
        <v>120.04142913099631</v>
      </c>
      <c r="I256" s="260">
        <f>Dat_02!G255</f>
        <v>0</v>
      </c>
      <c r="J256" s="272" t="str">
        <f>IF(Dat_02!H255=0,"",Dat_02!H255)</f>
        <v/>
      </c>
    </row>
    <row r="257" spans="2:10">
      <c r="B257" s="256"/>
      <c r="C257" s="257" t="s">
        <v>433</v>
      </c>
      <c r="D257" s="256"/>
      <c r="E257" s="259">
        <f>Dat_02!C256</f>
        <v>125.94839746984809</v>
      </c>
      <c r="F257" s="259">
        <f>Dat_02!D256</f>
        <v>120.04142913099631</v>
      </c>
      <c r="G257" s="259">
        <f>Dat_02!E256</f>
        <v>120.04142913099631</v>
      </c>
      <c r="I257" s="260">
        <f>Dat_02!G256</f>
        <v>0</v>
      </c>
      <c r="J257" s="272" t="str">
        <f>IF(Dat_02!H256=0,"",Dat_02!H256)</f>
        <v/>
      </c>
    </row>
    <row r="258" spans="2:10">
      <c r="B258" s="256"/>
      <c r="C258" s="257" t="s">
        <v>434</v>
      </c>
      <c r="D258" s="256"/>
      <c r="E258" s="259">
        <f>Dat_02!C257</f>
        <v>114.23968854384995</v>
      </c>
      <c r="F258" s="259">
        <f>Dat_02!D257</f>
        <v>120.04142913099631</v>
      </c>
      <c r="G258" s="259">
        <f>Dat_02!E257</f>
        <v>114.23968854384995</v>
      </c>
      <c r="I258" s="260">
        <f>Dat_02!G257</f>
        <v>0</v>
      </c>
      <c r="J258" s="272" t="str">
        <f>IF(Dat_02!H257=0,"",Dat_02!H257)</f>
        <v/>
      </c>
    </row>
    <row r="259" spans="2:10">
      <c r="B259" s="256"/>
      <c r="C259" s="257" t="s">
        <v>435</v>
      </c>
      <c r="D259" s="256"/>
      <c r="E259" s="259">
        <f>Dat_02!C258</f>
        <v>123.23415218384808</v>
      </c>
      <c r="F259" s="259">
        <f>Dat_02!D258</f>
        <v>120.04142913099631</v>
      </c>
      <c r="G259" s="259">
        <f>Dat_02!E258</f>
        <v>120.04142913099631</v>
      </c>
      <c r="I259" s="260">
        <f>Dat_02!G258</f>
        <v>0</v>
      </c>
      <c r="J259" s="272" t="str">
        <f>IF(Dat_02!H258=0,"",Dat_02!H258)</f>
        <v/>
      </c>
    </row>
    <row r="260" spans="2:10">
      <c r="B260" s="256"/>
      <c r="C260" s="257" t="s">
        <v>436</v>
      </c>
      <c r="D260" s="256"/>
      <c r="E260" s="259">
        <f>Dat_02!C259</f>
        <v>139.96216425384807</v>
      </c>
      <c r="F260" s="259">
        <f>Dat_02!D259</f>
        <v>120.04142913099631</v>
      </c>
      <c r="G260" s="259">
        <f>Dat_02!E259</f>
        <v>120.04142913099631</v>
      </c>
      <c r="I260" s="260">
        <f>Dat_02!G259</f>
        <v>0</v>
      </c>
      <c r="J260" s="272" t="str">
        <f>IF(Dat_02!H259=0,"",Dat_02!H259)</f>
        <v/>
      </c>
    </row>
    <row r="261" spans="2:10">
      <c r="B261" s="256"/>
      <c r="C261" s="257" t="s">
        <v>437</v>
      </c>
      <c r="D261" s="256"/>
      <c r="E261" s="259">
        <f>Dat_02!C260</f>
        <v>120.50735569644542</v>
      </c>
      <c r="F261" s="259">
        <f>Dat_02!D260</f>
        <v>120.04142913099631</v>
      </c>
      <c r="G261" s="259">
        <f>Dat_02!E260</f>
        <v>120.04142913099631</v>
      </c>
      <c r="I261" s="260">
        <f>Dat_02!G260</f>
        <v>0</v>
      </c>
      <c r="J261" s="272" t="str">
        <f>IF(Dat_02!H260=0,"",Dat_02!H260)</f>
        <v/>
      </c>
    </row>
    <row r="262" spans="2:10">
      <c r="B262" s="256"/>
      <c r="C262" s="257" t="s">
        <v>438</v>
      </c>
      <c r="D262" s="256"/>
      <c r="E262" s="259">
        <f>Dat_02!C261</f>
        <v>103.61933332644728</v>
      </c>
      <c r="F262" s="259">
        <f>Dat_02!D261</f>
        <v>120.04142913099631</v>
      </c>
      <c r="G262" s="259">
        <f>Dat_02!E261</f>
        <v>103.61933332644728</v>
      </c>
      <c r="I262" s="260">
        <f>Dat_02!G261</f>
        <v>0</v>
      </c>
      <c r="J262" s="272" t="str">
        <f>IF(Dat_02!H261=0,"",Dat_02!H261)</f>
        <v/>
      </c>
    </row>
    <row r="263" spans="2:10">
      <c r="B263" s="256"/>
      <c r="C263" s="257" t="s">
        <v>439</v>
      </c>
      <c r="D263" s="256"/>
      <c r="E263" s="259">
        <f>Dat_02!C262</f>
        <v>107.91993847844542</v>
      </c>
      <c r="F263" s="259">
        <f>Dat_02!D262</f>
        <v>120.04142913099631</v>
      </c>
      <c r="G263" s="259">
        <f>Dat_02!E262</f>
        <v>107.91993847844542</v>
      </c>
      <c r="I263" s="260">
        <f>Dat_02!G262</f>
        <v>120.04142913099631</v>
      </c>
      <c r="J263" s="272" t="str">
        <f>IF(Dat_02!H262=0,"",Dat_02!H262)</f>
        <v/>
      </c>
    </row>
    <row r="264" spans="2:10">
      <c r="B264" s="256"/>
      <c r="C264" s="257" t="s">
        <v>440</v>
      </c>
      <c r="D264" s="256"/>
      <c r="E264" s="259">
        <f>Dat_02!C263</f>
        <v>94.657826232447277</v>
      </c>
      <c r="F264" s="259">
        <f>Dat_02!D263</f>
        <v>120.04142913099631</v>
      </c>
      <c r="G264" s="259">
        <f>Dat_02!E263</f>
        <v>94.657826232447277</v>
      </c>
      <c r="I264" s="260">
        <f>Dat_02!G263</f>
        <v>0</v>
      </c>
      <c r="J264" s="272" t="str">
        <f>IF(Dat_02!H263=0,"",Dat_02!H263)</f>
        <v/>
      </c>
    </row>
    <row r="265" spans="2:10">
      <c r="B265" s="256"/>
      <c r="C265" s="257" t="s">
        <v>441</v>
      </c>
      <c r="D265" s="256"/>
      <c r="E265" s="259">
        <f>Dat_02!C264</f>
        <v>84.414197128447285</v>
      </c>
      <c r="F265" s="259">
        <f>Dat_02!D264</f>
        <v>120.04142913099631</v>
      </c>
      <c r="G265" s="259">
        <f>Dat_02!E264</f>
        <v>84.414197128447285</v>
      </c>
      <c r="I265" s="260">
        <f>Dat_02!G264</f>
        <v>0</v>
      </c>
      <c r="J265" s="272" t="str">
        <f>IF(Dat_02!H264=0,"",Dat_02!H264)</f>
        <v/>
      </c>
    </row>
    <row r="266" spans="2:10">
      <c r="B266" s="256"/>
      <c r="C266" s="257" t="s">
        <v>442</v>
      </c>
      <c r="D266" s="256"/>
      <c r="E266" s="259">
        <f>Dat_02!C265</f>
        <v>109.91337516244728</v>
      </c>
      <c r="F266" s="259">
        <f>Dat_02!D265</f>
        <v>120.04142913099631</v>
      </c>
      <c r="G266" s="259">
        <f>Dat_02!E265</f>
        <v>109.91337516244728</v>
      </c>
      <c r="I266" s="260">
        <f>Dat_02!G265</f>
        <v>0</v>
      </c>
      <c r="J266" s="272" t="str">
        <f>IF(Dat_02!H265=0,"",Dat_02!H265)</f>
        <v/>
      </c>
    </row>
    <row r="267" spans="2:10">
      <c r="B267" s="256"/>
      <c r="C267" s="257" t="s">
        <v>443</v>
      </c>
      <c r="D267" s="256"/>
      <c r="E267" s="259">
        <f>Dat_02!C266</f>
        <v>119.44001481844542</v>
      </c>
      <c r="F267" s="259">
        <f>Dat_02!D266</f>
        <v>120.04142913099631</v>
      </c>
      <c r="G267" s="259">
        <f>Dat_02!E266</f>
        <v>119.44001481844542</v>
      </c>
      <c r="I267" s="260">
        <f>Dat_02!G266</f>
        <v>0</v>
      </c>
      <c r="J267" s="272" t="str">
        <f>IF(Dat_02!H266=0,"",Dat_02!H266)</f>
        <v/>
      </c>
    </row>
    <row r="268" spans="2:10">
      <c r="B268" s="256"/>
      <c r="C268" s="257" t="s">
        <v>444</v>
      </c>
      <c r="D268" s="256"/>
      <c r="E268" s="259">
        <f>Dat_02!C267</f>
        <v>87.654566587945766</v>
      </c>
      <c r="F268" s="259">
        <f>Dat_02!D267</f>
        <v>120.04142913099631</v>
      </c>
      <c r="G268" s="259">
        <f>Dat_02!E267</f>
        <v>87.654566587945766</v>
      </c>
      <c r="I268" s="260">
        <f>Dat_02!G267</f>
        <v>0</v>
      </c>
      <c r="J268" s="272" t="str">
        <f>IF(Dat_02!H267=0,"",Dat_02!H267)</f>
        <v/>
      </c>
    </row>
    <row r="269" spans="2:10">
      <c r="B269" s="256"/>
      <c r="C269" s="257" t="s">
        <v>445</v>
      </c>
      <c r="D269" s="256"/>
      <c r="E269" s="259">
        <f>Dat_02!C268</f>
        <v>79.100640777947632</v>
      </c>
      <c r="F269" s="259">
        <f>Dat_02!D268</f>
        <v>120.04142913099631</v>
      </c>
      <c r="G269" s="259">
        <f>Dat_02!E268</f>
        <v>79.100640777947632</v>
      </c>
      <c r="I269" s="260">
        <f>Dat_02!G268</f>
        <v>0</v>
      </c>
      <c r="J269" s="272" t="str">
        <f>IF(Dat_02!H268=0,"",Dat_02!H268)</f>
        <v/>
      </c>
    </row>
    <row r="270" spans="2:10">
      <c r="B270" s="256"/>
      <c r="C270" s="257" t="s">
        <v>446</v>
      </c>
      <c r="D270" s="256"/>
      <c r="E270" s="259">
        <f>Dat_02!C269</f>
        <v>75.29656747794948</v>
      </c>
      <c r="F270" s="259">
        <f>Dat_02!D269</f>
        <v>120.04142913099631</v>
      </c>
      <c r="G270" s="259">
        <f>Dat_02!E269</f>
        <v>75.29656747794948</v>
      </c>
      <c r="I270" s="260">
        <f>Dat_02!G269</f>
        <v>0</v>
      </c>
      <c r="J270" s="272" t="str">
        <f>IF(Dat_02!H269=0,"",Dat_02!H269)</f>
        <v/>
      </c>
    </row>
    <row r="271" spans="2:10">
      <c r="B271" s="256"/>
      <c r="C271" s="257" t="s">
        <v>447</v>
      </c>
      <c r="D271" s="256"/>
      <c r="E271" s="259">
        <f>Dat_02!C270</f>
        <v>64.67373701394763</v>
      </c>
      <c r="F271" s="259">
        <f>Dat_02!D270</f>
        <v>120.04142913099631</v>
      </c>
      <c r="G271" s="259">
        <f>Dat_02!E270</f>
        <v>64.67373701394763</v>
      </c>
      <c r="I271" s="260">
        <f>Dat_02!G270</f>
        <v>0</v>
      </c>
      <c r="J271" s="272" t="str">
        <f>IF(Dat_02!H270=0,"",Dat_02!H270)</f>
        <v/>
      </c>
    </row>
    <row r="272" spans="2:10">
      <c r="B272" s="256"/>
      <c r="C272" s="257" t="s">
        <v>448</v>
      </c>
      <c r="D272" s="256"/>
      <c r="E272" s="259">
        <f>Dat_02!C271</f>
        <v>66.547907371945769</v>
      </c>
      <c r="F272" s="259">
        <f>Dat_02!D271</f>
        <v>120.04142913099631</v>
      </c>
      <c r="G272" s="259">
        <f>Dat_02!E271</f>
        <v>66.547907371945769</v>
      </c>
      <c r="I272" s="260">
        <f>Dat_02!G271</f>
        <v>0</v>
      </c>
      <c r="J272" s="272" t="str">
        <f>IF(Dat_02!H271=0,"",Dat_02!H271)</f>
        <v/>
      </c>
    </row>
    <row r="273" spans="2:10">
      <c r="B273" s="256"/>
      <c r="C273" s="257" t="s">
        <v>449</v>
      </c>
      <c r="D273" s="256"/>
      <c r="E273" s="259">
        <f>Dat_02!C272</f>
        <v>91.929126957949492</v>
      </c>
      <c r="F273" s="259">
        <f>Dat_02!D272</f>
        <v>120.04142913099631</v>
      </c>
      <c r="G273" s="259">
        <f>Dat_02!E272</f>
        <v>91.929126957949492</v>
      </c>
      <c r="I273" s="260">
        <f>Dat_02!G272</f>
        <v>0</v>
      </c>
      <c r="J273" s="272" t="str">
        <f>IF(Dat_02!H272=0,"",Dat_02!H272)</f>
        <v/>
      </c>
    </row>
    <row r="274" spans="2:10">
      <c r="B274" s="256"/>
      <c r="C274" s="257" t="s">
        <v>450</v>
      </c>
      <c r="D274" s="256"/>
      <c r="E274" s="259">
        <f>Dat_02!C273</f>
        <v>75.529221327947624</v>
      </c>
      <c r="F274" s="259">
        <f>Dat_02!D273</f>
        <v>120.04142913099631</v>
      </c>
      <c r="G274" s="259">
        <f>Dat_02!E273</f>
        <v>75.529221327947624</v>
      </c>
      <c r="I274" s="260">
        <f>Dat_02!G273</f>
        <v>0</v>
      </c>
      <c r="J274" s="272" t="str">
        <f>IF(Dat_02!H273=0,"",Dat_02!H273)</f>
        <v/>
      </c>
    </row>
    <row r="275" spans="2:10">
      <c r="B275" s="256"/>
      <c r="C275" s="257" t="s">
        <v>451</v>
      </c>
      <c r="D275" s="256"/>
      <c r="E275" s="259">
        <f>Dat_02!C274</f>
        <v>69.289263910232478</v>
      </c>
      <c r="F275" s="259">
        <f>Dat_02!D274</f>
        <v>120.04142913099631</v>
      </c>
      <c r="G275" s="259">
        <f>Dat_02!E274</f>
        <v>69.289263910232478</v>
      </c>
      <c r="I275" s="260">
        <f>Dat_02!G274</f>
        <v>0</v>
      </c>
      <c r="J275" s="272" t="str">
        <f>IF(Dat_02!H274=0,"",Dat_02!H274)</f>
        <v/>
      </c>
    </row>
    <row r="276" spans="2:10">
      <c r="B276" s="256"/>
      <c r="C276" s="257" t="s">
        <v>452</v>
      </c>
      <c r="D276" s="256"/>
      <c r="E276" s="259">
        <f>Dat_02!C275</f>
        <v>63.050286326230605</v>
      </c>
      <c r="F276" s="259">
        <f>Dat_02!D275</f>
        <v>120.04142913099631</v>
      </c>
      <c r="G276" s="259">
        <f>Dat_02!E275</f>
        <v>63.050286326230605</v>
      </c>
      <c r="I276" s="260">
        <f>Dat_02!G275</f>
        <v>0</v>
      </c>
      <c r="J276" s="272" t="str">
        <f>IF(Dat_02!H275=0,"",Dat_02!H275)</f>
        <v/>
      </c>
    </row>
    <row r="277" spans="2:10">
      <c r="B277" s="256" t="s">
        <v>453</v>
      </c>
      <c r="C277" s="257" t="s">
        <v>454</v>
      </c>
      <c r="D277" s="256"/>
      <c r="E277" s="259">
        <f>Dat_02!C276</f>
        <v>70.277278594230609</v>
      </c>
      <c r="F277" s="259">
        <f>Dat_02!D276</f>
        <v>132.90693384979679</v>
      </c>
      <c r="G277" s="259">
        <f>Dat_02!E276</f>
        <v>70.277278594230609</v>
      </c>
      <c r="I277" s="260">
        <f>Dat_02!G276</f>
        <v>0</v>
      </c>
      <c r="J277" s="272" t="str">
        <f>IF(Dat_02!H276=0,"",Dat_02!H276)</f>
        <v/>
      </c>
    </row>
    <row r="278" spans="2:10">
      <c r="B278" s="258"/>
      <c r="C278" s="263" t="s">
        <v>455</v>
      </c>
      <c r="D278" s="258"/>
      <c r="E278" s="259">
        <f>Dat_02!C277</f>
        <v>55.063279526230609</v>
      </c>
      <c r="F278" s="259">
        <f>Dat_02!D277</f>
        <v>132.90693384979679</v>
      </c>
      <c r="G278" s="259">
        <f>Dat_02!E277</f>
        <v>55.063279526230609</v>
      </c>
      <c r="I278" s="260">
        <f>Dat_02!G277</f>
        <v>0</v>
      </c>
      <c r="J278" s="272" t="str">
        <f>IF(Dat_02!H277=0,"",Dat_02!H277)</f>
        <v/>
      </c>
    </row>
    <row r="279" spans="2:10">
      <c r="B279" s="256"/>
      <c r="C279" s="257" t="s">
        <v>456</v>
      </c>
      <c r="D279" s="258"/>
      <c r="E279" s="259">
        <f>Dat_02!C278</f>
        <v>40.958432326230607</v>
      </c>
      <c r="F279" s="259">
        <f>Dat_02!D278</f>
        <v>132.90693384979679</v>
      </c>
      <c r="G279" s="259">
        <f>Dat_02!E278</f>
        <v>40.958432326230607</v>
      </c>
      <c r="I279" s="260">
        <f>Dat_02!G278</f>
        <v>0</v>
      </c>
      <c r="J279" s="272" t="str">
        <f>IF(Dat_02!H278=0,"",Dat_02!H278)</f>
        <v/>
      </c>
    </row>
    <row r="280" spans="2:10">
      <c r="B280" s="256"/>
      <c r="C280" s="257" t="s">
        <v>457</v>
      </c>
      <c r="D280" s="256"/>
      <c r="E280" s="259">
        <f>Dat_02!C279</f>
        <v>48.805438076230608</v>
      </c>
      <c r="F280" s="259">
        <f>Dat_02!D279</f>
        <v>132.90693384979679</v>
      </c>
      <c r="G280" s="259">
        <f>Dat_02!E279</f>
        <v>48.805438076230608</v>
      </c>
      <c r="I280" s="260">
        <f>Dat_02!G279</f>
        <v>0</v>
      </c>
      <c r="J280" s="272" t="str">
        <f>IF(Dat_02!H279=0,"",Dat_02!H279)</f>
        <v/>
      </c>
    </row>
    <row r="281" spans="2:10">
      <c r="B281" s="256"/>
      <c r="C281" s="257" t="s">
        <v>458</v>
      </c>
      <c r="D281" s="256"/>
      <c r="E281" s="259">
        <f>Dat_02!C280</f>
        <v>50.547411536228744</v>
      </c>
      <c r="F281" s="259">
        <f>Dat_02!D280</f>
        <v>132.90693384979679</v>
      </c>
      <c r="G281" s="259">
        <f>Dat_02!E280</f>
        <v>50.547411536228744</v>
      </c>
      <c r="I281" s="260">
        <f>Dat_02!G280</f>
        <v>0</v>
      </c>
      <c r="J281" s="272" t="str">
        <f>IF(Dat_02!H280=0,"",Dat_02!H280)</f>
        <v/>
      </c>
    </row>
    <row r="282" spans="2:10">
      <c r="B282" s="256"/>
      <c r="C282" s="257" t="s">
        <v>459</v>
      </c>
      <c r="D282" s="256"/>
      <c r="E282" s="259">
        <f>Dat_02!C281</f>
        <v>97.01271852355444</v>
      </c>
      <c r="F282" s="259">
        <f>Dat_02!D281</f>
        <v>132.90693384979679</v>
      </c>
      <c r="G282" s="259">
        <f>Dat_02!E281</f>
        <v>97.01271852355444</v>
      </c>
      <c r="I282" s="260">
        <f>Dat_02!G281</f>
        <v>0</v>
      </c>
      <c r="J282" s="272" t="str">
        <f>IF(Dat_02!H281=0,"",Dat_02!H281)</f>
        <v/>
      </c>
    </row>
    <row r="283" spans="2:10">
      <c r="B283" s="256"/>
      <c r="C283" s="257" t="s">
        <v>460</v>
      </c>
      <c r="D283" s="256"/>
      <c r="E283" s="259">
        <f>Dat_02!C282</f>
        <v>113.77196696755446</v>
      </c>
      <c r="F283" s="259">
        <f>Dat_02!D282</f>
        <v>132.90693384979679</v>
      </c>
      <c r="G283" s="259">
        <f>Dat_02!E282</f>
        <v>113.77196696755446</v>
      </c>
      <c r="I283" s="260">
        <f>Dat_02!G282</f>
        <v>0</v>
      </c>
      <c r="J283" s="272" t="str">
        <f>IF(Dat_02!H282=0,"",Dat_02!H282)</f>
        <v/>
      </c>
    </row>
    <row r="284" spans="2:10">
      <c r="B284" s="256"/>
      <c r="C284" s="257" t="s">
        <v>461</v>
      </c>
      <c r="D284" s="256"/>
      <c r="E284" s="259">
        <f>Dat_02!C283</f>
        <v>134.49824530355446</v>
      </c>
      <c r="F284" s="259">
        <f>Dat_02!D283</f>
        <v>132.90693384979679</v>
      </c>
      <c r="G284" s="259">
        <f>Dat_02!E283</f>
        <v>132.90693384979679</v>
      </c>
      <c r="I284" s="260">
        <f>Dat_02!G283</f>
        <v>0</v>
      </c>
      <c r="J284" s="272" t="str">
        <f>IF(Dat_02!H283=0,"",Dat_02!H283)</f>
        <v/>
      </c>
    </row>
    <row r="285" spans="2:10">
      <c r="B285" s="256"/>
      <c r="C285" s="257" t="s">
        <v>462</v>
      </c>
      <c r="D285" s="256"/>
      <c r="E285" s="259">
        <f>Dat_02!C284</f>
        <v>133.48379254355444</v>
      </c>
      <c r="F285" s="259">
        <f>Dat_02!D284</f>
        <v>132.90693384979679</v>
      </c>
      <c r="G285" s="259">
        <f>Dat_02!E284</f>
        <v>132.90693384979679</v>
      </c>
      <c r="I285" s="260">
        <f>Dat_02!G284</f>
        <v>0</v>
      </c>
      <c r="J285" s="272" t="str">
        <f>IF(Dat_02!H284=0,"",Dat_02!H284)</f>
        <v/>
      </c>
    </row>
    <row r="286" spans="2:10">
      <c r="B286" s="256"/>
      <c r="C286" s="257" t="s">
        <v>463</v>
      </c>
      <c r="D286" s="256"/>
      <c r="E286" s="259">
        <f>Dat_02!C285</f>
        <v>106.05562519355446</v>
      </c>
      <c r="F286" s="259">
        <f>Dat_02!D285</f>
        <v>132.90693384979679</v>
      </c>
      <c r="G286" s="259">
        <f>Dat_02!E285</f>
        <v>106.05562519355446</v>
      </c>
      <c r="I286" s="260">
        <f>Dat_02!G285</f>
        <v>0</v>
      </c>
      <c r="J286" s="272" t="str">
        <f>IF(Dat_02!H285=0,"",Dat_02!H285)</f>
        <v/>
      </c>
    </row>
    <row r="287" spans="2:10">
      <c r="B287" s="256"/>
      <c r="C287" s="257" t="s">
        <v>464</v>
      </c>
      <c r="D287" s="256"/>
      <c r="E287" s="259">
        <f>Dat_02!C286</f>
        <v>131.23816403755447</v>
      </c>
      <c r="F287" s="259">
        <f>Dat_02!D286</f>
        <v>132.90693384979679</v>
      </c>
      <c r="G287" s="259">
        <f>Dat_02!E286</f>
        <v>131.23816403755447</v>
      </c>
      <c r="I287" s="260">
        <f>Dat_02!G286</f>
        <v>0</v>
      </c>
      <c r="J287" s="272" t="str">
        <f>IF(Dat_02!H286=0,"",Dat_02!H286)</f>
        <v/>
      </c>
    </row>
    <row r="288" spans="2:10">
      <c r="B288" s="256"/>
      <c r="C288" s="257" t="s">
        <v>465</v>
      </c>
      <c r="D288" s="256"/>
      <c r="E288" s="259">
        <f>Dat_02!C287</f>
        <v>122.21529737355259</v>
      </c>
      <c r="F288" s="259">
        <f>Dat_02!D287</f>
        <v>132.90693384979679</v>
      </c>
      <c r="G288" s="259">
        <f>Dat_02!E287</f>
        <v>122.21529737355259</v>
      </c>
      <c r="I288" s="260">
        <f>Dat_02!G287</f>
        <v>0</v>
      </c>
      <c r="J288" s="272" t="str">
        <f>IF(Dat_02!H287=0,"",Dat_02!H287)</f>
        <v/>
      </c>
    </row>
    <row r="289" spans="2:10">
      <c r="B289" s="256"/>
      <c r="C289" s="257" t="s">
        <v>466</v>
      </c>
      <c r="D289" s="256"/>
      <c r="E289" s="259">
        <f>Dat_02!C288</f>
        <v>66.401825921277947</v>
      </c>
      <c r="F289" s="259">
        <f>Dat_02!D288</f>
        <v>132.90693384979679</v>
      </c>
      <c r="G289" s="259">
        <f>Dat_02!E288</f>
        <v>66.401825921277947</v>
      </c>
      <c r="I289" s="260">
        <f>Dat_02!G288</f>
        <v>0</v>
      </c>
      <c r="J289" s="272" t="str">
        <f>IF(Dat_02!H288=0,"",Dat_02!H288)</f>
        <v/>
      </c>
    </row>
    <row r="290" spans="2:10">
      <c r="B290" s="256"/>
      <c r="C290" s="257" t="s">
        <v>467</v>
      </c>
      <c r="D290" s="256"/>
      <c r="E290" s="259">
        <f>Dat_02!C289</f>
        <v>83.578813791277952</v>
      </c>
      <c r="F290" s="259">
        <f>Dat_02!D289</f>
        <v>132.90693384979679</v>
      </c>
      <c r="G290" s="259">
        <f>Dat_02!E289</f>
        <v>83.578813791277952</v>
      </c>
      <c r="I290" s="260">
        <f>Dat_02!G289</f>
        <v>0</v>
      </c>
      <c r="J290" s="272" t="str">
        <f>IF(Dat_02!H289=0,"",Dat_02!H289)</f>
        <v/>
      </c>
    </row>
    <row r="291" spans="2:10">
      <c r="B291" s="256"/>
      <c r="C291" s="257" t="s">
        <v>468</v>
      </c>
      <c r="D291" s="256"/>
      <c r="E291" s="259">
        <f>Dat_02!C290</f>
        <v>97.28867130127982</v>
      </c>
      <c r="F291" s="259">
        <f>Dat_02!D290</f>
        <v>132.90693384979679</v>
      </c>
      <c r="G291" s="259">
        <f>Dat_02!E290</f>
        <v>97.28867130127982</v>
      </c>
      <c r="I291" s="260">
        <f>Dat_02!G290</f>
        <v>132.90693384979679</v>
      </c>
      <c r="J291" s="272" t="str">
        <f>IF(Dat_02!H290=0,"",Dat_02!H290)</f>
        <v/>
      </c>
    </row>
    <row r="292" spans="2:10">
      <c r="B292" s="256"/>
      <c r="C292" s="257" t="s">
        <v>469</v>
      </c>
      <c r="D292" s="256"/>
      <c r="E292" s="259">
        <f>Dat_02!C291</f>
        <v>74.691771641277953</v>
      </c>
      <c r="F292" s="259">
        <f>Dat_02!D291</f>
        <v>132.90693384979679</v>
      </c>
      <c r="G292" s="259">
        <f>Dat_02!E291</f>
        <v>74.691771641277953</v>
      </c>
      <c r="I292" s="260">
        <f>Dat_02!G291</f>
        <v>0</v>
      </c>
      <c r="J292" s="272" t="str">
        <f>IF(Dat_02!H291=0,"",Dat_02!H291)</f>
        <v/>
      </c>
    </row>
    <row r="293" spans="2:10">
      <c r="B293" s="256"/>
      <c r="C293" s="257" t="s">
        <v>470</v>
      </c>
      <c r="D293" s="256"/>
      <c r="E293" s="259">
        <f>Dat_02!C292</f>
        <v>41.066370621277947</v>
      </c>
      <c r="F293" s="259">
        <f>Dat_02!D292</f>
        <v>132.90693384979679</v>
      </c>
      <c r="G293" s="259">
        <f>Dat_02!E292</f>
        <v>41.066370621277947</v>
      </c>
      <c r="I293" s="260">
        <f>Dat_02!G292</f>
        <v>0</v>
      </c>
      <c r="J293" s="272" t="str">
        <f>IF(Dat_02!H292=0,"",Dat_02!H292)</f>
        <v/>
      </c>
    </row>
    <row r="294" spans="2:10">
      <c r="B294" s="256"/>
      <c r="C294" s="257" t="s">
        <v>471</v>
      </c>
      <c r="D294" s="256"/>
      <c r="E294" s="259">
        <f>Dat_02!C293</f>
        <v>61.15964948127796</v>
      </c>
      <c r="F294" s="259">
        <f>Dat_02!D293</f>
        <v>132.90693384979679</v>
      </c>
      <c r="G294" s="259">
        <f>Dat_02!E293</f>
        <v>61.15964948127796</v>
      </c>
      <c r="I294" s="260">
        <f>Dat_02!G293</f>
        <v>0</v>
      </c>
      <c r="J294" s="272" t="str">
        <f>IF(Dat_02!H293=0,"",Dat_02!H293)</f>
        <v/>
      </c>
    </row>
    <row r="295" spans="2:10">
      <c r="B295" s="256"/>
      <c r="C295" s="257" t="s">
        <v>472</v>
      </c>
      <c r="D295" s="256"/>
      <c r="E295" s="259">
        <f>Dat_02!C294</f>
        <v>61.975206013277955</v>
      </c>
      <c r="F295" s="259">
        <f>Dat_02!D294</f>
        <v>132.90693384979679</v>
      </c>
      <c r="G295" s="259">
        <f>Dat_02!E294</f>
        <v>61.975206013277955</v>
      </c>
      <c r="I295" s="260">
        <f>Dat_02!G294</f>
        <v>0</v>
      </c>
      <c r="J295" s="272" t="str">
        <f>IF(Dat_02!H294=0,"",Dat_02!H294)</f>
        <v/>
      </c>
    </row>
    <row r="296" spans="2:10">
      <c r="B296" s="256"/>
      <c r="C296" s="257" t="s">
        <v>473</v>
      </c>
      <c r="D296" s="256"/>
      <c r="E296" s="259">
        <f>Dat_02!C295</f>
        <v>59.04501076469046</v>
      </c>
      <c r="F296" s="259">
        <f>Dat_02!D295</f>
        <v>132.90693384979679</v>
      </c>
      <c r="G296" s="259">
        <f>Dat_02!E295</f>
        <v>59.04501076469046</v>
      </c>
      <c r="I296" s="260">
        <f>Dat_02!G295</f>
        <v>0</v>
      </c>
      <c r="J296" s="272" t="str">
        <f>IF(Dat_02!H295=0,"",Dat_02!H295)</f>
        <v/>
      </c>
    </row>
    <row r="297" spans="2:10">
      <c r="B297" s="256"/>
      <c r="C297" s="257" t="s">
        <v>474</v>
      </c>
      <c r="D297" s="256"/>
      <c r="E297" s="259">
        <f>Dat_02!C296</f>
        <v>74.889885428690448</v>
      </c>
      <c r="F297" s="259">
        <f>Dat_02!D296</f>
        <v>132.90693384979679</v>
      </c>
      <c r="G297" s="259">
        <f>Dat_02!E296</f>
        <v>74.889885428690448</v>
      </c>
      <c r="I297" s="260">
        <f>Dat_02!G296</f>
        <v>0</v>
      </c>
      <c r="J297" s="272" t="str">
        <f>IF(Dat_02!H296=0,"",Dat_02!H296)</f>
        <v/>
      </c>
    </row>
    <row r="298" spans="2:10">
      <c r="B298" s="256"/>
      <c r="C298" s="257" t="s">
        <v>475</v>
      </c>
      <c r="D298" s="256"/>
      <c r="E298" s="259">
        <f>Dat_02!C297</f>
        <v>98.914973132690463</v>
      </c>
      <c r="F298" s="259">
        <f>Dat_02!D297</f>
        <v>132.90693384979679</v>
      </c>
      <c r="G298" s="259">
        <f>Dat_02!E297</f>
        <v>98.914973132690463</v>
      </c>
      <c r="I298" s="260">
        <f>Dat_02!G297</f>
        <v>0</v>
      </c>
      <c r="J298" s="272" t="str">
        <f>IF(Dat_02!H297=0,"",Dat_02!H297)</f>
        <v/>
      </c>
    </row>
    <row r="299" spans="2:10">
      <c r="B299" s="256"/>
      <c r="C299" s="257" t="s">
        <v>476</v>
      </c>
      <c r="D299" s="256"/>
      <c r="E299" s="259">
        <f>Dat_02!C298</f>
        <v>68.305593472692308</v>
      </c>
      <c r="F299" s="259">
        <f>Dat_02!D298</f>
        <v>132.90693384979679</v>
      </c>
      <c r="G299" s="259">
        <f>Dat_02!E298</f>
        <v>68.305593472692308</v>
      </c>
      <c r="I299" s="260">
        <f>Dat_02!G298</f>
        <v>0</v>
      </c>
      <c r="J299" s="272" t="str">
        <f>IF(Dat_02!H298=0,"",Dat_02!H298)</f>
        <v/>
      </c>
    </row>
    <row r="300" spans="2:10">
      <c r="B300" s="256"/>
      <c r="C300" s="257" t="s">
        <v>477</v>
      </c>
      <c r="D300" s="256"/>
      <c r="E300" s="259">
        <f>Dat_02!C299</f>
        <v>41.294560642690456</v>
      </c>
      <c r="F300" s="259">
        <f>Dat_02!D299</f>
        <v>132.90693384979679</v>
      </c>
      <c r="G300" s="259">
        <f>Dat_02!E299</f>
        <v>41.294560642690456</v>
      </c>
      <c r="I300" s="260">
        <f>Dat_02!G299</f>
        <v>0</v>
      </c>
      <c r="J300" s="272" t="str">
        <f>IF(Dat_02!H299=0,"",Dat_02!H299)</f>
        <v/>
      </c>
    </row>
    <row r="301" spans="2:10">
      <c r="B301" s="256"/>
      <c r="C301" s="257" t="s">
        <v>478</v>
      </c>
      <c r="D301" s="256"/>
      <c r="E301" s="259">
        <f>Dat_02!C300</f>
        <v>42.070215022690455</v>
      </c>
      <c r="F301" s="259">
        <f>Dat_02!D300</f>
        <v>132.90693384979679</v>
      </c>
      <c r="G301" s="259">
        <f>Dat_02!E300</f>
        <v>42.070215022690455</v>
      </c>
      <c r="I301" s="260">
        <f>Dat_02!G300</f>
        <v>0</v>
      </c>
      <c r="J301" s="272" t="str">
        <f>IF(Dat_02!H300=0,"",Dat_02!H300)</f>
        <v/>
      </c>
    </row>
    <row r="302" spans="2:10">
      <c r="B302" s="256"/>
      <c r="C302" s="257" t="s">
        <v>479</v>
      </c>
      <c r="D302" s="256"/>
      <c r="E302" s="259">
        <f>Dat_02!C301</f>
        <v>37.89081406269046</v>
      </c>
      <c r="F302" s="259">
        <f>Dat_02!D301</f>
        <v>132.90693384979679</v>
      </c>
      <c r="G302" s="259">
        <f>Dat_02!E301</f>
        <v>37.89081406269046</v>
      </c>
      <c r="I302" s="260">
        <f>Dat_02!G301</f>
        <v>0</v>
      </c>
      <c r="J302" s="272" t="str">
        <f>IF(Dat_02!H301=0,"",Dat_02!H301)</f>
        <v/>
      </c>
    </row>
    <row r="303" spans="2:10">
      <c r="B303" s="256"/>
      <c r="C303" s="257" t="s">
        <v>480</v>
      </c>
      <c r="D303" s="256"/>
      <c r="E303" s="259">
        <f>Dat_02!C302</f>
        <v>39.164603627379492</v>
      </c>
      <c r="F303" s="259">
        <f>Dat_02!D302</f>
        <v>132.90693384979679</v>
      </c>
      <c r="G303" s="259">
        <f>Dat_02!E302</f>
        <v>39.164603627379492</v>
      </c>
      <c r="I303" s="260">
        <f>Dat_02!G302</f>
        <v>0</v>
      </c>
      <c r="J303" s="272" t="str">
        <f>IF(Dat_02!H302=0,"",Dat_02!H302)</f>
        <v/>
      </c>
    </row>
    <row r="304" spans="2:10">
      <c r="B304" s="256"/>
      <c r="C304" s="257" t="s">
        <v>481</v>
      </c>
      <c r="D304" s="256"/>
      <c r="E304" s="259">
        <f>Dat_02!C303</f>
        <v>50.549527553381346</v>
      </c>
      <c r="F304" s="259">
        <f>Dat_02!D303</f>
        <v>132.90693384979679</v>
      </c>
      <c r="G304" s="259">
        <f>Dat_02!E303</f>
        <v>50.549527553381346</v>
      </c>
      <c r="I304" s="260">
        <f>Dat_02!G303</f>
        <v>0</v>
      </c>
      <c r="J304" s="272" t="str">
        <f>IF(Dat_02!H303=0,"",Dat_02!H303)</f>
        <v/>
      </c>
    </row>
    <row r="305" spans="2:10">
      <c r="B305" s="256"/>
      <c r="C305" s="257" t="s">
        <v>482</v>
      </c>
      <c r="D305" s="256"/>
      <c r="E305" s="259">
        <f>Dat_02!C304</f>
        <v>62.508611467379481</v>
      </c>
      <c r="F305" s="259">
        <f>Dat_02!D304</f>
        <v>132.90693384979679</v>
      </c>
      <c r="G305" s="259">
        <f>Dat_02!E304</f>
        <v>62.508611467379481</v>
      </c>
      <c r="I305" s="260">
        <f>Dat_02!G304</f>
        <v>0</v>
      </c>
      <c r="J305" s="272" t="str">
        <f>IF(Dat_02!H304=0,"",Dat_02!H304)</f>
        <v/>
      </c>
    </row>
    <row r="306" spans="2:10">
      <c r="B306" s="256"/>
      <c r="C306" s="257" t="s">
        <v>483</v>
      </c>
      <c r="D306" s="256"/>
      <c r="E306" s="259">
        <f>Dat_02!C305</f>
        <v>40.584141867379493</v>
      </c>
      <c r="F306" s="259">
        <f>Dat_02!D305</f>
        <v>132.90693384979679</v>
      </c>
      <c r="G306" s="259">
        <f>Dat_02!E305</f>
        <v>40.584141867379493</v>
      </c>
      <c r="I306" s="260">
        <f>Dat_02!G305</f>
        <v>0</v>
      </c>
      <c r="J306" s="272" t="str">
        <f>IF(Dat_02!H305=0,"",Dat_02!H305)</f>
        <v/>
      </c>
    </row>
    <row r="307" spans="2:10">
      <c r="B307" s="256"/>
      <c r="C307" s="257" t="s">
        <v>484</v>
      </c>
      <c r="D307" s="256"/>
      <c r="E307" s="259">
        <f>Dat_02!C306</f>
        <v>51.808680707385072</v>
      </c>
      <c r="F307" s="259">
        <f>Dat_02!D306</f>
        <v>132.90693384979679</v>
      </c>
      <c r="G307" s="259">
        <f>Dat_02!E306</f>
        <v>51.808680707385072</v>
      </c>
      <c r="I307" s="260">
        <f>Dat_02!G306</f>
        <v>0</v>
      </c>
      <c r="J307" s="272" t="str">
        <f>IF(Dat_02!H306=0,"",Dat_02!H306)</f>
        <v/>
      </c>
    </row>
    <row r="308" spans="2:10">
      <c r="B308" s="258" t="s">
        <v>485</v>
      </c>
      <c r="C308" s="263" t="s">
        <v>486</v>
      </c>
      <c r="D308" s="256"/>
      <c r="E308" s="259">
        <f>Dat_02!C307</f>
        <v>76.65771883938136</v>
      </c>
      <c r="F308" s="259">
        <f>Dat_02!D307</f>
        <v>128.77123560535</v>
      </c>
      <c r="G308" s="259">
        <f>Dat_02!E307</f>
        <v>76.65771883938136</v>
      </c>
      <c r="I308" s="260">
        <f>Dat_02!G307</f>
        <v>0</v>
      </c>
      <c r="J308" s="272" t="str">
        <f>IF(Dat_02!H307=0,"",Dat_02!H307)</f>
        <v/>
      </c>
    </row>
    <row r="309" spans="2:10">
      <c r="B309" s="256"/>
      <c r="C309" s="257" t="s">
        <v>487</v>
      </c>
      <c r="D309" s="258"/>
      <c r="E309" s="259">
        <f>Dat_02!C308</f>
        <v>73.103140955377611</v>
      </c>
      <c r="F309" s="259">
        <f>Dat_02!D308</f>
        <v>128.77123560535</v>
      </c>
      <c r="G309" s="259">
        <f>Dat_02!E308</f>
        <v>73.103140955377611</v>
      </c>
      <c r="I309" s="260">
        <f>Dat_02!G308</f>
        <v>0</v>
      </c>
      <c r="J309" s="272" t="str">
        <f>IF(Dat_02!H308=0,"",Dat_02!H308)</f>
        <v/>
      </c>
    </row>
    <row r="310" spans="2:10">
      <c r="B310" s="256"/>
      <c r="C310" s="257" t="s">
        <v>488</v>
      </c>
      <c r="D310" s="258"/>
      <c r="E310" s="259">
        <f>Dat_02!C309</f>
        <v>45.01858317977959</v>
      </c>
      <c r="F310" s="259">
        <f>Dat_02!D309</f>
        <v>128.77123560535</v>
      </c>
      <c r="G310" s="259">
        <f>Dat_02!E309</f>
        <v>45.01858317977959</v>
      </c>
      <c r="I310" s="260">
        <f>Dat_02!G309</f>
        <v>0</v>
      </c>
      <c r="J310" s="272" t="str">
        <f>IF(Dat_02!H309=0,"",Dat_02!H309)</f>
        <v/>
      </c>
    </row>
    <row r="311" spans="2:10">
      <c r="B311" s="256"/>
      <c r="C311" s="257" t="s">
        <v>489</v>
      </c>
      <c r="D311" s="256"/>
      <c r="E311" s="259">
        <f>Dat_02!C310</f>
        <v>42.325144523779592</v>
      </c>
      <c r="F311" s="259">
        <f>Dat_02!D310</f>
        <v>128.77123560535</v>
      </c>
      <c r="G311" s="259">
        <f>Dat_02!E310</f>
        <v>42.325144523779592</v>
      </c>
      <c r="I311" s="260">
        <f>Dat_02!G310</f>
        <v>0</v>
      </c>
      <c r="J311" s="272" t="str">
        <f>IF(Dat_02!H310=0,"",Dat_02!H310)</f>
        <v/>
      </c>
    </row>
    <row r="312" spans="2:10">
      <c r="B312" s="256"/>
      <c r="C312" s="257" t="s">
        <v>490</v>
      </c>
      <c r="D312" s="256"/>
      <c r="E312" s="259">
        <f>Dat_02!C311</f>
        <v>53.114143071777725</v>
      </c>
      <c r="F312" s="259">
        <f>Dat_02!D311</f>
        <v>128.77123560535</v>
      </c>
      <c r="G312" s="259">
        <f>Dat_02!E311</f>
        <v>53.114143071777725</v>
      </c>
      <c r="I312" s="260">
        <f>Dat_02!G311</f>
        <v>0</v>
      </c>
      <c r="J312" s="272" t="str">
        <f>IF(Dat_02!H311=0,"",Dat_02!H311)</f>
        <v/>
      </c>
    </row>
    <row r="313" spans="2:10">
      <c r="B313" s="256"/>
      <c r="C313" s="257" t="s">
        <v>491</v>
      </c>
      <c r="D313" s="256"/>
      <c r="E313" s="259">
        <f>Dat_02!C312</f>
        <v>35.382675467779592</v>
      </c>
      <c r="F313" s="259">
        <f>Dat_02!D312</f>
        <v>128.77123560535</v>
      </c>
      <c r="G313" s="259">
        <f>Dat_02!E312</f>
        <v>35.382675467779592</v>
      </c>
      <c r="I313" s="260">
        <f>Dat_02!G312</f>
        <v>0</v>
      </c>
      <c r="J313" s="272" t="str">
        <f>IF(Dat_02!H312=0,"",Dat_02!H312)</f>
        <v/>
      </c>
    </row>
    <row r="314" spans="2:10">
      <c r="B314" s="256"/>
      <c r="C314" s="257" t="s">
        <v>492</v>
      </c>
      <c r="D314" s="256"/>
      <c r="E314" s="259">
        <f>Dat_02!C313</f>
        <v>30.349885119777724</v>
      </c>
      <c r="F314" s="259">
        <f>Dat_02!D313</f>
        <v>128.77123560535</v>
      </c>
      <c r="G314" s="259">
        <f>Dat_02!E313</f>
        <v>30.349885119777724</v>
      </c>
      <c r="I314" s="260">
        <f>Dat_02!G313</f>
        <v>0</v>
      </c>
      <c r="J314" s="272" t="str">
        <f>IF(Dat_02!H313=0,"",Dat_02!H313)</f>
        <v/>
      </c>
    </row>
    <row r="315" spans="2:10">
      <c r="B315" s="256"/>
      <c r="C315" s="257" t="s">
        <v>493</v>
      </c>
      <c r="D315" s="256"/>
      <c r="E315" s="259">
        <f>Dat_02!C314</f>
        <v>38.869087747777733</v>
      </c>
      <c r="F315" s="259">
        <f>Dat_02!D314</f>
        <v>128.77123560535</v>
      </c>
      <c r="G315" s="259">
        <f>Dat_02!E314</f>
        <v>38.869087747777733</v>
      </c>
      <c r="I315" s="260">
        <f>Dat_02!G314</f>
        <v>0</v>
      </c>
      <c r="J315" s="272" t="str">
        <f>IF(Dat_02!H314=0,"",Dat_02!H314)</f>
        <v/>
      </c>
    </row>
    <row r="316" spans="2:10">
      <c r="B316" s="256"/>
      <c r="C316" s="257" t="s">
        <v>494</v>
      </c>
      <c r="D316" s="256"/>
      <c r="E316" s="259">
        <f>Dat_02!C315</f>
        <v>35.440293803779589</v>
      </c>
      <c r="F316" s="259">
        <f>Dat_02!D315</f>
        <v>128.77123560535</v>
      </c>
      <c r="G316" s="259">
        <f>Dat_02!E315</f>
        <v>35.440293803779589</v>
      </c>
      <c r="I316" s="260">
        <f>Dat_02!G315</f>
        <v>0</v>
      </c>
      <c r="J316" s="272" t="str">
        <f>IF(Dat_02!H315=0,"",Dat_02!H315)</f>
        <v/>
      </c>
    </row>
    <row r="317" spans="2:10">
      <c r="B317" s="256"/>
      <c r="C317" s="257" t="s">
        <v>495</v>
      </c>
      <c r="D317" s="256"/>
      <c r="E317" s="259">
        <f>Dat_02!C316</f>
        <v>73.569345241523081</v>
      </c>
      <c r="F317" s="259">
        <f>Dat_02!D316</f>
        <v>128.77123560535</v>
      </c>
      <c r="G317" s="259">
        <f>Dat_02!E316</f>
        <v>73.569345241523081</v>
      </c>
      <c r="I317" s="260">
        <f>Dat_02!G316</f>
        <v>0</v>
      </c>
      <c r="J317" s="272" t="str">
        <f>IF(Dat_02!H316=0,"",Dat_02!H316)</f>
        <v/>
      </c>
    </row>
    <row r="318" spans="2:10">
      <c r="B318" s="256"/>
      <c r="C318" s="257" t="s">
        <v>496</v>
      </c>
      <c r="D318" s="256"/>
      <c r="E318" s="259">
        <f>Dat_02!C317</f>
        <v>81.876537213523108</v>
      </c>
      <c r="F318" s="259">
        <f>Dat_02!D317</f>
        <v>128.77123560535</v>
      </c>
      <c r="G318" s="259">
        <f>Dat_02!E317</f>
        <v>81.876537213523108</v>
      </c>
      <c r="I318" s="260">
        <f>Dat_02!G317</f>
        <v>0</v>
      </c>
      <c r="J318" s="272" t="str">
        <f>IF(Dat_02!H317=0,"",Dat_02!H317)</f>
        <v/>
      </c>
    </row>
    <row r="319" spans="2:10">
      <c r="B319" s="256"/>
      <c r="C319" s="257" t="s">
        <v>497</v>
      </c>
      <c r="D319" s="256"/>
      <c r="E319" s="259">
        <f>Dat_02!C318</f>
        <v>81.248949489523099</v>
      </c>
      <c r="F319" s="259">
        <f>Dat_02!D318</f>
        <v>128.77123560535</v>
      </c>
      <c r="G319" s="259">
        <f>Dat_02!E318</f>
        <v>81.248949489523099</v>
      </c>
      <c r="I319" s="260">
        <f>Dat_02!G318</f>
        <v>0</v>
      </c>
      <c r="J319" s="272" t="str">
        <f>IF(Dat_02!H318=0,"",Dat_02!H318)</f>
        <v/>
      </c>
    </row>
    <row r="320" spans="2:10">
      <c r="B320" s="256"/>
      <c r="C320" s="257" t="s">
        <v>498</v>
      </c>
      <c r="D320" s="256"/>
      <c r="E320" s="259">
        <f>Dat_02!C319</f>
        <v>71.754454277523095</v>
      </c>
      <c r="F320" s="259">
        <f>Dat_02!D319</f>
        <v>128.77123560535</v>
      </c>
      <c r="G320" s="259">
        <f>Dat_02!E319</f>
        <v>71.754454277523095</v>
      </c>
      <c r="I320" s="260">
        <f>Dat_02!G319</f>
        <v>0</v>
      </c>
      <c r="J320" s="272" t="str">
        <f>IF(Dat_02!H319=0,"",Dat_02!H319)</f>
        <v/>
      </c>
    </row>
    <row r="321" spans="2:10">
      <c r="B321" s="256"/>
      <c r="C321" s="257" t="s">
        <v>499</v>
      </c>
      <c r="D321" s="256"/>
      <c r="E321" s="259">
        <f>Dat_02!C320</f>
        <v>65.207499237523095</v>
      </c>
      <c r="F321" s="259">
        <f>Dat_02!D320</f>
        <v>128.77123560535</v>
      </c>
      <c r="G321" s="259">
        <f>Dat_02!E320</f>
        <v>65.207499237523095</v>
      </c>
      <c r="I321" s="260">
        <f>Dat_02!G320</f>
        <v>0</v>
      </c>
      <c r="J321" s="272" t="str">
        <f>IF(Dat_02!H320=0,"",Dat_02!H320)</f>
        <v/>
      </c>
    </row>
    <row r="322" spans="2:10">
      <c r="B322" s="256"/>
      <c r="C322" s="257" t="s">
        <v>500</v>
      </c>
      <c r="D322" s="256"/>
      <c r="E322" s="259">
        <f>Dat_02!C321</f>
        <v>75.083972453521227</v>
      </c>
      <c r="F322" s="259">
        <f>Dat_02!D321</f>
        <v>128.77123560535</v>
      </c>
      <c r="G322" s="259">
        <f>Dat_02!E321</f>
        <v>75.083972453521227</v>
      </c>
      <c r="I322" s="260">
        <f>Dat_02!G321</f>
        <v>128.77123560535</v>
      </c>
      <c r="J322" s="272" t="str">
        <f>IF(Dat_02!H321=0,"",Dat_02!H321)</f>
        <v/>
      </c>
    </row>
    <row r="323" spans="2:10">
      <c r="B323" s="256"/>
      <c r="C323" s="257" t="s">
        <v>501</v>
      </c>
      <c r="D323" s="256"/>
      <c r="E323" s="259">
        <f>Dat_02!C322</f>
        <v>82.7277009815231</v>
      </c>
      <c r="F323" s="259">
        <f>Dat_02!D322</f>
        <v>128.77123560535</v>
      </c>
      <c r="G323" s="259">
        <f>Dat_02!E322</f>
        <v>82.7277009815231</v>
      </c>
      <c r="I323" s="260">
        <f>Dat_02!G322</f>
        <v>0</v>
      </c>
      <c r="J323" s="272" t="str">
        <f>IF(Dat_02!H322=0,"",Dat_02!H322)</f>
        <v/>
      </c>
    </row>
    <row r="324" spans="2:10">
      <c r="B324" s="256"/>
      <c r="C324" s="257" t="s">
        <v>502</v>
      </c>
      <c r="D324" s="256"/>
      <c r="E324" s="259">
        <f>Dat_02!C323</f>
        <v>99.887771316209069</v>
      </c>
      <c r="F324" s="259">
        <f>Dat_02!D323</f>
        <v>128.77123560535</v>
      </c>
      <c r="G324" s="259">
        <f>Dat_02!E323</f>
        <v>99.887771316209069</v>
      </c>
      <c r="I324" s="260">
        <f>Dat_02!G323</f>
        <v>0</v>
      </c>
      <c r="J324" s="272" t="str">
        <f>IF(Dat_02!H323=0,"",Dat_02!H323)</f>
        <v/>
      </c>
    </row>
    <row r="325" spans="2:10">
      <c r="B325" s="256"/>
      <c r="C325" s="257" t="s">
        <v>503</v>
      </c>
      <c r="D325" s="256"/>
      <c r="E325" s="259">
        <f>Dat_02!C324</f>
        <v>97.503805000207208</v>
      </c>
      <c r="F325" s="259">
        <f>Dat_02!D324</f>
        <v>128.77123560535</v>
      </c>
      <c r="G325" s="259">
        <f>Dat_02!E324</f>
        <v>97.503805000207208</v>
      </c>
      <c r="I325" s="260">
        <f>Dat_02!G324</f>
        <v>0</v>
      </c>
      <c r="J325" s="272" t="str">
        <f>IF(Dat_02!H324=0,"",Dat_02!H324)</f>
        <v/>
      </c>
    </row>
    <row r="326" spans="2:10">
      <c r="B326" s="256"/>
      <c r="C326" s="257" t="s">
        <v>504</v>
      </c>
      <c r="D326" s="256"/>
      <c r="E326" s="259">
        <f>Dat_02!C325</f>
        <v>76.237347956209064</v>
      </c>
      <c r="F326" s="259">
        <f>Dat_02!D325</f>
        <v>128.77123560535</v>
      </c>
      <c r="G326" s="259">
        <f>Dat_02!E325</f>
        <v>76.237347956209064</v>
      </c>
      <c r="I326" s="260">
        <f>Dat_02!G325</f>
        <v>0</v>
      </c>
      <c r="J326" s="272" t="str">
        <f>IF(Dat_02!H325=0,"",Dat_02!H325)</f>
        <v/>
      </c>
    </row>
    <row r="327" spans="2:10">
      <c r="B327" s="256"/>
      <c r="C327" s="257" t="s">
        <v>505</v>
      </c>
      <c r="D327" s="256"/>
      <c r="E327" s="259">
        <f>Dat_02!C326</f>
        <v>73.371422276207213</v>
      </c>
      <c r="F327" s="259">
        <f>Dat_02!D326</f>
        <v>128.77123560535</v>
      </c>
      <c r="G327" s="259">
        <f>Dat_02!E326</f>
        <v>73.371422276207213</v>
      </c>
      <c r="I327" s="260">
        <f>Dat_02!G326</f>
        <v>0</v>
      </c>
      <c r="J327" s="272" t="str">
        <f>IF(Dat_02!H326=0,"",Dat_02!H326)</f>
        <v/>
      </c>
    </row>
    <row r="328" spans="2:10">
      <c r="B328" s="256"/>
      <c r="C328" s="257" t="s">
        <v>506</v>
      </c>
      <c r="D328" s="256"/>
      <c r="E328" s="259">
        <f>Dat_02!C327</f>
        <v>82.086943796209056</v>
      </c>
      <c r="F328" s="259">
        <f>Dat_02!D327</f>
        <v>128.77123560535</v>
      </c>
      <c r="G328" s="259">
        <f>Dat_02!E327</f>
        <v>82.086943796209056</v>
      </c>
      <c r="I328" s="260">
        <f>Dat_02!G327</f>
        <v>0</v>
      </c>
      <c r="J328" s="272" t="str">
        <f>IF(Dat_02!H327=0,"",Dat_02!H327)</f>
        <v/>
      </c>
    </row>
    <row r="329" spans="2:10">
      <c r="B329" s="256"/>
      <c r="C329" s="257" t="s">
        <v>507</v>
      </c>
      <c r="D329" s="256"/>
      <c r="E329" s="259">
        <f>Dat_02!C328</f>
        <v>83.039042272209073</v>
      </c>
      <c r="F329" s="259">
        <f>Dat_02!D328</f>
        <v>128.77123560535</v>
      </c>
      <c r="G329" s="259">
        <f>Dat_02!E328</f>
        <v>83.039042272209073</v>
      </c>
      <c r="I329" s="260">
        <f>Dat_02!G328</f>
        <v>0</v>
      </c>
      <c r="J329" s="272" t="str">
        <f>IF(Dat_02!H328=0,"",Dat_02!H328)</f>
        <v/>
      </c>
    </row>
    <row r="330" spans="2:10">
      <c r="B330" s="256"/>
      <c r="C330" s="257" t="s">
        <v>508</v>
      </c>
      <c r="D330" s="256"/>
      <c r="E330" s="259">
        <f>Dat_02!C329</f>
        <v>84.907127912207216</v>
      </c>
      <c r="F330" s="259">
        <f>Dat_02!D329</f>
        <v>128.77123560535</v>
      </c>
      <c r="G330" s="259">
        <f>Dat_02!E329</f>
        <v>84.907127912207216</v>
      </c>
      <c r="I330" s="260">
        <f>Dat_02!G329</f>
        <v>0</v>
      </c>
      <c r="J330" s="272" t="str">
        <f>IF(Dat_02!H329=0,"",Dat_02!H329)</f>
        <v/>
      </c>
    </row>
    <row r="331" spans="2:10">
      <c r="B331" s="256"/>
      <c r="C331" s="257" t="s">
        <v>509</v>
      </c>
      <c r="D331" s="256"/>
      <c r="E331" s="259">
        <f>Dat_02!C330</f>
        <v>120.09120279154841</v>
      </c>
      <c r="F331" s="259">
        <f>Dat_02!D330</f>
        <v>128.77123560535</v>
      </c>
      <c r="G331" s="259">
        <f>Dat_02!E330</f>
        <v>120.09120279154841</v>
      </c>
      <c r="I331" s="260">
        <f>Dat_02!G330</f>
        <v>0</v>
      </c>
      <c r="J331" s="272" t="str">
        <f>IF(Dat_02!H330=0,"",Dat_02!H330)</f>
        <v/>
      </c>
    </row>
    <row r="332" spans="2:10">
      <c r="B332" s="256"/>
      <c r="C332" s="257" t="s">
        <v>510</v>
      </c>
      <c r="D332" s="256"/>
      <c r="E332" s="259">
        <f>Dat_02!C331</f>
        <v>122.04502637154656</v>
      </c>
      <c r="F332" s="259">
        <f>Dat_02!D331</f>
        <v>128.77123560535</v>
      </c>
      <c r="G332" s="259">
        <f>Dat_02!E331</f>
        <v>122.04502637154656</v>
      </c>
      <c r="I332" s="260">
        <f>Dat_02!G331</f>
        <v>0</v>
      </c>
      <c r="J332" s="272" t="str">
        <f>IF(Dat_02!H331=0,"",Dat_02!H331)</f>
        <v/>
      </c>
    </row>
    <row r="333" spans="2:10">
      <c r="B333" s="256"/>
      <c r="C333" s="257" t="s">
        <v>511</v>
      </c>
      <c r="D333" s="256"/>
      <c r="E333" s="259">
        <f>Dat_02!C332</f>
        <v>133.58304685954656</v>
      </c>
      <c r="F333" s="259">
        <f>Dat_02!D332</f>
        <v>128.77123560535</v>
      </c>
      <c r="G333" s="259">
        <f>Dat_02!E332</f>
        <v>128.77123560535</v>
      </c>
      <c r="I333" s="260">
        <f>Dat_02!G332</f>
        <v>0</v>
      </c>
      <c r="J333" s="272" t="str">
        <f>IF(Dat_02!H332=0,"",Dat_02!H332)</f>
        <v/>
      </c>
    </row>
    <row r="334" spans="2:10">
      <c r="B334" s="256"/>
      <c r="C334" s="257" t="s">
        <v>512</v>
      </c>
      <c r="D334" s="256"/>
      <c r="E334" s="259">
        <f>Dat_02!C333</f>
        <v>132.51193723154842</v>
      </c>
      <c r="F334" s="259">
        <f>Dat_02!D333</f>
        <v>128.77123560535</v>
      </c>
      <c r="G334" s="259">
        <f>Dat_02!E333</f>
        <v>128.77123560535</v>
      </c>
      <c r="I334" s="260">
        <f>Dat_02!G333</f>
        <v>0</v>
      </c>
      <c r="J334" s="272" t="str">
        <f>IF(Dat_02!H333=0,"",Dat_02!H333)</f>
        <v/>
      </c>
    </row>
    <row r="335" spans="2:10">
      <c r="B335" s="256"/>
      <c r="C335" s="257" t="s">
        <v>513</v>
      </c>
      <c r="D335" s="256"/>
      <c r="E335" s="259">
        <f>Dat_02!C334</f>
        <v>124.74557389154842</v>
      </c>
      <c r="F335" s="259">
        <f>Dat_02!D334</f>
        <v>128.77123560535</v>
      </c>
      <c r="G335" s="259">
        <f>Dat_02!E334</f>
        <v>124.74557389154842</v>
      </c>
      <c r="I335" s="260">
        <f>Dat_02!G334</f>
        <v>0</v>
      </c>
      <c r="J335" s="272" t="str">
        <f>IF(Dat_02!H334=0,"",Dat_02!H334)</f>
        <v/>
      </c>
    </row>
    <row r="336" spans="2:10">
      <c r="B336" s="256"/>
      <c r="C336" s="257" t="s">
        <v>514</v>
      </c>
      <c r="D336" s="256"/>
      <c r="E336" s="259">
        <f>Dat_02!C335</f>
        <v>140.23924516354651</v>
      </c>
      <c r="F336" s="259">
        <f>Dat_02!D335</f>
        <v>128.77123560535</v>
      </c>
      <c r="G336" s="259">
        <f>Dat_02!E335</f>
        <v>128.77123560535</v>
      </c>
      <c r="I336" s="260">
        <f>Dat_02!G335</f>
        <v>0</v>
      </c>
      <c r="J336" s="272" t="str">
        <f>IF(Dat_02!H335=0,"",Dat_02!H335)</f>
        <v/>
      </c>
    </row>
    <row r="337" spans="2:10">
      <c r="B337" s="256"/>
      <c r="C337" s="257" t="s">
        <v>515</v>
      </c>
      <c r="D337" s="256"/>
      <c r="E337" s="259">
        <f>Dat_02!C336</f>
        <v>139.9016715475484</v>
      </c>
      <c r="F337" s="259">
        <f>Dat_02!D336</f>
        <v>128.77123560535</v>
      </c>
      <c r="G337" s="259">
        <f>Dat_02!E336</f>
        <v>128.77123560535</v>
      </c>
      <c r="I337" s="260">
        <f>Dat_02!G336</f>
        <v>0</v>
      </c>
      <c r="J337" s="272" t="str">
        <f>IF(Dat_02!H336=0,"",Dat_02!H336)</f>
        <v/>
      </c>
    </row>
    <row r="338" spans="2:10">
      <c r="B338" s="258" t="s">
        <v>516</v>
      </c>
      <c r="C338" s="263" t="s">
        <v>517</v>
      </c>
      <c r="D338" s="256"/>
      <c r="E338" s="259">
        <f>Dat_02!C337</f>
        <v>105.71601703098868</v>
      </c>
      <c r="F338" s="259">
        <f>Dat_02!D337</f>
        <v>105.65373260469035</v>
      </c>
      <c r="G338" s="259">
        <f>Dat_02!E337</f>
        <v>105.65373260469035</v>
      </c>
      <c r="I338" s="260">
        <f>Dat_02!G337</f>
        <v>0</v>
      </c>
      <c r="J338" s="272" t="str">
        <f>IF(Dat_02!H337=0,"",Dat_02!H337)</f>
        <v/>
      </c>
    </row>
    <row r="339" spans="2:10">
      <c r="B339" s="256"/>
      <c r="C339" s="257" t="s">
        <v>518</v>
      </c>
      <c r="D339" s="258"/>
      <c r="E339" s="259">
        <f>Dat_02!C338</f>
        <v>100.06853757899054</v>
      </c>
      <c r="F339" s="259">
        <f>Dat_02!D338</f>
        <v>105.65373260469035</v>
      </c>
      <c r="G339" s="259">
        <f>Dat_02!E338</f>
        <v>100.06853757899054</v>
      </c>
      <c r="I339" s="260">
        <f>Dat_02!G338</f>
        <v>0</v>
      </c>
      <c r="J339" s="272" t="str">
        <f>IF(Dat_02!H338=0,"",Dat_02!H338)</f>
        <v/>
      </c>
    </row>
    <row r="340" spans="2:10">
      <c r="B340" s="256"/>
      <c r="C340" s="257" t="s">
        <v>519</v>
      </c>
      <c r="D340" s="258"/>
      <c r="E340" s="259">
        <f>Dat_02!C339</f>
        <v>102.81004228298868</v>
      </c>
      <c r="F340" s="259">
        <f>Dat_02!D339</f>
        <v>105.65373260469035</v>
      </c>
      <c r="G340" s="259">
        <f>Dat_02!E339</f>
        <v>102.81004228298868</v>
      </c>
      <c r="I340" s="260">
        <f>Dat_02!G339</f>
        <v>0</v>
      </c>
      <c r="J340" s="272" t="str">
        <f>IF(Dat_02!H339=0,"",Dat_02!H339)</f>
        <v/>
      </c>
    </row>
    <row r="341" spans="2:10">
      <c r="B341" s="256"/>
      <c r="C341" s="257" t="s">
        <v>520</v>
      </c>
      <c r="D341" s="256"/>
      <c r="E341" s="259">
        <f>Dat_02!C340</f>
        <v>101.23971845099054</v>
      </c>
      <c r="F341" s="259">
        <f>Dat_02!D340</f>
        <v>105.65373260469035</v>
      </c>
      <c r="G341" s="259">
        <f>Dat_02!E340</f>
        <v>101.23971845099054</v>
      </c>
      <c r="I341" s="260">
        <f>Dat_02!G340</f>
        <v>0</v>
      </c>
      <c r="J341" s="272" t="str">
        <f>IF(Dat_02!H340=0,"",Dat_02!H340)</f>
        <v/>
      </c>
    </row>
    <row r="342" spans="2:10">
      <c r="B342" s="256"/>
      <c r="C342" s="257" t="s">
        <v>521</v>
      </c>
      <c r="D342" s="256"/>
      <c r="E342" s="259">
        <f>Dat_02!C341</f>
        <v>93.939445794990547</v>
      </c>
      <c r="F342" s="259">
        <f>Dat_02!D341</f>
        <v>105.65373260469035</v>
      </c>
      <c r="G342" s="259">
        <f>Dat_02!E341</f>
        <v>93.939445794990547</v>
      </c>
      <c r="I342" s="260">
        <f>Dat_02!G341</f>
        <v>0</v>
      </c>
      <c r="J342" s="272" t="str">
        <f>IF(Dat_02!H341=0,"",Dat_02!H341)</f>
        <v/>
      </c>
    </row>
    <row r="343" spans="2:10">
      <c r="B343" s="256"/>
      <c r="C343" s="257" t="s">
        <v>522</v>
      </c>
      <c r="D343" s="256"/>
      <c r="E343" s="259">
        <f>Dat_02!C342</f>
        <v>113.58412743498869</v>
      </c>
      <c r="F343" s="259">
        <f>Dat_02!D342</f>
        <v>105.65373260469035</v>
      </c>
      <c r="G343" s="259">
        <f>Dat_02!E342</f>
        <v>105.65373260469035</v>
      </c>
      <c r="I343" s="260">
        <f>Dat_02!G342</f>
        <v>0</v>
      </c>
      <c r="J343" s="272" t="str">
        <f>IF(Dat_02!H342=0,"",Dat_02!H342)</f>
        <v/>
      </c>
    </row>
    <row r="344" spans="2:10">
      <c r="B344" s="256"/>
      <c r="C344" s="257" t="s">
        <v>523</v>
      </c>
      <c r="D344" s="256"/>
      <c r="E344" s="259">
        <f>Dat_02!C343</f>
        <v>103.93047935099054</v>
      </c>
      <c r="F344" s="259">
        <f>Dat_02!D343</f>
        <v>105.65373260469035</v>
      </c>
      <c r="G344" s="259">
        <f>Dat_02!E343</f>
        <v>103.93047935099054</v>
      </c>
      <c r="I344" s="260">
        <f>Dat_02!G343</f>
        <v>0</v>
      </c>
      <c r="J344" s="272" t="str">
        <f>IF(Dat_02!H343=0,"",Dat_02!H343)</f>
        <v/>
      </c>
    </row>
    <row r="345" spans="2:10">
      <c r="B345" s="256"/>
      <c r="C345" s="257" t="s">
        <v>524</v>
      </c>
      <c r="D345" s="256"/>
      <c r="E345" s="259">
        <f>Dat_02!C344</f>
        <v>66.189202729308803</v>
      </c>
      <c r="F345" s="259">
        <f>Dat_02!D344</f>
        <v>105.65373260469035</v>
      </c>
      <c r="G345" s="259">
        <f>Dat_02!E344</f>
        <v>66.189202729308803</v>
      </c>
      <c r="I345" s="260">
        <f>Dat_02!G344</f>
        <v>0</v>
      </c>
      <c r="J345" s="272" t="str">
        <f>IF(Dat_02!H344=0,"",Dat_02!H344)</f>
        <v/>
      </c>
    </row>
    <row r="346" spans="2:10">
      <c r="B346" s="256"/>
      <c r="C346" s="257" t="s">
        <v>525</v>
      </c>
      <c r="D346" s="256"/>
      <c r="E346" s="259">
        <f>Dat_02!C345</f>
        <v>74.412695409306934</v>
      </c>
      <c r="F346" s="259">
        <f>Dat_02!D345</f>
        <v>105.65373260469035</v>
      </c>
      <c r="G346" s="259">
        <f>Dat_02!E345</f>
        <v>74.412695409306934</v>
      </c>
      <c r="I346" s="260">
        <f>Dat_02!G345</f>
        <v>0</v>
      </c>
      <c r="J346" s="272" t="str">
        <f>IF(Dat_02!H345=0,"",Dat_02!H345)</f>
        <v/>
      </c>
    </row>
    <row r="347" spans="2:10">
      <c r="B347" s="256"/>
      <c r="C347" s="257" t="s">
        <v>526</v>
      </c>
      <c r="D347" s="256"/>
      <c r="E347" s="259">
        <f>Dat_02!C346</f>
        <v>83.627382461306937</v>
      </c>
      <c r="F347" s="259">
        <f>Dat_02!D346</f>
        <v>105.65373260469035</v>
      </c>
      <c r="G347" s="259">
        <f>Dat_02!E346</f>
        <v>83.627382461306937</v>
      </c>
      <c r="I347" s="260">
        <f>Dat_02!G346</f>
        <v>0</v>
      </c>
      <c r="J347" s="272" t="str">
        <f>IF(Dat_02!H346=0,"",Dat_02!H346)</f>
        <v/>
      </c>
    </row>
    <row r="348" spans="2:10">
      <c r="B348" s="256"/>
      <c r="C348" s="257" t="s">
        <v>527</v>
      </c>
      <c r="D348" s="256"/>
      <c r="E348" s="259">
        <f>Dat_02!C347</f>
        <v>75.943218089306924</v>
      </c>
      <c r="F348" s="259">
        <f>Dat_02!D347</f>
        <v>105.65373260469035</v>
      </c>
      <c r="G348" s="259">
        <f>Dat_02!E347</f>
        <v>75.943218089306924</v>
      </c>
      <c r="I348" s="260">
        <f>Dat_02!G347</f>
        <v>0</v>
      </c>
      <c r="J348" s="272" t="str">
        <f>IF(Dat_02!H347=0,"",Dat_02!H347)</f>
        <v/>
      </c>
    </row>
    <row r="349" spans="2:10">
      <c r="B349" s="256"/>
      <c r="C349" s="257" t="s">
        <v>528</v>
      </c>
      <c r="D349" s="256"/>
      <c r="E349" s="259">
        <f>Dat_02!C348</f>
        <v>66.288154533306923</v>
      </c>
      <c r="F349" s="259">
        <f>Dat_02!D348</f>
        <v>105.65373260469035</v>
      </c>
      <c r="G349" s="259">
        <f>Dat_02!E348</f>
        <v>66.288154533306923</v>
      </c>
      <c r="I349" s="260">
        <f>Dat_02!G348</f>
        <v>0</v>
      </c>
      <c r="J349" s="272" t="str">
        <f>IF(Dat_02!H348=0,"",Dat_02!H348)</f>
        <v/>
      </c>
    </row>
    <row r="350" spans="2:10">
      <c r="B350" s="256"/>
      <c r="C350" s="257" t="s">
        <v>529</v>
      </c>
      <c r="D350" s="256"/>
      <c r="E350" s="259">
        <f>Dat_02!C349</f>
        <v>71.954015609306921</v>
      </c>
      <c r="F350" s="259">
        <f>Dat_02!D349</f>
        <v>105.65373260469035</v>
      </c>
      <c r="G350" s="259">
        <f>Dat_02!E349</f>
        <v>71.954015609306921</v>
      </c>
      <c r="I350" s="260">
        <f>Dat_02!G349</f>
        <v>0</v>
      </c>
      <c r="J350" s="272" t="str">
        <f>IF(Dat_02!H349=0,"",Dat_02!H349)</f>
        <v/>
      </c>
    </row>
    <row r="351" spans="2:10">
      <c r="B351" s="256"/>
      <c r="C351" s="257" t="s">
        <v>530</v>
      </c>
      <c r="D351" s="256"/>
      <c r="E351" s="259">
        <f>Dat_02!C350</f>
        <v>75.274204213308792</v>
      </c>
      <c r="F351" s="259">
        <f>Dat_02!D350</f>
        <v>105.65373260469035</v>
      </c>
      <c r="G351" s="259">
        <f>Dat_02!E350</f>
        <v>75.274204213308792</v>
      </c>
      <c r="I351" s="260">
        <f>Dat_02!G350</f>
        <v>0</v>
      </c>
      <c r="J351" s="272" t="str">
        <f>IF(Dat_02!H350=0,"",Dat_02!H350)</f>
        <v/>
      </c>
    </row>
    <row r="352" spans="2:10">
      <c r="B352" s="256"/>
      <c r="C352" s="257" t="s">
        <v>531</v>
      </c>
      <c r="D352" s="256"/>
      <c r="E352" s="259">
        <f>Dat_02!C351</f>
        <v>74.34173817415514</v>
      </c>
      <c r="F352" s="259">
        <f>Dat_02!D351</f>
        <v>105.65373260469035</v>
      </c>
      <c r="G352" s="259">
        <f>Dat_02!E351</f>
        <v>74.34173817415514</v>
      </c>
      <c r="I352" s="260">
        <f>Dat_02!G351</f>
        <v>105.65373260469035</v>
      </c>
      <c r="J352" s="272" t="str">
        <f>IF(Dat_02!H351=0,"",Dat_02!H351)</f>
        <v/>
      </c>
    </row>
    <row r="353" spans="2:10">
      <c r="B353" s="256"/>
      <c r="C353" s="257" t="s">
        <v>532</v>
      </c>
      <c r="D353" s="256"/>
      <c r="E353" s="259">
        <f>Dat_02!C352</f>
        <v>67.959188766156998</v>
      </c>
      <c r="F353" s="259">
        <f>Dat_02!D352</f>
        <v>105.65373260469035</v>
      </c>
      <c r="G353" s="259">
        <f>Dat_02!E352</f>
        <v>67.959188766156998</v>
      </c>
      <c r="I353" s="260">
        <f>Dat_02!G352</f>
        <v>0</v>
      </c>
      <c r="J353" s="272" t="str">
        <f>IF(Dat_02!H352=0,"",Dat_02!H352)</f>
        <v/>
      </c>
    </row>
    <row r="354" spans="2:10">
      <c r="B354" s="256"/>
      <c r="C354" s="257" t="s">
        <v>533</v>
      </c>
      <c r="D354" s="256"/>
      <c r="E354" s="259">
        <f>Dat_02!C353</f>
        <v>65.692982786156989</v>
      </c>
      <c r="F354" s="259">
        <f>Dat_02!D353</f>
        <v>105.65373260469035</v>
      </c>
      <c r="G354" s="259">
        <f>Dat_02!E353</f>
        <v>65.692982786156989</v>
      </c>
      <c r="I354" s="260">
        <f>Dat_02!G353</f>
        <v>0</v>
      </c>
      <c r="J354" s="272" t="str">
        <f>IF(Dat_02!H353=0,"",Dat_02!H353)</f>
        <v/>
      </c>
    </row>
    <row r="355" spans="2:10">
      <c r="B355" s="256"/>
      <c r="C355" s="257" t="s">
        <v>534</v>
      </c>
      <c r="D355" s="256"/>
      <c r="E355" s="259">
        <f>Dat_02!C354</f>
        <v>64.505841354155137</v>
      </c>
      <c r="F355" s="259">
        <f>Dat_02!D354</f>
        <v>105.65373260469035</v>
      </c>
      <c r="G355" s="259">
        <f>Dat_02!E354</f>
        <v>64.505841354155137</v>
      </c>
      <c r="I355" s="260">
        <f>Dat_02!G354</f>
        <v>0</v>
      </c>
      <c r="J355" s="272" t="str">
        <f>IF(Dat_02!H354=0,"",Dat_02!H354)</f>
        <v/>
      </c>
    </row>
    <row r="356" spans="2:10">
      <c r="B356" s="256"/>
      <c r="C356" s="257" t="s">
        <v>535</v>
      </c>
      <c r="D356" s="256"/>
      <c r="E356" s="259">
        <f>Dat_02!C355</f>
        <v>60.628721762158854</v>
      </c>
      <c r="F356" s="259">
        <f>Dat_02!D355</f>
        <v>105.65373260469035</v>
      </c>
      <c r="G356" s="259">
        <f>Dat_02!E355</f>
        <v>60.628721762158854</v>
      </c>
      <c r="I356" s="260">
        <f>Dat_02!G355</f>
        <v>0</v>
      </c>
      <c r="J356" s="272" t="str">
        <f>IF(Dat_02!H355=0,"",Dat_02!H355)</f>
        <v/>
      </c>
    </row>
    <row r="357" spans="2:10">
      <c r="B357" s="256"/>
      <c r="C357" s="257" t="s">
        <v>536</v>
      </c>
      <c r="D357" s="256"/>
      <c r="E357" s="259">
        <f>Dat_02!C356</f>
        <v>72.604453906155129</v>
      </c>
      <c r="F357" s="259">
        <f>Dat_02!D356</f>
        <v>105.65373260469035</v>
      </c>
      <c r="G357" s="259">
        <f>Dat_02!E356</f>
        <v>72.604453906155129</v>
      </c>
      <c r="I357" s="260">
        <f>Dat_02!G356</f>
        <v>0</v>
      </c>
      <c r="J357" s="272" t="str">
        <f>IF(Dat_02!H356=0,"",Dat_02!H356)</f>
        <v/>
      </c>
    </row>
    <row r="358" spans="2:10">
      <c r="B358" s="256"/>
      <c r="C358" s="257" t="s">
        <v>537</v>
      </c>
      <c r="D358" s="256"/>
      <c r="E358" s="259">
        <f>Dat_02!C357</f>
        <v>76.283293826155131</v>
      </c>
      <c r="F358" s="259">
        <f>Dat_02!D357</f>
        <v>105.65373260469035</v>
      </c>
      <c r="G358" s="259">
        <f>Dat_02!E357</f>
        <v>76.283293826155131</v>
      </c>
      <c r="I358" s="260">
        <f>Dat_02!G357</f>
        <v>0</v>
      </c>
      <c r="J358" s="272" t="str">
        <f>IF(Dat_02!H357=0,"",Dat_02!H357)</f>
        <v/>
      </c>
    </row>
    <row r="359" spans="2:10">
      <c r="B359" s="256"/>
      <c r="C359" s="257" t="s">
        <v>538</v>
      </c>
      <c r="D359" s="256"/>
      <c r="E359" s="259">
        <f>Dat_02!C358</f>
        <v>65.635779093736303</v>
      </c>
      <c r="F359" s="259">
        <f>Dat_02!D358</f>
        <v>105.65373260469035</v>
      </c>
      <c r="G359" s="259">
        <f>Dat_02!E358</f>
        <v>65.635779093736303</v>
      </c>
      <c r="I359" s="260">
        <f>Dat_02!G358</f>
        <v>0</v>
      </c>
      <c r="J359" s="272" t="str">
        <f>IF(Dat_02!H358=0,"",Dat_02!H358)</f>
        <v/>
      </c>
    </row>
    <row r="360" spans="2:10">
      <c r="B360" s="256"/>
      <c r="C360" s="257" t="s">
        <v>539</v>
      </c>
      <c r="D360" s="256"/>
      <c r="E360" s="259">
        <f>Dat_02!C359</f>
        <v>60.05188925373443</v>
      </c>
      <c r="F360" s="259">
        <f>Dat_02!D359</f>
        <v>105.65373260469035</v>
      </c>
      <c r="G360" s="259">
        <f>Dat_02!E359</f>
        <v>60.05188925373443</v>
      </c>
      <c r="I360" s="260">
        <f>Dat_02!G359</f>
        <v>0</v>
      </c>
      <c r="J360" s="272" t="str">
        <f>IF(Dat_02!H359=0,"",Dat_02!H359)</f>
        <v/>
      </c>
    </row>
    <row r="361" spans="2:10">
      <c r="B361" s="256"/>
      <c r="C361" s="257" t="s">
        <v>540</v>
      </c>
      <c r="D361" s="256"/>
      <c r="E361" s="259">
        <f>Dat_02!C360</f>
        <v>59.146729805736292</v>
      </c>
      <c r="F361" s="259">
        <f>Dat_02!D360</f>
        <v>105.65373260469035</v>
      </c>
      <c r="G361" s="259">
        <f>Dat_02!E360</f>
        <v>59.146729805736292</v>
      </c>
      <c r="I361" s="260">
        <f>Dat_02!G360</f>
        <v>0</v>
      </c>
      <c r="J361" s="272" t="str">
        <f>IF(Dat_02!H360=0,"",Dat_02!H360)</f>
        <v/>
      </c>
    </row>
    <row r="362" spans="2:10">
      <c r="B362" s="256"/>
      <c r="C362" s="257" t="s">
        <v>541</v>
      </c>
      <c r="D362" s="256"/>
      <c r="E362" s="259">
        <f>Dat_02!C361</f>
        <v>57.372487131732569</v>
      </c>
      <c r="F362" s="259">
        <f>Dat_02!D361</f>
        <v>105.65373260469035</v>
      </c>
      <c r="G362" s="259">
        <f>Dat_02!E361</f>
        <v>57.372487131732569</v>
      </c>
      <c r="I362" s="260">
        <f>Dat_02!G361</f>
        <v>0</v>
      </c>
      <c r="J362" s="272" t="str">
        <f>IF(Dat_02!H361=0,"",Dat_02!H361)</f>
        <v/>
      </c>
    </row>
    <row r="363" spans="2:10">
      <c r="B363" s="256"/>
      <c r="C363" s="257" t="s">
        <v>542</v>
      </c>
      <c r="D363" s="256"/>
      <c r="E363" s="259">
        <f>Dat_02!C362</f>
        <v>54.61047347173816</v>
      </c>
      <c r="F363" s="259">
        <f>Dat_02!D362</f>
        <v>105.65373260469035</v>
      </c>
      <c r="G363" s="259">
        <f>Dat_02!E362</f>
        <v>54.61047347173816</v>
      </c>
      <c r="I363" s="260">
        <f>Dat_02!G362</f>
        <v>0</v>
      </c>
      <c r="J363" s="272" t="str">
        <f>IF(Dat_02!H362=0,"",Dat_02!H362)</f>
        <v/>
      </c>
    </row>
    <row r="364" spans="2:10">
      <c r="B364" s="256"/>
      <c r="C364" s="257" t="s">
        <v>543</v>
      </c>
      <c r="D364" s="256"/>
      <c r="E364" s="259">
        <f>Dat_02!C363</f>
        <v>58.416215127732571</v>
      </c>
      <c r="F364" s="259">
        <f>Dat_02!D363</f>
        <v>105.65373260469035</v>
      </c>
      <c r="G364" s="259">
        <f>Dat_02!E363</f>
        <v>58.416215127732571</v>
      </c>
      <c r="I364" s="260">
        <f>Dat_02!G363</f>
        <v>0</v>
      </c>
      <c r="J364" s="272" t="str">
        <f>IF(Dat_02!H363=0,"",Dat_02!H363)</f>
        <v/>
      </c>
    </row>
    <row r="365" spans="2:10">
      <c r="B365" s="256"/>
      <c r="C365" s="257" t="s">
        <v>544</v>
      </c>
      <c r="D365" s="256"/>
      <c r="E365" s="259">
        <f>Dat_02!C364</f>
        <v>53.367108333734429</v>
      </c>
      <c r="F365" s="259">
        <f>Dat_02!D364</f>
        <v>105.65373260469035</v>
      </c>
      <c r="G365" s="259">
        <f>Dat_02!E364</f>
        <v>53.367108333734429</v>
      </c>
      <c r="I365" s="260">
        <f>Dat_02!G364</f>
        <v>0</v>
      </c>
      <c r="J365" s="272" t="str">
        <f>IF(Dat_02!H364=0,"",Dat_02!H364)</f>
        <v/>
      </c>
    </row>
    <row r="366" spans="2:10">
      <c r="B366" s="256"/>
      <c r="C366" s="257" t="s">
        <v>545</v>
      </c>
      <c r="D366" s="256"/>
      <c r="E366" s="259">
        <f>Dat_02!C365</f>
        <v>46.932252174643338</v>
      </c>
      <c r="F366" s="259">
        <f>Dat_02!D365</f>
        <v>105.65373260469035</v>
      </c>
      <c r="G366" s="259">
        <f>Dat_02!E365</f>
        <v>46.932252174643338</v>
      </c>
      <c r="I366" s="260">
        <f>Dat_02!G365</f>
        <v>0</v>
      </c>
      <c r="J366" s="272" t="str">
        <f>IF(Dat_02!H365=0,"",Dat_02!H365)</f>
        <v/>
      </c>
    </row>
    <row r="367" spans="2:10">
      <c r="B367" s="256"/>
      <c r="C367" s="257" t="s">
        <v>546</v>
      </c>
      <c r="D367" s="256"/>
      <c r="E367" s="259">
        <f>Dat_02!C366</f>
        <v>47.351127922641481</v>
      </c>
      <c r="F367" s="259">
        <f>Dat_02!D366</f>
        <v>105.65373260469035</v>
      </c>
      <c r="G367" s="259">
        <f>Dat_02!E366</f>
        <v>47.351127922641481</v>
      </c>
      <c r="I367" s="260">
        <f>Dat_02!G366</f>
        <v>0</v>
      </c>
      <c r="J367" s="272" t="str">
        <f>IF(Dat_02!H366=0,"",Dat_02!H366)</f>
        <v/>
      </c>
    </row>
    <row r="368" spans="2:10">
      <c r="B368" s="256"/>
      <c r="C368" s="257" t="s">
        <v>547</v>
      </c>
      <c r="D368" s="256"/>
      <c r="E368" s="259">
        <f>Dat_02!C367</f>
        <v>54.088175124643342</v>
      </c>
      <c r="F368" s="259">
        <f>Dat_02!D367</f>
        <v>105.65373260469035</v>
      </c>
      <c r="G368" s="259">
        <f>Dat_02!E367</f>
        <v>54.088175124643342</v>
      </c>
      <c r="I368" s="260">
        <f>Dat_02!G367</f>
        <v>0</v>
      </c>
      <c r="J368" s="272" t="str">
        <f>IF(Dat_02!H367=0,"",Dat_02!H367)</f>
        <v/>
      </c>
    </row>
    <row r="369" spans="2:10">
      <c r="B369" s="258" t="s">
        <v>549</v>
      </c>
      <c r="C369" s="263" t="s">
        <v>550</v>
      </c>
      <c r="D369" s="258"/>
      <c r="E369" s="259">
        <f>Dat_02!C368</f>
        <v>46.029502642641482</v>
      </c>
      <c r="F369" s="259">
        <f>Dat_02!D368</f>
        <v>65.26716544621334</v>
      </c>
      <c r="G369" s="259">
        <f>Dat_02!E368</f>
        <v>46.029502642641482</v>
      </c>
      <c r="I369" s="260">
        <f>Dat_02!G368</f>
        <v>0</v>
      </c>
      <c r="J369" s="272" t="str">
        <f>IF(Dat_02!H368=0,"",Dat_02!H368)</f>
        <v/>
      </c>
    </row>
    <row r="370" spans="2:10">
      <c r="B370" s="256"/>
      <c r="C370" s="257" t="s">
        <v>551</v>
      </c>
      <c r="D370" s="258"/>
      <c r="E370" s="259">
        <f>Dat_02!C369</f>
        <v>41.259647216643344</v>
      </c>
      <c r="F370" s="259">
        <f>Dat_02!D369</f>
        <v>65.26716544621334</v>
      </c>
      <c r="G370" s="259">
        <f>Dat_02!E369</f>
        <v>41.259647216643344</v>
      </c>
      <c r="I370" s="260">
        <f>Dat_02!G369</f>
        <v>0</v>
      </c>
      <c r="J370" s="272" t="str">
        <f>IF(Dat_02!H369=0,"",Dat_02!H369)</f>
        <v/>
      </c>
    </row>
    <row r="371" spans="2:10">
      <c r="B371" s="256"/>
      <c r="C371" s="257" t="s">
        <v>552</v>
      </c>
      <c r="D371" s="256"/>
      <c r="E371" s="259">
        <f>Dat_02!C370</f>
        <v>49.633967986643341</v>
      </c>
      <c r="F371" s="259">
        <f>Dat_02!D370</f>
        <v>65.26716544621334</v>
      </c>
      <c r="G371" s="259">
        <f>Dat_02!E370</f>
        <v>49.633967986643341</v>
      </c>
      <c r="I371" s="260">
        <f>Dat_02!G370</f>
        <v>0</v>
      </c>
      <c r="J371" s="272" t="str">
        <f>IF(Dat_02!H370=0,"",Dat_02!H370)</f>
        <v/>
      </c>
    </row>
    <row r="372" spans="2:10">
      <c r="B372" s="256"/>
      <c r="C372" s="257" t="s">
        <v>553</v>
      </c>
      <c r="D372" s="256"/>
      <c r="E372" s="259">
        <f>Dat_02!C371</f>
        <v>42.163067116641486</v>
      </c>
      <c r="F372" s="259">
        <f>Dat_02!D371</f>
        <v>65.26716544621334</v>
      </c>
      <c r="G372" s="259">
        <f>Dat_02!E371</f>
        <v>42.163067116641486</v>
      </c>
      <c r="I372" s="260">
        <f>Dat_02!G371</f>
        <v>0</v>
      </c>
      <c r="J372" s="272" t="str">
        <f>IF(Dat_02!H371=0,"",Dat_02!H371)</f>
        <v/>
      </c>
    </row>
    <row r="373" spans="2:10">
      <c r="B373" s="256"/>
      <c r="C373" s="257" t="s">
        <v>554</v>
      </c>
      <c r="D373" s="256"/>
      <c r="E373" s="259">
        <f>Dat_02!C372</f>
        <v>44.063425011716376</v>
      </c>
      <c r="F373" s="259">
        <f>Dat_02!D372</f>
        <v>65.26716544621334</v>
      </c>
      <c r="G373" s="259">
        <f>Dat_02!E372</f>
        <v>44.063425011716376</v>
      </c>
      <c r="I373" s="260">
        <f>Dat_02!G372</f>
        <v>0</v>
      </c>
      <c r="J373" s="272" t="str">
        <f>IF(Dat_02!H372=0,"",Dat_02!H372)</f>
        <v/>
      </c>
    </row>
    <row r="374" spans="2:10">
      <c r="B374" s="256"/>
      <c r="C374" s="257" t="s">
        <v>555</v>
      </c>
      <c r="D374" s="256"/>
      <c r="E374" s="259">
        <f>Dat_02!C373</f>
        <v>41.283456523716374</v>
      </c>
      <c r="F374" s="259">
        <f>Dat_02!D373</f>
        <v>65.26716544621334</v>
      </c>
      <c r="G374" s="259">
        <f>Dat_02!E373</f>
        <v>41.283456523716374</v>
      </c>
      <c r="I374" s="260">
        <f>Dat_02!G373</f>
        <v>0</v>
      </c>
      <c r="J374" s="272" t="str">
        <f>IF(Dat_02!H373=0,"",Dat_02!H373)</f>
        <v/>
      </c>
    </row>
    <row r="375" spans="2:10">
      <c r="B375" s="256"/>
      <c r="C375" s="257" t="s">
        <v>556</v>
      </c>
      <c r="D375" s="256"/>
      <c r="E375" s="259">
        <f>Dat_02!C374</f>
        <v>46.541849791718242</v>
      </c>
      <c r="F375" s="259">
        <f>Dat_02!D374</f>
        <v>65.26716544621334</v>
      </c>
      <c r="G375" s="259">
        <f>Dat_02!E374</f>
        <v>46.541849791718242</v>
      </c>
      <c r="I375" s="260">
        <f>Dat_02!G374</f>
        <v>0</v>
      </c>
      <c r="J375" s="272" t="str">
        <f>IF(Dat_02!H374=0,"",Dat_02!H374)</f>
        <v/>
      </c>
    </row>
    <row r="376" spans="2:10">
      <c r="B376" s="256"/>
      <c r="C376" s="257" t="s">
        <v>557</v>
      </c>
      <c r="D376" s="256"/>
      <c r="E376" s="259">
        <f>Dat_02!C375</f>
        <v>36.370185447716374</v>
      </c>
      <c r="F376" s="259">
        <f>Dat_02!D375</f>
        <v>65.26716544621334</v>
      </c>
      <c r="G376" s="259">
        <f>Dat_02!E375</f>
        <v>36.370185447716374</v>
      </c>
      <c r="I376" s="260">
        <f>Dat_02!G375</f>
        <v>0</v>
      </c>
      <c r="J376" s="272" t="str">
        <f>IF(Dat_02!H375=0,"",Dat_02!H375)</f>
        <v/>
      </c>
    </row>
    <row r="377" spans="2:10">
      <c r="B377" s="256"/>
      <c r="C377" s="257" t="s">
        <v>558</v>
      </c>
      <c r="D377" s="256"/>
      <c r="E377" s="259">
        <f>Dat_02!C376</f>
        <v>36.215956243718239</v>
      </c>
      <c r="F377" s="259">
        <f>Dat_02!D376</f>
        <v>65.26716544621334</v>
      </c>
      <c r="G377" s="259">
        <f>Dat_02!E376</f>
        <v>36.215956243718239</v>
      </c>
      <c r="I377" s="260">
        <f>Dat_02!G376</f>
        <v>0</v>
      </c>
      <c r="J377" s="272" t="str">
        <f>IF(Dat_02!H376=0,"",Dat_02!H376)</f>
        <v/>
      </c>
    </row>
    <row r="378" spans="2:10">
      <c r="B378" s="256"/>
      <c r="C378" s="257" t="s">
        <v>559</v>
      </c>
      <c r="D378" s="256"/>
      <c r="E378" s="259">
        <f>Dat_02!C377</f>
        <v>34.954237279718242</v>
      </c>
      <c r="F378" s="259">
        <f>Dat_02!D377</f>
        <v>65.26716544621334</v>
      </c>
      <c r="G378" s="259">
        <f>Dat_02!E377</f>
        <v>34.954237279718242</v>
      </c>
      <c r="I378" s="260">
        <f>Dat_02!G377</f>
        <v>0</v>
      </c>
      <c r="J378" s="272" t="str">
        <f>IF(Dat_02!H377=0,"",Dat_02!H377)</f>
        <v/>
      </c>
    </row>
    <row r="379" spans="2:10">
      <c r="B379" s="256"/>
      <c r="C379" s="257" t="s">
        <v>560</v>
      </c>
      <c r="D379" s="256"/>
      <c r="E379" s="259">
        <f>Dat_02!C378</f>
        <v>40.592416139716377</v>
      </c>
      <c r="F379" s="259">
        <f>Dat_02!D378</f>
        <v>65.26716544621334</v>
      </c>
      <c r="G379" s="259">
        <f>Dat_02!E378</f>
        <v>40.592416139716377</v>
      </c>
      <c r="I379" s="260">
        <f>Dat_02!G378</f>
        <v>0</v>
      </c>
      <c r="J379" s="272" t="str">
        <f>IF(Dat_02!H378=0,"",Dat_02!H378)</f>
        <v/>
      </c>
    </row>
    <row r="380" spans="2:10">
      <c r="B380" s="256"/>
      <c r="C380" s="257" t="s">
        <v>561</v>
      </c>
      <c r="D380" s="256"/>
      <c r="E380" s="259">
        <f>Dat_02!C379</f>
        <v>39.241911186815599</v>
      </c>
      <c r="F380" s="259">
        <f>Dat_02!D379</f>
        <v>65.26716544621334</v>
      </c>
      <c r="G380" s="259">
        <f>Dat_02!E379</f>
        <v>39.241911186815599</v>
      </c>
      <c r="I380" s="260">
        <f>Dat_02!G379</f>
        <v>0</v>
      </c>
      <c r="J380" s="272" t="str">
        <f>IF(Dat_02!H379=0,"",Dat_02!H379)</f>
        <v/>
      </c>
    </row>
    <row r="381" spans="2:10">
      <c r="B381" s="256"/>
      <c r="C381" s="257" t="s">
        <v>562</v>
      </c>
      <c r="D381" s="256"/>
      <c r="E381" s="259">
        <f>Dat_02!C380</f>
        <v>28.634086794815595</v>
      </c>
      <c r="F381" s="259">
        <f>Dat_02!D380</f>
        <v>65.26716544621334</v>
      </c>
      <c r="G381" s="259">
        <f>Dat_02!E380</f>
        <v>28.634086794815595</v>
      </c>
      <c r="I381" s="260">
        <f>Dat_02!G380</f>
        <v>0</v>
      </c>
      <c r="J381" s="272" t="str">
        <f>IF(Dat_02!H380=0,"",Dat_02!H380)</f>
        <v/>
      </c>
    </row>
    <row r="382" spans="2:10">
      <c r="B382" s="256"/>
      <c r="C382" s="257" t="s">
        <v>563</v>
      </c>
      <c r="D382" s="256"/>
      <c r="E382" s="259">
        <f>Dat_02!C381</f>
        <v>32.436906178815597</v>
      </c>
      <c r="F382" s="259">
        <f>Dat_02!D381</f>
        <v>65.26716544621334</v>
      </c>
      <c r="G382" s="259">
        <f>Dat_02!E381</f>
        <v>32.436906178815597</v>
      </c>
      <c r="I382" s="260">
        <f>Dat_02!G381</f>
        <v>0</v>
      </c>
      <c r="J382" s="272" t="str">
        <f>IF(Dat_02!H381=0,"",Dat_02!H381)</f>
        <v/>
      </c>
    </row>
    <row r="383" spans="2:10">
      <c r="B383" s="256"/>
      <c r="C383" s="257" t="s">
        <v>564</v>
      </c>
      <c r="D383" s="256"/>
      <c r="E383" s="259">
        <f>Dat_02!C382</f>
        <v>29.753917250813736</v>
      </c>
      <c r="F383" s="259">
        <f>Dat_02!D382</f>
        <v>65.26716544621334</v>
      </c>
      <c r="G383" s="259">
        <f>Dat_02!E382</f>
        <v>29.753917250813736</v>
      </c>
      <c r="I383" s="260">
        <f>Dat_02!G382</f>
        <v>65.26716544621334</v>
      </c>
      <c r="J383" s="272" t="str">
        <f>IF(Dat_02!H382=0,"",Dat_02!H382)</f>
        <v/>
      </c>
    </row>
    <row r="384" spans="2:10">
      <c r="B384" s="256"/>
      <c r="C384" s="257" t="s">
        <v>565</v>
      </c>
      <c r="D384" s="256"/>
      <c r="E384" s="259">
        <f>Dat_02!C383</f>
        <v>32.905156950815595</v>
      </c>
      <c r="F384" s="259">
        <f>Dat_02!D383</f>
        <v>65.26716544621334</v>
      </c>
      <c r="G384" s="259">
        <f>Dat_02!E383</f>
        <v>32.905156950815595</v>
      </c>
      <c r="I384" s="260">
        <f>Dat_02!G383</f>
        <v>0</v>
      </c>
      <c r="J384" s="272" t="str">
        <f>IF(Dat_02!H383=0,"",Dat_02!H383)</f>
        <v/>
      </c>
    </row>
    <row r="385" spans="2:10">
      <c r="B385" s="256"/>
      <c r="C385" s="257" t="s">
        <v>566</v>
      </c>
      <c r="D385" s="256"/>
      <c r="E385" s="259">
        <f>Dat_02!C384</f>
        <v>39.089365578817457</v>
      </c>
      <c r="F385" s="259">
        <f>Dat_02!D384</f>
        <v>65.26716544621334</v>
      </c>
      <c r="G385" s="259">
        <f>Dat_02!E384</f>
        <v>39.089365578817457</v>
      </c>
      <c r="I385" s="260">
        <f>Dat_02!G384</f>
        <v>0</v>
      </c>
      <c r="J385" s="272" t="str">
        <f>IF(Dat_02!H384=0,"",Dat_02!H384)</f>
        <v/>
      </c>
    </row>
    <row r="386" spans="2:10">
      <c r="B386" s="256"/>
      <c r="C386" s="257" t="s">
        <v>567</v>
      </c>
      <c r="D386" s="256"/>
      <c r="E386" s="259">
        <f>Dat_02!C385</f>
        <v>30.561841338813736</v>
      </c>
      <c r="F386" s="259">
        <f>Dat_02!D385</f>
        <v>65.26716544621334</v>
      </c>
      <c r="G386" s="259">
        <f>Dat_02!E385</f>
        <v>30.561841338813736</v>
      </c>
      <c r="I386" s="260">
        <f>Dat_02!G385</f>
        <v>0</v>
      </c>
      <c r="J386" s="272" t="str">
        <f>IF(Dat_02!H385=0,"",Dat_02!H385)</f>
        <v/>
      </c>
    </row>
    <row r="387" spans="2:10">
      <c r="B387" s="256"/>
      <c r="C387" s="257" t="s">
        <v>568</v>
      </c>
      <c r="D387" s="256"/>
      <c r="E387" s="259">
        <f>Dat_02!C386</f>
        <v>41.62450739765319</v>
      </c>
      <c r="F387" s="259">
        <f>Dat_02!D386</f>
        <v>65.26716544621334</v>
      </c>
      <c r="G387" s="259">
        <f>Dat_02!E386</f>
        <v>41.62450739765319</v>
      </c>
      <c r="I387" s="260">
        <f>Dat_02!G386</f>
        <v>0</v>
      </c>
      <c r="J387" s="272" t="str">
        <f>IF(Dat_02!H386=0,"",Dat_02!H386)</f>
        <v/>
      </c>
    </row>
    <row r="388" spans="2:10">
      <c r="B388" s="256"/>
      <c r="C388" s="257" t="s">
        <v>569</v>
      </c>
      <c r="D388" s="256"/>
      <c r="E388" s="259">
        <f>Dat_02!C387</f>
        <v>34.637508205653198</v>
      </c>
      <c r="F388" s="259">
        <f>Dat_02!D387</f>
        <v>65.26716544621334</v>
      </c>
      <c r="G388" s="259">
        <f>Dat_02!E387</f>
        <v>34.637508205653198</v>
      </c>
      <c r="I388" s="260">
        <f>Dat_02!G387</f>
        <v>0</v>
      </c>
      <c r="J388" s="272" t="str">
        <f>IF(Dat_02!H387=0,"",Dat_02!H387)</f>
        <v/>
      </c>
    </row>
    <row r="389" spans="2:10">
      <c r="B389" s="256"/>
      <c r="C389" s="257" t="s">
        <v>570</v>
      </c>
      <c r="D389" s="256"/>
      <c r="E389" s="259">
        <f>Dat_02!C388</f>
        <v>40.418200057653195</v>
      </c>
      <c r="F389" s="259">
        <f>Dat_02!D388</f>
        <v>65.26716544621334</v>
      </c>
      <c r="G389" s="259">
        <f>Dat_02!E388</f>
        <v>40.418200057653195</v>
      </c>
      <c r="I389" s="260">
        <f>Dat_02!G388</f>
        <v>0</v>
      </c>
      <c r="J389" s="272" t="str">
        <f>IF(Dat_02!H388=0,"",Dat_02!H388)</f>
        <v/>
      </c>
    </row>
    <row r="390" spans="2:10">
      <c r="B390" s="256"/>
      <c r="C390" s="257" t="s">
        <v>571</v>
      </c>
      <c r="D390" s="256"/>
      <c r="E390" s="259">
        <f>Dat_02!C389</f>
        <v>28.832433745655056</v>
      </c>
      <c r="F390" s="259">
        <f>Dat_02!D389</f>
        <v>65.26716544621334</v>
      </c>
      <c r="G390" s="259">
        <f>Dat_02!E389</f>
        <v>28.832433745655056</v>
      </c>
      <c r="I390" s="260">
        <f>Dat_02!G389</f>
        <v>0</v>
      </c>
      <c r="J390" s="272" t="str">
        <f>IF(Dat_02!H389=0,"",Dat_02!H389)</f>
        <v/>
      </c>
    </row>
    <row r="391" spans="2:10">
      <c r="B391" s="256"/>
      <c r="C391" s="257" t="s">
        <v>572</v>
      </c>
      <c r="D391" s="256"/>
      <c r="E391" s="259">
        <f>Dat_02!C390</f>
        <v>27.133252947651329</v>
      </c>
      <c r="F391" s="259">
        <f>Dat_02!D390</f>
        <v>65.26716544621334</v>
      </c>
      <c r="G391" s="259">
        <f>Dat_02!E390</f>
        <v>27.133252947651329</v>
      </c>
      <c r="I391" s="260">
        <f>Dat_02!G390</f>
        <v>0</v>
      </c>
      <c r="J391" s="272" t="str">
        <f>IF(Dat_02!H390=0,"",Dat_02!H390)</f>
        <v/>
      </c>
    </row>
    <row r="392" spans="2:10">
      <c r="B392" s="256"/>
      <c r="C392" s="257" t="s">
        <v>573</v>
      </c>
      <c r="D392" s="256"/>
      <c r="E392" s="259">
        <f>Dat_02!C391</f>
        <v>32.879115653653194</v>
      </c>
      <c r="F392" s="259">
        <f>Dat_02!D391</f>
        <v>65.26716544621334</v>
      </c>
      <c r="G392" s="259">
        <f>Dat_02!E391</f>
        <v>32.879115653653194</v>
      </c>
      <c r="I392" s="260">
        <f>Dat_02!G391</f>
        <v>0</v>
      </c>
      <c r="J392" s="272" t="str">
        <f>IF(Dat_02!H391=0,"",Dat_02!H391)</f>
        <v/>
      </c>
    </row>
    <row r="393" spans="2:10">
      <c r="B393" s="256"/>
      <c r="C393" s="257" t="s">
        <v>574</v>
      </c>
      <c r="D393" s="256"/>
      <c r="E393" s="259">
        <f>Dat_02!C392</f>
        <v>46.052716117655059</v>
      </c>
      <c r="F393" s="259">
        <f>Dat_02!D392</f>
        <v>65.26716544621334</v>
      </c>
      <c r="G393" s="259">
        <f>Dat_02!E392</f>
        <v>46.052716117655059</v>
      </c>
      <c r="I393" s="260">
        <f>Dat_02!G392</f>
        <v>0</v>
      </c>
      <c r="J393" s="272" t="str">
        <f>IF(Dat_02!H392=0,"",Dat_02!H392)</f>
        <v/>
      </c>
    </row>
    <row r="394" spans="2:10">
      <c r="B394" s="256"/>
      <c r="C394" s="257" t="s">
        <v>575</v>
      </c>
      <c r="D394" s="256"/>
      <c r="E394" s="259">
        <f>Dat_02!C393</f>
        <v>29.624145615292452</v>
      </c>
      <c r="F394" s="259">
        <f>Dat_02!D393</f>
        <v>65.26716544621334</v>
      </c>
      <c r="G394" s="259">
        <f>Dat_02!E393</f>
        <v>29.624145615292452</v>
      </c>
      <c r="I394" s="260">
        <f>Dat_02!G393</f>
        <v>0</v>
      </c>
      <c r="J394" s="272" t="str">
        <f>IF(Dat_02!H393=0,"",Dat_02!H393)</f>
        <v/>
      </c>
    </row>
    <row r="395" spans="2:10">
      <c r="B395" s="256"/>
      <c r="C395" s="257" t="s">
        <v>576</v>
      </c>
      <c r="D395" s="256"/>
      <c r="E395" s="259">
        <f>Dat_02!C394</f>
        <v>25.52030535529618</v>
      </c>
      <c r="F395" s="259">
        <f>Dat_02!D394</f>
        <v>65.26716544621334</v>
      </c>
      <c r="G395" s="259">
        <f>Dat_02!E394</f>
        <v>25.52030535529618</v>
      </c>
      <c r="I395" s="260">
        <f>Dat_02!G394</f>
        <v>0</v>
      </c>
      <c r="J395" s="272" t="str">
        <f>IF(Dat_02!H394=0,"",Dat_02!H394)</f>
        <v/>
      </c>
    </row>
    <row r="396" spans="2:10">
      <c r="B396" s="256"/>
      <c r="C396" s="257" t="s">
        <v>577</v>
      </c>
      <c r="D396" s="256"/>
      <c r="E396" s="259">
        <f>Dat_02!C395</f>
        <v>35.373072383292453</v>
      </c>
      <c r="F396" s="259">
        <f>Dat_02!D395</f>
        <v>65.26716544621334</v>
      </c>
      <c r="G396" s="259">
        <f>Dat_02!E395</f>
        <v>35.373072383292453</v>
      </c>
      <c r="I396" s="260">
        <f>Dat_02!G395</f>
        <v>0</v>
      </c>
      <c r="J396" s="272" t="str">
        <f>IF(Dat_02!H395=0,"",Dat_02!H395)</f>
        <v/>
      </c>
    </row>
    <row r="397" spans="2:10">
      <c r="B397" s="256"/>
      <c r="C397" s="257" t="s">
        <v>578</v>
      </c>
      <c r="D397" s="256"/>
      <c r="E397" s="259">
        <f>Dat_02!C396</f>
        <v>19.260006891294317</v>
      </c>
      <c r="F397" s="259">
        <f>Dat_02!D396</f>
        <v>65.26716544621334</v>
      </c>
      <c r="G397" s="259">
        <f>Dat_02!E396</f>
        <v>19.260006891294317</v>
      </c>
      <c r="I397" s="260">
        <f>Dat_02!G396</f>
        <v>0</v>
      </c>
      <c r="J397" s="272" t="str">
        <f>IF(Dat_02!H396=0,"",Dat_02!H396)</f>
        <v/>
      </c>
    </row>
    <row r="398" spans="2:10">
      <c r="B398" s="256"/>
      <c r="C398" s="257" t="s">
        <v>579</v>
      </c>
      <c r="D398" s="256"/>
      <c r="E398" s="259">
        <f>Dat_02!C397</f>
        <v>18.127347819294314</v>
      </c>
      <c r="F398" s="259">
        <f>Dat_02!D397</f>
        <v>65.26716544621334</v>
      </c>
      <c r="G398" s="259">
        <f>Dat_02!E397</f>
        <v>18.127347819294314</v>
      </c>
      <c r="I398" s="260">
        <f>Dat_02!G397</f>
        <v>0</v>
      </c>
      <c r="J398" s="272" t="str">
        <f>IF(Dat_02!H397=0,"",Dat_02!H397)</f>
        <v/>
      </c>
    </row>
    <row r="399" spans="2:10">
      <c r="B399" s="256"/>
      <c r="C399" s="257" t="s">
        <v>580</v>
      </c>
      <c r="D399" s="256"/>
      <c r="E399" s="259">
        <f>Dat_02!C398</f>
        <v>0</v>
      </c>
      <c r="F399" s="259">
        <f>Dat_02!D398</f>
        <v>0</v>
      </c>
      <c r="G399" s="259">
        <f>Dat_02!E398</f>
        <v>0</v>
      </c>
      <c r="I399" s="260">
        <f>Dat_02!G398</f>
        <v>0</v>
      </c>
      <c r="J399" s="272" t="str">
        <f>IF(Dat_02!H398=0,"",Dat_02!H398)</f>
        <v/>
      </c>
    </row>
    <row r="400" spans="2:10">
      <c r="B400" s="264"/>
      <c r="C400" s="265"/>
      <c r="D400" s="266"/>
      <c r="E400" s="267"/>
      <c r="F400" s="267"/>
      <c r="G400" s="267"/>
      <c r="H400" s="262"/>
      <c r="I400" s="261"/>
      <c r="J400" s="255"/>
    </row>
    <row r="401" spans="2:10">
      <c r="B401" s="262"/>
      <c r="C401" s="262"/>
      <c r="D401" s="262"/>
      <c r="E401" s="268"/>
      <c r="F401" s="268"/>
      <c r="G401" s="269"/>
      <c r="H401" s="262"/>
      <c r="I401" s="261"/>
      <c r="J401" s="255"/>
    </row>
    <row r="402" spans="2:10">
      <c r="B402" s="262"/>
      <c r="C402" s="262"/>
      <c r="D402" s="262"/>
      <c r="E402" s="268"/>
      <c r="F402" s="268"/>
      <c r="G402" s="269"/>
      <c r="H402" s="262"/>
      <c r="I402" s="261"/>
      <c r="J402" s="255"/>
    </row>
    <row r="403" spans="2:10">
      <c r="B403" s="158"/>
      <c r="C403" s="262"/>
      <c r="D403" s="262"/>
      <c r="E403" s="268"/>
      <c r="F403" s="268"/>
      <c r="G403" s="269"/>
      <c r="H403" s="158"/>
      <c r="I403" s="270"/>
      <c r="J403" s="271"/>
    </row>
    <row r="404" spans="2:10">
      <c r="B404" s="158"/>
      <c r="C404" s="262"/>
      <c r="D404" s="262"/>
      <c r="E404" s="268"/>
      <c r="F404" s="268"/>
      <c r="G404" s="269"/>
      <c r="H404" s="158"/>
      <c r="I404" s="270"/>
      <c r="J404" s="271"/>
    </row>
    <row r="405" spans="2:10">
      <c r="B405" s="158"/>
      <c r="C405" s="262"/>
      <c r="D405" s="262"/>
      <c r="E405" s="268"/>
      <c r="F405" s="268"/>
      <c r="G405" s="269"/>
      <c r="H405" s="158"/>
      <c r="I405" s="270"/>
      <c r="J405" s="271"/>
    </row>
    <row r="406" spans="2:10">
      <c r="B406" s="158"/>
      <c r="C406" s="262"/>
      <c r="D406" s="262"/>
      <c r="E406" s="268"/>
      <c r="F406" s="268"/>
      <c r="G406" s="269"/>
      <c r="H406" s="158"/>
      <c r="I406" s="270"/>
      <c r="J406" s="271"/>
    </row>
    <row r="407" spans="2:10">
      <c r="B407" s="158"/>
      <c r="C407" s="262"/>
      <c r="D407" s="262"/>
      <c r="E407" s="268"/>
      <c r="F407" s="268"/>
      <c r="G407" s="269"/>
      <c r="H407" s="158"/>
      <c r="I407" s="270"/>
      <c r="J407" s="271"/>
    </row>
    <row r="408" spans="2:10">
      <c r="B408" s="158"/>
      <c r="C408" s="262"/>
      <c r="D408" s="262"/>
      <c r="E408" s="268"/>
      <c r="F408" s="268"/>
      <c r="G408" s="269"/>
      <c r="H408" s="158"/>
      <c r="I408" s="270"/>
      <c r="J408" s="271"/>
    </row>
    <row r="409" spans="2:10">
      <c r="B409" s="158"/>
      <c r="C409" s="262"/>
      <c r="D409" s="262"/>
      <c r="E409" s="268"/>
      <c r="F409" s="268"/>
      <c r="G409" s="269"/>
      <c r="H409" s="158"/>
      <c r="I409" s="270"/>
      <c r="J409" s="271"/>
    </row>
    <row r="410" spans="2:10">
      <c r="B410" s="158"/>
      <c r="C410" s="262"/>
      <c r="D410" s="262"/>
      <c r="E410" s="268"/>
      <c r="F410" s="268"/>
      <c r="G410" s="269"/>
      <c r="H410" s="158"/>
      <c r="I410" s="270"/>
      <c r="J410" s="271"/>
    </row>
    <row r="411" spans="2:10">
      <c r="B411" s="158"/>
      <c r="C411" s="262"/>
      <c r="D411" s="262"/>
      <c r="E411" s="268"/>
      <c r="F411" s="268"/>
      <c r="G411" s="269"/>
      <c r="H411" s="158"/>
      <c r="I411" s="270"/>
      <c r="J411" s="271"/>
    </row>
    <row r="412" spans="2:10">
      <c r="B412" s="158"/>
      <c r="C412" s="262"/>
      <c r="D412" s="262"/>
      <c r="E412" s="268"/>
      <c r="F412" s="268"/>
      <c r="G412" s="269"/>
      <c r="H412" s="158"/>
      <c r="I412" s="270"/>
      <c r="J412" s="271"/>
    </row>
    <row r="413" spans="2:10">
      <c r="B413" s="158"/>
      <c r="C413" s="262"/>
      <c r="D413" s="262"/>
      <c r="E413" s="268"/>
      <c r="F413" s="268"/>
      <c r="G413" s="269"/>
      <c r="H413" s="158"/>
      <c r="I413" s="270"/>
      <c r="J413" s="271"/>
    </row>
    <row r="414" spans="2:10">
      <c r="B414" s="158"/>
      <c r="C414" s="262"/>
      <c r="D414" s="262"/>
      <c r="E414" s="268"/>
      <c r="F414" s="268"/>
      <c r="G414" s="269"/>
      <c r="H414" s="158"/>
      <c r="I414" s="270"/>
      <c r="J414" s="271"/>
    </row>
    <row r="415" spans="2:10">
      <c r="B415" s="158"/>
      <c r="C415" s="262"/>
      <c r="D415" s="262"/>
      <c r="E415" s="268"/>
      <c r="F415" s="268"/>
      <c r="G415" s="269"/>
      <c r="H415" s="158"/>
      <c r="I415" s="261"/>
      <c r="J415" s="255"/>
    </row>
    <row r="416" spans="2:10">
      <c r="B416" s="158"/>
      <c r="C416" s="262"/>
      <c r="D416" s="262"/>
      <c r="E416" s="268"/>
      <c r="F416" s="268"/>
      <c r="G416" s="269"/>
      <c r="H416" s="158"/>
      <c r="I416" s="270"/>
      <c r="J416" s="271"/>
    </row>
    <row r="417" spans="2:10">
      <c r="B417" s="158"/>
      <c r="C417" s="262"/>
      <c r="D417" s="262"/>
      <c r="E417" s="268"/>
      <c r="F417" s="268"/>
      <c r="G417" s="269"/>
      <c r="H417" s="158"/>
      <c r="I417" s="270"/>
      <c r="J417" s="271"/>
    </row>
    <row r="418" spans="2:10">
      <c r="B418" s="158"/>
      <c r="C418" s="262"/>
      <c r="D418" s="262"/>
      <c r="E418" s="268"/>
      <c r="F418" s="268"/>
      <c r="G418" s="269"/>
      <c r="H418" s="158"/>
      <c r="I418" s="270"/>
      <c r="J418" s="271"/>
    </row>
    <row r="419" spans="2:10">
      <c r="B419" s="158"/>
      <c r="C419" s="262"/>
      <c r="D419" s="262"/>
      <c r="E419" s="268"/>
      <c r="F419" s="268"/>
      <c r="G419" s="269"/>
      <c r="H419" s="158"/>
      <c r="I419" s="270"/>
      <c r="J419" s="271"/>
    </row>
    <row r="420" spans="2:10">
      <c r="B420" s="158"/>
      <c r="C420" s="262"/>
      <c r="D420" s="262"/>
      <c r="E420" s="268"/>
      <c r="F420" s="268"/>
      <c r="G420" s="269"/>
      <c r="H420" s="158"/>
      <c r="I420" s="270"/>
      <c r="J420" s="271"/>
    </row>
    <row r="421" spans="2:10">
      <c r="B421" s="158"/>
      <c r="C421" s="262"/>
      <c r="D421" s="262"/>
      <c r="E421" s="268"/>
      <c r="F421" s="268"/>
      <c r="G421" s="269"/>
      <c r="H421" s="158"/>
      <c r="I421" s="270"/>
      <c r="J421" s="271"/>
    </row>
    <row r="422" spans="2:10">
      <c r="B422" s="158"/>
      <c r="C422" s="262"/>
      <c r="D422" s="262"/>
      <c r="E422" s="268"/>
      <c r="F422" s="268"/>
      <c r="G422" s="269"/>
      <c r="H422" s="158"/>
      <c r="I422" s="270"/>
      <c r="J422" s="271"/>
    </row>
    <row r="423" spans="2:10">
      <c r="B423" s="158"/>
      <c r="C423" s="262"/>
      <c r="D423" s="262"/>
      <c r="E423" s="268"/>
      <c r="F423" s="268"/>
      <c r="G423" s="269"/>
      <c r="H423" s="158"/>
      <c r="I423" s="270"/>
      <c r="J423" s="271"/>
    </row>
    <row r="424" spans="2:10">
      <c r="B424" s="158"/>
      <c r="C424" s="262"/>
      <c r="D424" s="262"/>
      <c r="E424" s="268"/>
      <c r="F424" s="268"/>
      <c r="G424" s="269"/>
      <c r="H424" s="158"/>
      <c r="I424" s="270"/>
      <c r="J424" s="271"/>
    </row>
    <row r="425" spans="2:10">
      <c r="B425" s="158"/>
      <c r="C425" s="262"/>
      <c r="D425" s="262"/>
      <c r="E425" s="268"/>
      <c r="F425" s="268"/>
      <c r="G425" s="269"/>
      <c r="H425" s="158"/>
      <c r="I425" s="270"/>
      <c r="J425" s="271"/>
    </row>
    <row r="426" spans="2:10">
      <c r="B426" s="158"/>
      <c r="C426" s="262"/>
      <c r="D426" s="262"/>
      <c r="E426" s="268"/>
      <c r="F426" s="268"/>
      <c r="G426" s="269"/>
      <c r="H426" s="262"/>
      <c r="I426" s="261"/>
      <c r="J426" s="271"/>
    </row>
    <row r="427" spans="2:10">
      <c r="B427" s="158"/>
      <c r="C427" s="262"/>
      <c r="D427" s="262"/>
      <c r="E427" s="268"/>
      <c r="F427" s="268"/>
      <c r="G427" s="269"/>
      <c r="H427" s="262"/>
      <c r="I427" s="261"/>
      <c r="J427" s="271"/>
    </row>
    <row r="428" spans="2:10">
      <c r="B428" s="158"/>
      <c r="C428" s="262"/>
      <c r="D428" s="262"/>
      <c r="E428" s="268"/>
      <c r="F428" s="268"/>
      <c r="G428" s="269"/>
      <c r="H428" s="262"/>
      <c r="I428" s="261"/>
      <c r="J428" s="271"/>
    </row>
    <row r="429" spans="2:10">
      <c r="B429" s="158"/>
      <c r="C429" s="262"/>
      <c r="D429" s="262"/>
      <c r="E429" s="268"/>
      <c r="F429" s="268"/>
      <c r="G429" s="269"/>
      <c r="H429" s="262"/>
      <c r="I429" s="261"/>
      <c r="J429" s="271"/>
    </row>
    <row r="430" spans="2:10">
      <c r="B430" s="158"/>
      <c r="C430" s="262"/>
      <c r="D430" s="262"/>
      <c r="E430" s="268"/>
      <c r="F430" s="268"/>
      <c r="G430" s="269"/>
      <c r="H430" s="262"/>
      <c r="I430" s="261"/>
      <c r="J430" s="271"/>
    </row>
    <row r="431" spans="2:10">
      <c r="B431" s="158"/>
      <c r="C431" s="262"/>
      <c r="D431" s="262"/>
      <c r="E431" s="268"/>
      <c r="F431" s="268"/>
      <c r="G431" s="269"/>
      <c r="H431" s="262"/>
      <c r="I431" s="261"/>
      <c r="J431" s="271"/>
    </row>
    <row r="432" spans="2:10">
      <c r="C432" s="262"/>
      <c r="D432" s="262"/>
      <c r="E432" s="268"/>
      <c r="F432" s="268"/>
      <c r="G432" s="269"/>
    </row>
    <row r="433" spans="3:7">
      <c r="C433" s="262"/>
      <c r="D433" s="262"/>
      <c r="E433" s="268"/>
      <c r="F433" s="268"/>
      <c r="G433" s="269"/>
    </row>
    <row r="434" spans="3:7">
      <c r="C434" s="262"/>
      <c r="D434" s="262"/>
      <c r="E434" s="268"/>
      <c r="F434" s="268"/>
      <c r="G434" s="269"/>
    </row>
    <row r="435" spans="3:7">
      <c r="C435" s="262"/>
      <c r="D435" s="262"/>
      <c r="E435" s="268"/>
      <c r="F435" s="268"/>
      <c r="G435" s="269"/>
    </row>
    <row r="436" spans="3:7">
      <c r="C436" s="262"/>
      <c r="D436" s="262"/>
      <c r="E436" s="268"/>
      <c r="F436" s="268"/>
      <c r="G436" s="269"/>
    </row>
    <row r="437" spans="3:7">
      <c r="C437" s="262"/>
      <c r="D437" s="262"/>
      <c r="E437" s="268"/>
      <c r="F437" s="268"/>
      <c r="G437" s="269"/>
    </row>
    <row r="438" spans="3:7">
      <c r="C438" s="262"/>
      <c r="D438" s="262"/>
      <c r="E438" s="268"/>
      <c r="F438" s="268"/>
      <c r="G438" s="269"/>
    </row>
    <row r="439" spans="3:7">
      <c r="C439" s="262"/>
      <c r="D439" s="262"/>
      <c r="E439" s="268"/>
      <c r="F439" s="268"/>
      <c r="G439" s="269"/>
    </row>
    <row r="440" spans="3:7">
      <c r="C440" s="262"/>
      <c r="D440" s="262"/>
      <c r="E440" s="268"/>
      <c r="F440" s="268"/>
      <c r="G440" s="269"/>
    </row>
    <row r="441" spans="3:7">
      <c r="C441" s="262"/>
      <c r="D441" s="262"/>
      <c r="E441" s="268"/>
      <c r="F441" s="268"/>
      <c r="G441" s="269"/>
    </row>
    <row r="442" spans="3:7">
      <c r="C442" s="262"/>
      <c r="D442" s="262"/>
      <c r="E442" s="268"/>
      <c r="F442" s="268"/>
      <c r="G442" s="269"/>
    </row>
    <row r="443" spans="3:7">
      <c r="C443" s="262"/>
      <c r="D443" s="262"/>
      <c r="E443" s="268"/>
      <c r="F443" s="268"/>
      <c r="G443" s="269"/>
    </row>
    <row r="444" spans="3:7">
      <c r="C444" s="262"/>
      <c r="D444" s="262"/>
      <c r="E444" s="268"/>
      <c r="F444" s="268"/>
      <c r="G444" s="269"/>
    </row>
    <row r="445" spans="3:7">
      <c r="C445" s="262"/>
      <c r="D445" s="262"/>
      <c r="E445" s="268"/>
      <c r="F445" s="268"/>
      <c r="G445" s="269"/>
    </row>
    <row r="446" spans="3:7">
      <c r="C446" s="262"/>
      <c r="D446" s="262"/>
      <c r="E446" s="268"/>
      <c r="F446" s="268"/>
      <c r="G446" s="269"/>
    </row>
    <row r="447" spans="3:7">
      <c r="C447" s="262"/>
      <c r="D447" s="262"/>
      <c r="E447" s="268"/>
      <c r="F447" s="268"/>
      <c r="G447" s="269"/>
    </row>
    <row r="448" spans="3:7">
      <c r="C448" s="262"/>
      <c r="D448" s="262"/>
      <c r="E448" s="268"/>
      <c r="F448" s="268"/>
      <c r="G448" s="269"/>
    </row>
    <row r="449" spans="3:7">
      <c r="C449" s="262"/>
      <c r="D449" s="262"/>
      <c r="E449" s="268"/>
      <c r="F449" s="268"/>
      <c r="G449" s="2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617</v>
      </c>
    </row>
    <row r="2" spans="1:2">
      <c r="A2" t="s">
        <v>605</v>
      </c>
    </row>
    <row r="3" spans="1:2">
      <c r="A3" t="s">
        <v>616</v>
      </c>
    </row>
    <row r="4" spans="1:2">
      <c r="A4" t="s">
        <v>606</v>
      </c>
    </row>
    <row r="5" spans="1:2">
      <c r="A5" t="s">
        <v>613</v>
      </c>
    </row>
    <row r="6" spans="1:2">
      <c r="A6" t="s">
        <v>612</v>
      </c>
    </row>
    <row r="7" spans="1:2">
      <c r="A7" t="s">
        <v>609</v>
      </c>
    </row>
    <row r="8" spans="1:2">
      <c r="A8" t="s">
        <v>610</v>
      </c>
    </row>
    <row r="9" spans="1:2">
      <c r="A9" t="s">
        <v>615</v>
      </c>
    </row>
    <row r="10" spans="1:2">
      <c r="A10" t="s">
        <v>611</v>
      </c>
    </row>
    <row r="11" spans="1:2">
      <c r="A11" t="s">
        <v>614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8"/>
  <dimension ref="B2:K76"/>
  <sheetViews>
    <sheetView showGridLines="0" showRowColHeaders="0" workbookViewId="0">
      <selection activeCell="H53" sqref="H53"/>
    </sheetView>
  </sheetViews>
  <sheetFormatPr baseColWidth="10" defaultRowHeight="11.25"/>
  <cols>
    <col min="1" max="16384" width="11.42578125" style="173"/>
  </cols>
  <sheetData>
    <row r="2" spans="2:9">
      <c r="B2" s="153" t="s">
        <v>41</v>
      </c>
    </row>
    <row r="3" spans="2:9">
      <c r="B3" s="156"/>
      <c r="C3" s="156"/>
      <c r="D3" s="157"/>
      <c r="E3" s="157" t="s">
        <v>35</v>
      </c>
      <c r="F3" s="318" t="s">
        <v>36</v>
      </c>
      <c r="G3" s="318"/>
      <c r="H3" s="318"/>
      <c r="I3" s="158"/>
    </row>
    <row r="4" spans="2:9">
      <c r="B4" s="159"/>
      <c r="C4" s="159"/>
      <c r="D4" s="160" t="s">
        <v>37</v>
      </c>
      <c r="E4" s="160" t="s">
        <v>38</v>
      </c>
      <c r="F4" s="160" t="s">
        <v>21</v>
      </c>
      <c r="G4" s="160" t="s">
        <v>39</v>
      </c>
      <c r="H4" s="160" t="s">
        <v>70</v>
      </c>
      <c r="I4" s="160" t="s">
        <v>40</v>
      </c>
    </row>
    <row r="5" spans="2:9">
      <c r="B5" s="165">
        <v>2015</v>
      </c>
      <c r="C5" s="166" t="s">
        <v>94</v>
      </c>
      <c r="D5" s="162">
        <v>11918.792775</v>
      </c>
      <c r="E5" s="163">
        <v>18538.071</v>
      </c>
      <c r="F5" s="163">
        <v>13746.6</v>
      </c>
      <c r="G5" s="163">
        <v>6287.9</v>
      </c>
      <c r="H5" s="163">
        <v>10708.8</v>
      </c>
      <c r="I5" s="164">
        <f t="shared" ref="I5:I52" si="0">D5/E5*100</f>
        <v>64.293597618651916</v>
      </c>
    </row>
    <row r="6" spans="2:9">
      <c r="B6" s="165"/>
      <c r="C6" s="161" t="s">
        <v>94</v>
      </c>
      <c r="D6" s="162">
        <v>10448.885818000001</v>
      </c>
      <c r="E6" s="163">
        <v>18538.071</v>
      </c>
      <c r="F6" s="163">
        <v>12252.4</v>
      </c>
      <c r="G6" s="163">
        <v>5431.9</v>
      </c>
      <c r="H6" s="163">
        <v>9643.2999999999993</v>
      </c>
      <c r="I6" s="164">
        <f t="shared" si="0"/>
        <v>56.364471891385037</v>
      </c>
    </row>
    <row r="7" spans="2:9">
      <c r="B7" s="165"/>
      <c r="C7" s="161" t="s">
        <v>93</v>
      </c>
      <c r="D7" s="162">
        <v>9469.3938039999994</v>
      </c>
      <c r="E7" s="163">
        <v>18538.071</v>
      </c>
      <c r="F7" s="163">
        <v>10937.6</v>
      </c>
      <c r="G7" s="163">
        <v>4750.7</v>
      </c>
      <c r="H7" s="163">
        <v>8625.7000000000007</v>
      </c>
      <c r="I7" s="164">
        <f t="shared" si="0"/>
        <v>51.080793702861527</v>
      </c>
    </row>
    <row r="8" spans="2:9">
      <c r="B8" s="165"/>
      <c r="C8" s="161" t="s">
        <v>95</v>
      </c>
      <c r="D8" s="162">
        <v>8754.5516729999999</v>
      </c>
      <c r="E8" s="163">
        <v>18538.071</v>
      </c>
      <c r="F8" s="163">
        <v>10034.299999999999</v>
      </c>
      <c r="G8" s="163">
        <v>4535.6000000000004</v>
      </c>
      <c r="H8" s="163">
        <v>7930.4</v>
      </c>
      <c r="I8" s="164">
        <f t="shared" si="0"/>
        <v>47.224717571747348</v>
      </c>
    </row>
    <row r="9" spans="2:9">
      <c r="B9" s="165"/>
      <c r="C9" s="161" t="s">
        <v>96</v>
      </c>
      <c r="D9" s="162">
        <v>8623.2692549999992</v>
      </c>
      <c r="E9" s="163">
        <v>18538.071</v>
      </c>
      <c r="F9" s="163">
        <v>9635.2000000000007</v>
      </c>
      <c r="G9" s="163">
        <v>4230.8</v>
      </c>
      <c r="H9" s="163">
        <v>7810.6</v>
      </c>
      <c r="I9" s="164">
        <f t="shared" si="0"/>
        <v>46.516540232260404</v>
      </c>
    </row>
    <row r="10" spans="2:9">
      <c r="B10" s="165"/>
      <c r="C10" s="161" t="s">
        <v>97</v>
      </c>
      <c r="D10" s="162">
        <v>8744.6446699999997</v>
      </c>
      <c r="E10" s="163">
        <v>18538.071</v>
      </c>
      <c r="F10" s="163">
        <v>10899.4</v>
      </c>
      <c r="G10" s="163">
        <v>4607.3</v>
      </c>
      <c r="H10" s="163">
        <v>8257</v>
      </c>
      <c r="I10" s="164">
        <f t="shared" si="0"/>
        <v>47.171276180784936</v>
      </c>
    </row>
    <row r="11" spans="2:9">
      <c r="B11" s="165"/>
      <c r="C11" s="161" t="s">
        <v>98</v>
      </c>
      <c r="D11" s="162">
        <v>8644.1745179999998</v>
      </c>
      <c r="E11" s="163">
        <v>18538.071</v>
      </c>
      <c r="F11" s="163">
        <v>13185.4</v>
      </c>
      <c r="G11" s="163">
        <v>5271.4</v>
      </c>
      <c r="H11" s="163">
        <v>9056</v>
      </c>
      <c r="I11" s="164">
        <f t="shared" si="0"/>
        <v>46.62930958674179</v>
      </c>
    </row>
    <row r="12" spans="2:9">
      <c r="B12" s="165"/>
      <c r="C12" s="161" t="s">
        <v>99</v>
      </c>
      <c r="D12" s="162">
        <v>11227.656998</v>
      </c>
      <c r="E12" s="163">
        <v>18538.071</v>
      </c>
      <c r="F12" s="163">
        <v>13001.9</v>
      </c>
      <c r="G12" s="163">
        <v>5366.1</v>
      </c>
      <c r="H12" s="163">
        <v>10017.4</v>
      </c>
      <c r="I12" s="164">
        <f t="shared" si="0"/>
        <v>60.56540077983302</v>
      </c>
    </row>
    <row r="13" spans="2:9">
      <c r="B13" s="165"/>
      <c r="C13" s="161" t="s">
        <v>91</v>
      </c>
      <c r="D13" s="162">
        <v>12066.238818</v>
      </c>
      <c r="E13" s="163">
        <v>18538.071</v>
      </c>
      <c r="F13" s="163">
        <v>13315.6</v>
      </c>
      <c r="G13" s="163">
        <v>5433.6</v>
      </c>
      <c r="H13" s="163">
        <v>10361.5</v>
      </c>
      <c r="I13" s="164">
        <f t="shared" si="0"/>
        <v>65.088966473372551</v>
      </c>
    </row>
    <row r="14" spans="2:9">
      <c r="B14" s="165"/>
      <c r="C14" s="161" t="s">
        <v>92</v>
      </c>
      <c r="D14" s="162">
        <v>12306.055883000001</v>
      </c>
      <c r="E14" s="163">
        <v>18538.071</v>
      </c>
      <c r="F14" s="163">
        <v>13856.7</v>
      </c>
      <c r="G14" s="163">
        <v>5567.8</v>
      </c>
      <c r="H14" s="163">
        <v>10787.2</v>
      </c>
      <c r="I14" s="164">
        <f t="shared" si="0"/>
        <v>66.382612748651155</v>
      </c>
    </row>
    <row r="15" spans="2:9">
      <c r="B15" s="165"/>
      <c r="C15" s="167" t="s">
        <v>93</v>
      </c>
      <c r="D15" s="162">
        <v>13179.567322000001</v>
      </c>
      <c r="E15" s="163">
        <v>18538.071</v>
      </c>
      <c r="F15" s="163">
        <v>14018.9</v>
      </c>
      <c r="G15" s="163">
        <v>6896.6</v>
      </c>
      <c r="H15" s="163">
        <v>11295.2</v>
      </c>
      <c r="I15" s="164">
        <f t="shared" si="0"/>
        <v>71.094599443491191</v>
      </c>
    </row>
    <row r="16" spans="2:9">
      <c r="B16" s="165"/>
      <c r="C16" s="167" t="s">
        <v>92</v>
      </c>
      <c r="D16" s="162">
        <v>13577.542675000001</v>
      </c>
      <c r="E16" s="163">
        <v>18538.071</v>
      </c>
      <c r="F16" s="163">
        <v>14159.3</v>
      </c>
      <c r="G16" s="163">
        <v>6811.6</v>
      </c>
      <c r="H16" s="163">
        <v>11509.5</v>
      </c>
      <c r="I16" s="164">
        <f t="shared" si="0"/>
        <v>73.241399685004978</v>
      </c>
    </row>
    <row r="17" spans="2:9">
      <c r="B17" s="165">
        <v>2016</v>
      </c>
      <c r="C17" s="167" t="s">
        <v>94</v>
      </c>
      <c r="D17" s="162">
        <v>12751.035658000001</v>
      </c>
      <c r="E17" s="163">
        <v>18538.071</v>
      </c>
      <c r="F17" s="163">
        <v>13746.6</v>
      </c>
      <c r="G17" s="163">
        <v>6354.8</v>
      </c>
      <c r="H17" s="163">
        <v>10990.1</v>
      </c>
      <c r="I17" s="164">
        <f t="shared" si="0"/>
        <v>68.782969155744425</v>
      </c>
    </row>
    <row r="18" spans="2:9">
      <c r="B18" s="165"/>
      <c r="C18" s="167" t="s">
        <v>94</v>
      </c>
      <c r="D18" s="162">
        <v>11400.747851</v>
      </c>
      <c r="E18" s="163">
        <v>18538.071</v>
      </c>
      <c r="F18" s="163">
        <v>12254.4</v>
      </c>
      <c r="G18" s="163">
        <v>5493.3</v>
      </c>
      <c r="H18" s="163">
        <v>9894.2000000000007</v>
      </c>
      <c r="I18" s="164">
        <f t="shared" si="0"/>
        <v>61.499105548792002</v>
      </c>
    </row>
    <row r="19" spans="2:9">
      <c r="B19" s="165"/>
      <c r="C19" s="167" t="s">
        <v>93</v>
      </c>
      <c r="D19" s="162">
        <v>9726.8527639999993</v>
      </c>
      <c r="E19" s="163">
        <v>18538.071</v>
      </c>
      <c r="F19" s="163">
        <v>10936.9</v>
      </c>
      <c r="G19" s="163">
        <v>4803.8</v>
      </c>
      <c r="H19" s="163">
        <v>8861.6</v>
      </c>
      <c r="I19" s="164">
        <f t="shared" si="0"/>
        <v>52.469605731901659</v>
      </c>
    </row>
    <row r="20" spans="2:9">
      <c r="B20" s="165"/>
      <c r="C20" s="167" t="s">
        <v>95</v>
      </c>
      <c r="D20" s="162">
        <v>8542.9985949999991</v>
      </c>
      <c r="E20" s="163">
        <v>18538.071</v>
      </c>
      <c r="F20" s="163">
        <v>10062.1</v>
      </c>
      <c r="G20" s="163">
        <v>4577.6000000000004</v>
      </c>
      <c r="H20" s="163">
        <v>8141.4</v>
      </c>
      <c r="I20" s="164">
        <f t="shared" si="0"/>
        <v>46.083535849010396</v>
      </c>
    </row>
    <row r="21" spans="2:9">
      <c r="B21" s="165"/>
      <c r="C21" s="167" t="s">
        <v>96</v>
      </c>
      <c r="D21" s="162">
        <v>7639.5428579999998</v>
      </c>
      <c r="E21" s="163">
        <v>18538.071</v>
      </c>
      <c r="F21" s="163">
        <v>9669.2000000000007</v>
      </c>
      <c r="G21" s="163">
        <v>4301.2</v>
      </c>
      <c r="H21" s="163">
        <v>8029.9</v>
      </c>
      <c r="I21" s="164">
        <f t="shared" si="0"/>
        <v>41.210020492423396</v>
      </c>
    </row>
    <row r="22" spans="2:9">
      <c r="B22" s="165"/>
      <c r="C22" s="167" t="s">
        <v>97</v>
      </c>
      <c r="D22" s="162">
        <v>7737.8927560000002</v>
      </c>
      <c r="E22" s="163">
        <v>18538.071</v>
      </c>
      <c r="F22" s="163">
        <v>11022.8</v>
      </c>
      <c r="G22" s="163">
        <v>4697.8</v>
      </c>
      <c r="H22" s="163">
        <v>8512.7999999999993</v>
      </c>
      <c r="I22" s="164">
        <f t="shared" si="0"/>
        <v>41.740549790752226</v>
      </c>
    </row>
    <row r="23" spans="2:9">
      <c r="B23" s="165"/>
      <c r="C23" s="167" t="s">
        <v>98</v>
      </c>
      <c r="D23" s="162">
        <v>7271.9042060000002</v>
      </c>
      <c r="E23" s="163">
        <v>18538.071</v>
      </c>
      <c r="F23" s="163">
        <v>13351.2</v>
      </c>
      <c r="G23" s="163">
        <v>5303.9</v>
      </c>
      <c r="H23" s="163">
        <v>9210</v>
      </c>
      <c r="I23" s="164">
        <f t="shared" si="0"/>
        <v>39.226865653929153</v>
      </c>
    </row>
    <row r="24" spans="2:9">
      <c r="B24" s="165"/>
      <c r="C24" s="167" t="s">
        <v>99</v>
      </c>
      <c r="D24" s="162">
        <v>6352.3982489999999</v>
      </c>
      <c r="E24" s="163">
        <v>18538.071</v>
      </c>
      <c r="F24" s="163">
        <v>13008.6</v>
      </c>
      <c r="G24" s="163">
        <v>5403.4</v>
      </c>
      <c r="H24" s="163">
        <v>10035.6</v>
      </c>
      <c r="I24" s="164">
        <f t="shared" si="0"/>
        <v>34.266770523211392</v>
      </c>
    </row>
    <row r="25" spans="2:9">
      <c r="B25" s="165"/>
      <c r="C25" s="167" t="s">
        <v>91</v>
      </c>
      <c r="D25" s="162">
        <v>8201.5317109999996</v>
      </c>
      <c r="E25" s="163">
        <v>18538.071</v>
      </c>
      <c r="F25" s="163">
        <v>13281.7</v>
      </c>
      <c r="G25" s="163">
        <v>5478.9</v>
      </c>
      <c r="H25" s="163">
        <v>10426.700000000001</v>
      </c>
      <c r="I25" s="164">
        <f t="shared" si="0"/>
        <v>44.241559496670391</v>
      </c>
    </row>
    <row r="26" spans="2:9">
      <c r="B26" s="165"/>
      <c r="C26" s="167" t="s">
        <v>92</v>
      </c>
      <c r="D26" s="162">
        <v>8171.2895820000003</v>
      </c>
      <c r="E26" s="163">
        <v>18538.071</v>
      </c>
      <c r="F26" s="163">
        <v>13801.4</v>
      </c>
      <c r="G26" s="163">
        <v>5631.6</v>
      </c>
      <c r="H26" s="163">
        <v>10863.8</v>
      </c>
      <c r="I26" s="164">
        <f t="shared" si="0"/>
        <v>44.078424243816954</v>
      </c>
    </row>
    <row r="27" spans="2:9">
      <c r="B27" s="165"/>
      <c r="C27" s="167" t="s">
        <v>93</v>
      </c>
      <c r="D27" s="162">
        <v>8002.4783509999997</v>
      </c>
      <c r="E27" s="163">
        <v>18538.071</v>
      </c>
      <c r="F27" s="163">
        <v>13963.7</v>
      </c>
      <c r="G27" s="163">
        <v>6949.4</v>
      </c>
      <c r="H27" s="163">
        <v>11392.9</v>
      </c>
      <c r="I27" s="164">
        <f t="shared" si="0"/>
        <v>43.167805059113221</v>
      </c>
    </row>
    <row r="28" spans="2:9">
      <c r="B28" s="165"/>
      <c r="C28" s="167" t="s">
        <v>92</v>
      </c>
      <c r="D28" s="162">
        <v>8068.3502509999998</v>
      </c>
      <c r="E28" s="163">
        <v>18538.071</v>
      </c>
      <c r="F28" s="163">
        <v>14131.5</v>
      </c>
      <c r="G28" s="163">
        <v>6888.8</v>
      </c>
      <c r="H28" s="163">
        <v>11608.8</v>
      </c>
      <c r="I28" s="164">
        <f t="shared" si="0"/>
        <v>43.523138146358377</v>
      </c>
    </row>
    <row r="29" spans="2:9">
      <c r="B29" s="165">
        <v>2017</v>
      </c>
      <c r="C29" s="167" t="s">
        <v>94</v>
      </c>
      <c r="D29" s="162">
        <v>7504.6737370000001</v>
      </c>
      <c r="E29" s="163">
        <v>18538.071</v>
      </c>
      <c r="F29" s="163">
        <v>13746.7</v>
      </c>
      <c r="G29" s="163">
        <v>6417.2</v>
      </c>
      <c r="H29" s="163">
        <v>11080.9</v>
      </c>
      <c r="I29" s="164">
        <f t="shared" si="0"/>
        <v>40.482495384767923</v>
      </c>
    </row>
    <row r="30" spans="2:9">
      <c r="B30" s="165"/>
      <c r="C30" s="167" t="s">
        <v>94</v>
      </c>
      <c r="D30" s="162">
        <v>6868.7604899999997</v>
      </c>
      <c r="E30" s="163">
        <v>18538.071</v>
      </c>
      <c r="F30" s="163">
        <v>12256.4</v>
      </c>
      <c r="G30" s="163">
        <v>5554.7</v>
      </c>
      <c r="H30" s="163">
        <v>9976.6</v>
      </c>
      <c r="I30" s="164">
        <f t="shared" si="0"/>
        <v>37.05218568857569</v>
      </c>
    </row>
    <row r="31" spans="2:9">
      <c r="B31" s="165"/>
      <c r="C31" s="167" t="s">
        <v>93</v>
      </c>
      <c r="D31" s="162">
        <v>6036.3040380000002</v>
      </c>
      <c r="E31" s="163">
        <v>18538.071</v>
      </c>
      <c r="F31" s="163">
        <v>10936.1</v>
      </c>
      <c r="G31" s="163">
        <v>4856.8999999999996</v>
      </c>
      <c r="H31" s="163">
        <v>8897.1</v>
      </c>
      <c r="I31" s="164">
        <f t="shared" si="0"/>
        <v>32.561662095263308</v>
      </c>
    </row>
    <row r="32" spans="2:9">
      <c r="B32" s="165"/>
      <c r="C32" s="168" t="s">
        <v>95</v>
      </c>
      <c r="D32" s="162">
        <v>5135.5098319999997</v>
      </c>
      <c r="E32" s="163">
        <v>18538.071</v>
      </c>
      <c r="F32" s="163">
        <v>10089.799999999999</v>
      </c>
      <c r="G32" s="163">
        <v>4619.6000000000004</v>
      </c>
      <c r="H32" s="163">
        <v>8164.3</v>
      </c>
      <c r="I32" s="164">
        <f t="shared" si="0"/>
        <v>27.702503847352833</v>
      </c>
    </row>
    <row r="33" spans="2:9">
      <c r="B33" s="165"/>
      <c r="C33" s="167" t="s">
        <v>96</v>
      </c>
      <c r="D33" s="162">
        <v>4708.038114</v>
      </c>
      <c r="E33" s="163">
        <v>18538.071</v>
      </c>
      <c r="F33" s="163">
        <v>9703.2000000000007</v>
      </c>
      <c r="G33" s="163">
        <v>4371.6000000000004</v>
      </c>
      <c r="H33" s="163">
        <v>8040.8</v>
      </c>
      <c r="I33" s="164">
        <f t="shared" si="0"/>
        <v>25.396591231094106</v>
      </c>
    </row>
    <row r="34" spans="2:9">
      <c r="B34" s="165"/>
      <c r="C34" s="167" t="s">
        <v>97</v>
      </c>
      <c r="D34" s="162">
        <v>4403.8701209999999</v>
      </c>
      <c r="E34" s="163">
        <v>18538.071</v>
      </c>
      <c r="F34" s="163">
        <v>11121.6</v>
      </c>
      <c r="G34" s="163">
        <v>4788.3</v>
      </c>
      <c r="H34" s="163">
        <v>8517.9</v>
      </c>
      <c r="I34" s="164">
        <f t="shared" si="0"/>
        <v>23.755816454689381</v>
      </c>
    </row>
    <row r="35" spans="2:9">
      <c r="B35" s="165"/>
      <c r="C35" s="167" t="s">
        <v>98</v>
      </c>
      <c r="D35" s="162">
        <v>4883.4119860000001</v>
      </c>
      <c r="E35" s="163">
        <v>18538.071</v>
      </c>
      <c r="F35" s="163">
        <v>13517</v>
      </c>
      <c r="G35" s="163">
        <v>5336.3</v>
      </c>
      <c r="H35" s="163">
        <v>9077</v>
      </c>
      <c r="I35" s="164">
        <f t="shared" si="0"/>
        <v>26.342611299740948</v>
      </c>
    </row>
    <row r="36" spans="2:9">
      <c r="B36" s="165"/>
      <c r="C36" s="167" t="s">
        <v>99</v>
      </c>
      <c r="D36" s="162">
        <v>5398.2220399999997</v>
      </c>
      <c r="E36" s="163">
        <v>18538.071</v>
      </c>
      <c r="F36" s="163">
        <v>13015.3</v>
      </c>
      <c r="G36" s="163">
        <v>5440.7</v>
      </c>
      <c r="H36" s="163">
        <v>9768.7999999999993</v>
      </c>
      <c r="I36" s="164">
        <f t="shared" si="0"/>
        <v>29.11965349577094</v>
      </c>
    </row>
    <row r="37" spans="2:9">
      <c r="B37" s="165"/>
      <c r="C37" s="167" t="s">
        <v>91</v>
      </c>
      <c r="D37" s="162">
        <v>5616.4103269999996</v>
      </c>
      <c r="E37" s="163">
        <v>18538.071</v>
      </c>
      <c r="F37" s="163">
        <v>13247.7</v>
      </c>
      <c r="G37" s="163">
        <v>5524.0950000000003</v>
      </c>
      <c r="H37" s="163">
        <v>10246.200000000001</v>
      </c>
      <c r="I37" s="164">
        <f t="shared" si="0"/>
        <v>30.296627556340678</v>
      </c>
    </row>
    <row r="38" spans="2:9">
      <c r="B38" s="165"/>
      <c r="C38" s="167" t="s">
        <v>92</v>
      </c>
      <c r="D38" s="162">
        <v>9699.4711430000007</v>
      </c>
      <c r="E38" s="163">
        <v>18538.071</v>
      </c>
      <c r="F38" s="163">
        <v>13746</v>
      </c>
      <c r="G38" s="163">
        <v>5695.4</v>
      </c>
      <c r="H38" s="163">
        <v>10704.1</v>
      </c>
      <c r="I38" s="164">
        <f t="shared" si="0"/>
        <v>52.321900930253207</v>
      </c>
    </row>
    <row r="39" spans="2:9">
      <c r="B39" s="158"/>
      <c r="C39" s="167" t="s">
        <v>93</v>
      </c>
      <c r="D39" s="162">
        <v>11897.527652999999</v>
      </c>
      <c r="E39" s="163">
        <v>18538.071</v>
      </c>
      <c r="F39" s="163">
        <v>13908.5</v>
      </c>
      <c r="G39" s="163">
        <v>7002.3</v>
      </c>
      <c r="H39" s="163">
        <v>11260.6</v>
      </c>
      <c r="I39" s="164">
        <f t="shared" si="0"/>
        <v>64.178887075143905</v>
      </c>
    </row>
    <row r="40" spans="2:9">
      <c r="B40" s="158"/>
      <c r="C40" s="167" t="s">
        <v>92</v>
      </c>
      <c r="D40" s="162">
        <v>12095.723247</v>
      </c>
      <c r="E40" s="163">
        <v>18538.071</v>
      </c>
      <c r="F40" s="163">
        <v>14103.7</v>
      </c>
      <c r="G40" s="163">
        <v>6966.1</v>
      </c>
      <c r="H40" s="163">
        <v>11479.8</v>
      </c>
      <c r="I40" s="164">
        <f t="shared" si="0"/>
        <v>65.248014461698844</v>
      </c>
    </row>
    <row r="41" spans="2:9">
      <c r="B41" s="158">
        <v>2018</v>
      </c>
      <c r="C41" s="167" t="s">
        <v>94</v>
      </c>
      <c r="D41" s="162">
        <v>11876.304858</v>
      </c>
      <c r="E41" s="163">
        <v>18538.071</v>
      </c>
      <c r="F41" s="163">
        <v>13746.7</v>
      </c>
      <c r="G41" s="163">
        <v>6477.8</v>
      </c>
      <c r="H41" s="163">
        <v>10910.4</v>
      </c>
      <c r="I41" s="164">
        <f t="shared" si="0"/>
        <v>64.064404856362884</v>
      </c>
    </row>
    <row r="42" spans="2:9">
      <c r="B42" s="158"/>
      <c r="C42" s="167" t="s">
        <v>94</v>
      </c>
      <c r="D42" s="162">
        <v>10246.502908</v>
      </c>
      <c r="E42" s="163">
        <v>18538.071</v>
      </c>
      <c r="F42" s="163">
        <v>12258.4</v>
      </c>
      <c r="G42" s="163">
        <v>5616.1</v>
      </c>
      <c r="H42" s="163">
        <v>9805.5</v>
      </c>
      <c r="I42" s="164">
        <f t="shared" si="0"/>
        <v>55.272756847246953</v>
      </c>
    </row>
    <row r="43" spans="2:9">
      <c r="B43" s="165"/>
      <c r="C43" s="167" t="s">
        <v>93</v>
      </c>
      <c r="D43" s="162">
        <v>9315.071518714738</v>
      </c>
      <c r="E43" s="163">
        <v>18538.071</v>
      </c>
      <c r="F43" s="163">
        <v>10935.4</v>
      </c>
      <c r="G43" s="163">
        <v>4910</v>
      </c>
      <c r="H43" s="163">
        <v>8722.1</v>
      </c>
      <c r="I43" s="164">
        <f t="shared" si="0"/>
        <v>50.24833230337039</v>
      </c>
    </row>
    <row r="44" spans="2:9">
      <c r="B44" s="165"/>
      <c r="C44" s="168" t="s">
        <v>95</v>
      </c>
      <c r="D44" s="162">
        <v>8192.9385726801847</v>
      </c>
      <c r="E44" s="163">
        <v>18538.071</v>
      </c>
      <c r="F44" s="163">
        <v>10117.5</v>
      </c>
      <c r="G44" s="163">
        <v>4649.6000000000004</v>
      </c>
      <c r="H44" s="163">
        <v>7980</v>
      </c>
      <c r="I44" s="164">
        <f t="shared" si="0"/>
        <v>44.195205491877687</v>
      </c>
    </row>
    <row r="45" spans="2:9">
      <c r="B45" s="165"/>
      <c r="C45" s="168" t="s">
        <v>96</v>
      </c>
      <c r="D45" s="162">
        <v>7628.6385403221575</v>
      </c>
      <c r="E45" s="163">
        <v>18538.071</v>
      </c>
      <c r="F45" s="163">
        <v>9737.2663309</v>
      </c>
      <c r="G45" s="163">
        <v>4395.4606318624037</v>
      </c>
      <c r="H45" s="163">
        <v>7851.3065504312008</v>
      </c>
      <c r="I45" s="269">
        <f t="shared" si="0"/>
        <v>41.151199282396519</v>
      </c>
    </row>
    <row r="46" spans="2:9">
      <c r="B46" s="165"/>
      <c r="C46" s="168" t="s">
        <v>97</v>
      </c>
      <c r="D46" s="162">
        <v>8008.98</v>
      </c>
      <c r="E46" s="163">
        <v>18538.071</v>
      </c>
      <c r="F46" s="163">
        <v>11146.955049999997</v>
      </c>
      <c r="G46" s="163">
        <v>4794.2765906499999</v>
      </c>
      <c r="H46" s="163">
        <v>8185.911173848619</v>
      </c>
      <c r="I46" s="269">
        <f t="shared" si="0"/>
        <v>43.20287693363565</v>
      </c>
    </row>
    <row r="47" spans="2:9">
      <c r="B47" s="165"/>
      <c r="C47" s="168" t="s">
        <v>98</v>
      </c>
      <c r="D47" s="162">
        <v>8172.2198288975142</v>
      </c>
      <c r="E47" s="163">
        <v>18538.071</v>
      </c>
      <c r="F47" s="163">
        <v>13456.058434449991</v>
      </c>
      <c r="G47" s="163">
        <v>5331.3250531999984</v>
      </c>
      <c r="H47" s="163">
        <v>8645.3592049681756</v>
      </c>
      <c r="I47" s="269">
        <f t="shared" si="0"/>
        <v>44.083442278851528</v>
      </c>
    </row>
    <row r="48" spans="2:9">
      <c r="B48" s="165"/>
      <c r="C48" s="168" t="s">
        <v>99</v>
      </c>
      <c r="D48" s="162">
        <v>8071.161100088786</v>
      </c>
      <c r="E48" s="163">
        <v>18538.071</v>
      </c>
      <c r="F48" s="163">
        <v>13020.290870750003</v>
      </c>
      <c r="G48" s="163">
        <v>5449.8113076999989</v>
      </c>
      <c r="H48" s="163">
        <v>9388.9296029958969</v>
      </c>
      <c r="I48" s="269">
        <f t="shared" si="0"/>
        <v>43.538300722274641</v>
      </c>
    </row>
    <row r="49" spans="2:9">
      <c r="B49" s="165"/>
      <c r="C49" s="168" t="s">
        <v>91</v>
      </c>
      <c r="D49" s="162">
        <v>8866.4553178436945</v>
      </c>
      <c r="E49" s="163">
        <v>18538.071</v>
      </c>
      <c r="F49" s="163">
        <v>13213.723010049996</v>
      </c>
      <c r="G49" s="163">
        <v>5542.2838559499978</v>
      </c>
      <c r="H49" s="163">
        <v>9889.1240943879329</v>
      </c>
      <c r="I49" s="269">
        <f t="shared" si="0"/>
        <v>47.828359907801058</v>
      </c>
    </row>
    <row r="50" spans="2:9">
      <c r="B50" s="165"/>
      <c r="C50" s="168" t="s">
        <v>92</v>
      </c>
      <c r="D50" s="162">
        <v>8992.1477604144093</v>
      </c>
      <c r="E50" s="163">
        <v>18538.071</v>
      </c>
      <c r="F50" s="163">
        <v>13690.625142599998</v>
      </c>
      <c r="G50" s="163">
        <v>5759.1679040999989</v>
      </c>
      <c r="H50" s="163">
        <v>10570.14772097053</v>
      </c>
      <c r="I50" s="269">
        <f t="shared" si="0"/>
        <v>48.506383217619621</v>
      </c>
    </row>
    <row r="51" spans="2:9">
      <c r="B51" s="165"/>
      <c r="C51" s="168" t="s">
        <v>93</v>
      </c>
      <c r="D51" s="162">
        <v>9541.0680132165635</v>
      </c>
      <c r="E51" s="163">
        <v>18538.071</v>
      </c>
      <c r="F51" s="163">
        <v>13853.30312085</v>
      </c>
      <c r="G51" s="163">
        <v>7055.2102049999985</v>
      </c>
      <c r="H51" s="163">
        <v>11183.148309133439</v>
      </c>
      <c r="I51" s="269">
        <f t="shared" si="0"/>
        <v>51.467426212881392</v>
      </c>
    </row>
    <row r="52" spans="2:9">
      <c r="B52" s="165"/>
      <c r="C52" s="168" t="s">
        <v>92</v>
      </c>
      <c r="D52" s="162">
        <v>9882.0064054258182</v>
      </c>
      <c r="E52" s="163">
        <v>18538.071</v>
      </c>
      <c r="F52" s="163">
        <v>14075.916087449999</v>
      </c>
      <c r="G52" s="163">
        <v>7043.3783189999976</v>
      </c>
      <c r="H52" s="163">
        <v>11397.034267874862</v>
      </c>
      <c r="I52" s="269">
        <f t="shared" si="0"/>
        <v>53.306551719571139</v>
      </c>
    </row>
    <row r="53" spans="2:9">
      <c r="B53" s="165"/>
      <c r="C53" s="168" t="s">
        <v>94</v>
      </c>
      <c r="D53" s="162">
        <v>9327.5746473861582</v>
      </c>
      <c r="E53" s="163">
        <v>18538.071</v>
      </c>
      <c r="F53" s="163">
        <v>13746.724281450002</v>
      </c>
      <c r="G53" s="163">
        <v>6538.4545967989416</v>
      </c>
      <c r="H53" s="163">
        <v>10842.690741399472</v>
      </c>
      <c r="I53" s="269">
        <f t="shared" ref="I53" si="1">D53/E53*100</f>
        <v>50.31577798675039</v>
      </c>
    </row>
    <row r="54" spans="2:9">
      <c r="B54" s="165"/>
      <c r="C54" s="167"/>
      <c r="D54" s="162"/>
      <c r="E54" s="163"/>
      <c r="F54" s="163"/>
      <c r="G54" s="163"/>
      <c r="H54" s="163"/>
      <c r="I54" s="164"/>
    </row>
    <row r="55" spans="2:9">
      <c r="B55" s="165"/>
      <c r="C55" s="167"/>
      <c r="D55" s="162"/>
      <c r="E55" s="163"/>
      <c r="F55" s="163"/>
      <c r="G55" s="163"/>
      <c r="H55" s="163"/>
      <c r="I55" s="164"/>
    </row>
    <row r="56" spans="2:9">
      <c r="B56" s="165"/>
      <c r="C56" s="167"/>
      <c r="D56" s="162"/>
      <c r="E56" s="163"/>
      <c r="F56" s="163"/>
      <c r="G56" s="163"/>
      <c r="H56" s="163"/>
      <c r="I56" s="164"/>
    </row>
    <row r="57" spans="2:9">
      <c r="B57" s="165"/>
      <c r="C57" s="167"/>
      <c r="D57" s="162"/>
      <c r="E57" s="163"/>
      <c r="F57" s="163"/>
      <c r="G57" s="163"/>
      <c r="H57" s="163"/>
      <c r="I57" s="164"/>
    </row>
    <row r="58" spans="2:9">
      <c r="B58" s="165"/>
      <c r="C58" s="167"/>
      <c r="D58" s="162"/>
      <c r="E58" s="163"/>
      <c r="F58" s="163"/>
      <c r="G58" s="163"/>
      <c r="H58" s="163"/>
      <c r="I58" s="164"/>
    </row>
    <row r="59" spans="2:9">
      <c r="B59" s="165"/>
      <c r="C59" s="168"/>
      <c r="D59" s="162"/>
      <c r="E59" s="163"/>
      <c r="F59" s="163"/>
      <c r="G59" s="163"/>
      <c r="H59" s="163"/>
      <c r="I59" s="164"/>
    </row>
    <row r="60" spans="2:9">
      <c r="B60" s="165"/>
      <c r="C60" s="167"/>
      <c r="D60" s="162"/>
      <c r="E60" s="163"/>
      <c r="F60" s="163"/>
      <c r="G60" s="163"/>
      <c r="H60" s="163"/>
      <c r="I60" s="164"/>
    </row>
    <row r="61" spans="2:9">
      <c r="B61" s="165"/>
      <c r="C61" s="167"/>
      <c r="D61" s="163"/>
      <c r="E61" s="163"/>
      <c r="F61" s="163"/>
      <c r="G61" s="163"/>
      <c r="H61" s="163"/>
      <c r="I61" s="164"/>
    </row>
    <row r="62" spans="2:9">
      <c r="B62" s="165"/>
      <c r="C62" s="167"/>
      <c r="D62" s="163"/>
      <c r="E62" s="163"/>
      <c r="F62" s="163"/>
      <c r="G62" s="163"/>
      <c r="H62" s="163"/>
      <c r="I62" s="164"/>
    </row>
    <row r="63" spans="2:9">
      <c r="B63" s="165"/>
      <c r="C63" s="167"/>
      <c r="D63" s="163"/>
      <c r="E63" s="163"/>
      <c r="F63" s="163"/>
      <c r="G63" s="163"/>
      <c r="H63" s="163"/>
      <c r="I63" s="164"/>
    </row>
    <row r="64" spans="2:9">
      <c r="B64" s="165"/>
      <c r="C64" s="167"/>
      <c r="D64" s="163"/>
      <c r="E64" s="163"/>
      <c r="F64" s="163"/>
      <c r="G64" s="163"/>
      <c r="H64" s="163"/>
      <c r="I64" s="164"/>
    </row>
    <row r="65" spans="2:11">
      <c r="B65" s="165"/>
      <c r="C65" s="169"/>
      <c r="D65" s="170"/>
      <c r="E65" s="170"/>
      <c r="F65" s="170"/>
      <c r="G65" s="170"/>
      <c r="H65" s="170"/>
      <c r="I65" s="164"/>
    </row>
    <row r="67" spans="2:11">
      <c r="B67" s="281" t="s">
        <v>620</v>
      </c>
      <c r="C67" s="282"/>
      <c r="D67" s="282"/>
      <c r="E67" s="282"/>
      <c r="F67" s="282"/>
      <c r="G67" s="121"/>
      <c r="H67" s="121"/>
      <c r="I67" s="122"/>
      <c r="J67" s="122"/>
    </row>
    <row r="68" spans="2:11">
      <c r="B68" s="123"/>
      <c r="C68" s="317" t="s">
        <v>53</v>
      </c>
      <c r="D68" s="317" t="s">
        <v>53</v>
      </c>
      <c r="E68" s="123"/>
      <c r="F68" s="317" t="s">
        <v>42</v>
      </c>
      <c r="G68" s="317"/>
      <c r="H68" s="317" t="s">
        <v>43</v>
      </c>
      <c r="I68" s="317"/>
      <c r="J68" s="317" t="s">
        <v>44</v>
      </c>
      <c r="K68" s="317"/>
    </row>
    <row r="69" spans="2:11">
      <c r="B69" s="124"/>
      <c r="C69" s="125" t="s">
        <v>42</v>
      </c>
      <c r="D69" s="125" t="s">
        <v>43</v>
      </c>
      <c r="E69" s="125" t="s">
        <v>82</v>
      </c>
      <c r="F69" s="126" t="s">
        <v>40</v>
      </c>
      <c r="G69" s="125" t="s">
        <v>45</v>
      </c>
      <c r="H69" s="126" t="s">
        <v>40</v>
      </c>
      <c r="I69" s="125" t="s">
        <v>45</v>
      </c>
      <c r="J69" s="126" t="s">
        <v>40</v>
      </c>
      <c r="K69" s="125" t="s">
        <v>45</v>
      </c>
    </row>
    <row r="70" spans="2:11">
      <c r="B70" s="127" t="s">
        <v>46</v>
      </c>
      <c r="C70" s="128">
        <v>2546.8180000000002</v>
      </c>
      <c r="D70" s="128">
        <v>909.476</v>
      </c>
      <c r="E70" s="287">
        <v>5205.2719067636108</v>
      </c>
      <c r="F70" s="288">
        <f>G70/C70</f>
        <v>0.73146032007913531</v>
      </c>
      <c r="G70" s="128">
        <v>1862.8963094633034</v>
      </c>
      <c r="H70" s="288">
        <f t="shared" ref="H70:H76" si="2">I70/D70</f>
        <v>0.55054254305985117</v>
      </c>
      <c r="I70" s="287">
        <v>500.70522989190124</v>
      </c>
      <c r="J70" s="154">
        <f>K70/SUM(C70:D70)</f>
        <v>0.68385430734630925</v>
      </c>
      <c r="K70" s="128">
        <f t="shared" ref="K70:K75" si="3">SUM(G70,I70)</f>
        <v>2363.6015393552047</v>
      </c>
    </row>
    <row r="71" spans="2:11">
      <c r="B71" s="127" t="s">
        <v>47</v>
      </c>
      <c r="C71" s="128">
        <v>1681</v>
      </c>
      <c r="D71" s="128">
        <v>3120.6</v>
      </c>
      <c r="E71" s="287">
        <v>3968.2132952293318</v>
      </c>
      <c r="F71" s="288">
        <f>G71/C71</f>
        <v>0.67393219934907633</v>
      </c>
      <c r="G71" s="128">
        <v>1132.8800271057974</v>
      </c>
      <c r="H71" s="288">
        <f t="shared" si="2"/>
        <v>0.41141480102186401</v>
      </c>
      <c r="I71" s="287">
        <v>1283.8610280688288</v>
      </c>
      <c r="J71" s="154">
        <f t="shared" ref="J71:J76" si="4">K71/SUM(C71:D71)</f>
        <v>0.50331994651254286</v>
      </c>
      <c r="K71" s="128">
        <f t="shared" si="3"/>
        <v>2416.7410551746261</v>
      </c>
    </row>
    <row r="72" spans="2:11">
      <c r="B72" s="127" t="s">
        <v>48</v>
      </c>
      <c r="C72" s="128">
        <v>2424.9229999999998</v>
      </c>
      <c r="D72" s="128">
        <v>3791.8719999999998</v>
      </c>
      <c r="E72" s="287">
        <v>3618.5651686053225</v>
      </c>
      <c r="F72" s="288">
        <f>G72/C72</f>
        <v>0.475455270995358</v>
      </c>
      <c r="G72" s="128">
        <v>1152.9424221078764</v>
      </c>
      <c r="H72" s="288">
        <f t="shared" si="2"/>
        <v>0.26322091291511962</v>
      </c>
      <c r="I72" s="287">
        <v>998.10000949728033</v>
      </c>
      <c r="J72" s="154">
        <f t="shared" si="4"/>
        <v>0.34600504465808452</v>
      </c>
      <c r="K72" s="128">
        <f t="shared" si="3"/>
        <v>2151.0424316051567</v>
      </c>
    </row>
    <row r="73" spans="2:11">
      <c r="B73" s="127" t="s">
        <v>49</v>
      </c>
      <c r="C73" s="128"/>
      <c r="D73" s="128">
        <v>835.14400000000001</v>
      </c>
      <c r="E73" s="287">
        <v>241.15919611927043</v>
      </c>
      <c r="F73" s="288" t="s">
        <v>18</v>
      </c>
      <c r="G73" s="128"/>
      <c r="H73" s="288">
        <f t="shared" si="2"/>
        <v>0.35119654199678624</v>
      </c>
      <c r="I73" s="287">
        <v>293.29968486936406</v>
      </c>
      <c r="J73" s="154">
        <f t="shared" si="4"/>
        <v>0.35119654199678624</v>
      </c>
      <c r="K73" s="128">
        <f t="shared" si="3"/>
        <v>293.29968486936406</v>
      </c>
    </row>
    <row r="74" spans="2:11">
      <c r="B74" s="127" t="s">
        <v>50</v>
      </c>
      <c r="C74" s="128">
        <v>180.3</v>
      </c>
      <c r="D74" s="128">
        <v>669.1</v>
      </c>
      <c r="E74" s="287">
        <v>569.24482711132248</v>
      </c>
      <c r="F74" s="288">
        <f>G74/C74</f>
        <v>0.8203062561802229</v>
      </c>
      <c r="G74" s="128">
        <v>147.9012179892942</v>
      </c>
      <c r="H74" s="288">
        <f t="shared" si="2"/>
        <v>0.46550365085719453</v>
      </c>
      <c r="I74" s="287">
        <v>311.46849278854887</v>
      </c>
      <c r="J74" s="154">
        <f t="shared" si="4"/>
        <v>0.54081670682580996</v>
      </c>
      <c r="K74" s="128">
        <f t="shared" si="3"/>
        <v>459.36971077784307</v>
      </c>
    </row>
    <row r="75" spans="2:11">
      <c r="B75" s="127" t="s">
        <v>51</v>
      </c>
      <c r="C75" s="128">
        <v>2133.8380000000002</v>
      </c>
      <c r="D75" s="128">
        <v>245</v>
      </c>
      <c r="E75" s="287">
        <v>3446.0482361711402</v>
      </c>
      <c r="F75" s="288">
        <f>G75/C75</f>
        <v>0.71950055818847136</v>
      </c>
      <c r="G75" s="128">
        <v>1535.2976320837715</v>
      </c>
      <c r="H75" s="288">
        <f t="shared" si="2"/>
        <v>0.44172487151100737</v>
      </c>
      <c r="I75" s="287">
        <v>108.22259352019681</v>
      </c>
      <c r="J75" s="154">
        <f t="shared" si="4"/>
        <v>0.69089203451599823</v>
      </c>
      <c r="K75" s="128">
        <f t="shared" si="3"/>
        <v>1643.5202256039684</v>
      </c>
    </row>
    <row r="76" spans="2:11">
      <c r="B76" s="124" t="s">
        <v>52</v>
      </c>
      <c r="C76" s="129">
        <f>SUM(C70:C75)</f>
        <v>8966.8790000000008</v>
      </c>
      <c r="D76" s="129">
        <f>SUM(D70:D75)</f>
        <v>9571.1920000000009</v>
      </c>
      <c r="E76" s="289">
        <v>17048.502629999995</v>
      </c>
      <c r="F76" s="290">
        <f>G76/C76</f>
        <v>0.65038433202344337</v>
      </c>
      <c r="G76" s="289">
        <f>SUM(G70:G75)</f>
        <v>5831.9176087500427</v>
      </c>
      <c r="H76" s="290">
        <f t="shared" si="2"/>
        <v>0.36522692666034906</v>
      </c>
      <c r="I76" s="289">
        <f>SUM(I70:I75)</f>
        <v>3495.65703863612</v>
      </c>
      <c r="J76" s="155">
        <f t="shared" si="4"/>
        <v>0.5031577798675041</v>
      </c>
      <c r="K76" s="129">
        <f>SUM(K70:K75)</f>
        <v>9327.5746473861636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49"/>
  <sheetViews>
    <sheetView showGridLines="0" showRowColHeaders="0" showOutlineSymbols="0" zoomScaleNormal="100" workbookViewId="0">
      <selection activeCell="G23" sqref="G23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Junio 2019</v>
      </c>
    </row>
    <row r="4" spans="1:19" s="7" customFormat="1" ht="20.25" customHeight="1">
      <c r="B4" s="8"/>
      <c r="C4" s="102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5" t="s">
        <v>64</v>
      </c>
      <c r="D7" s="12"/>
      <c r="E7" s="13"/>
      <c r="F7" s="296" t="str">
        <f>K3</f>
        <v>Junio 2019</v>
      </c>
      <c r="G7" s="297"/>
      <c r="H7" s="298" t="s">
        <v>65</v>
      </c>
      <c r="I7" s="298"/>
      <c r="J7" s="298" t="s">
        <v>73</v>
      </c>
      <c r="K7" s="298"/>
      <c r="L7" s="9"/>
    </row>
    <row r="8" spans="1:19" ht="12.75" customHeight="1">
      <c r="A8" s="7"/>
      <c r="B8" s="8"/>
      <c r="C8" s="295"/>
      <c r="D8" s="12"/>
      <c r="E8" s="14"/>
      <c r="F8" s="15" t="s">
        <v>0</v>
      </c>
      <c r="G8" s="25" t="str">
        <f>CONCATENATE("% ",MID(YEAR(F7),3,2),"/",MID(YEAR(F7)-1,3,2))</f>
        <v>% 19/18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1625.6452669099999</v>
      </c>
      <c r="G9" s="92">
        <f>VLOOKUP("Hidráulica",Dat_01!$A$8:$J$29,4,FALSE)*100</f>
        <v>-56.273788789999998</v>
      </c>
      <c r="H9" s="91">
        <f>VLOOKUP("Hidráulica",Dat_01!$A$8:$J$29,5,FALSE)/1000</f>
        <v>12222.391773654001</v>
      </c>
      <c r="I9" s="92">
        <f>VLOOKUP("Hidráulica",Dat_01!$A$8:$J$29,7,FALSE)*100</f>
        <v>-41.643637560000002</v>
      </c>
      <c r="J9" s="91">
        <f>VLOOKUP("Hidráulica",Dat_01!$A$8:$J$29,8,FALSE)/1000</f>
        <v>25390.370331679998</v>
      </c>
      <c r="K9" s="92">
        <f>VLOOKUP("Hidráulica",Dat_01!$A$8:$J$29,10,FALSE)*100</f>
        <v>-6.7338720099999998</v>
      </c>
      <c r="L9" s="19"/>
      <c r="M9" s="192"/>
      <c r="N9" s="192"/>
      <c r="O9" s="193"/>
      <c r="P9" s="192"/>
      <c r="Q9" s="193"/>
      <c r="R9" s="192"/>
      <c r="S9" s="193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3212.2191230000003</v>
      </c>
      <c r="G10" s="92">
        <f>VLOOKUP("Eólica",Dat_01!$A$8:$J$29,4,FALSE)*100</f>
        <v>24.692561730000001</v>
      </c>
      <c r="H10" s="91">
        <f>VLOOKUP("Eólica",Dat_01!$A$8:$J$29,5,FALSE)/1000</f>
        <v>26828.321294000001</v>
      </c>
      <c r="I10" s="92">
        <f>VLOOKUP("Eólica",Dat_01!$A$8:$J$29,7,FALSE)*100</f>
        <v>-3.6918442099999997</v>
      </c>
      <c r="J10" s="91">
        <f>VLOOKUP("Eólica",Dat_01!$A$8:$J$29,8,FALSE)/1000</f>
        <v>47925.962371000001</v>
      </c>
      <c r="K10" s="92">
        <f>VLOOKUP("Eólica",Dat_01!$A$8:$J$29,10,FALSE)*100</f>
        <v>-4.5389804900000001</v>
      </c>
      <c r="L10" s="19"/>
      <c r="M10" s="192"/>
      <c r="N10" s="192"/>
      <c r="O10" s="193"/>
      <c r="P10" s="192"/>
      <c r="Q10" s="193"/>
      <c r="R10" s="192"/>
      <c r="S10" s="193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891.40100300000006</v>
      </c>
      <c r="G11" s="92">
        <f>VLOOKUP("Solar fotovoltaica",Dat_01!$A$8:$J$29,4,FALSE)*100</f>
        <v>14.07452022</v>
      </c>
      <c r="H11" s="91">
        <f>VLOOKUP("Solar fotovoltaica",Dat_01!$A$8:$J$29,5,FALSE)/1000</f>
        <v>4294.0232249999999</v>
      </c>
      <c r="I11" s="92">
        <f>VLOOKUP("Solar fotovoltaica",Dat_01!$A$8:$J$29,7,FALSE)*100</f>
        <v>16.43875474</v>
      </c>
      <c r="J11" s="91">
        <f>VLOOKUP("Solar fotovoltaica",Dat_01!$A$8:$J$29,8,FALSE)/1000</f>
        <v>7984.0458439999993</v>
      </c>
      <c r="K11" s="92">
        <f>VLOOKUP("Solar fotovoltaica",Dat_01!$A$8:$J$29,10,FALSE)*100</f>
        <v>4.1743531799999998</v>
      </c>
      <c r="L11" s="19"/>
      <c r="M11" s="192"/>
      <c r="N11" s="192"/>
      <c r="O11" s="193"/>
      <c r="P11" s="192"/>
      <c r="Q11" s="193"/>
      <c r="R11" s="192"/>
      <c r="S11" s="193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775.05758100000003</v>
      </c>
      <c r="G12" s="92">
        <f>VLOOKUP("Solar térmica",Dat_01!$A$8:$J$29,4,FALSE)*100</f>
        <v>40.58914935</v>
      </c>
      <c r="H12" s="91">
        <f>VLOOKUP("Solar térmica",Dat_01!$A$8:$J$29,5,FALSE)/1000</f>
        <v>2801.3760849999999</v>
      </c>
      <c r="I12" s="92">
        <f>VLOOKUP("Solar térmica",Dat_01!$A$8:$J$29,7,FALSE)*100</f>
        <v>45.104741199999999</v>
      </c>
      <c r="J12" s="91">
        <f>VLOOKUP("Solar térmica",Dat_01!$A$8:$J$29,8,FALSE)/1000</f>
        <v>5295.1138190000001</v>
      </c>
      <c r="K12" s="92">
        <f>VLOOKUP("Solar térmica",Dat_01!$A$8:$J$29,10,FALSE)*100</f>
        <v>10.437089909999999</v>
      </c>
      <c r="L12" s="19"/>
      <c r="M12" s="192"/>
      <c r="N12" s="192"/>
      <c r="O12" s="193"/>
      <c r="P12" s="192"/>
      <c r="Q12" s="193"/>
      <c r="R12" s="192"/>
      <c r="S12" s="193"/>
    </row>
    <row r="13" spans="1:19">
      <c r="A13" s="7"/>
      <c r="B13" s="8"/>
      <c r="C13" s="20"/>
      <c r="D13" s="12"/>
      <c r="E13" s="90" t="s">
        <v>594</v>
      </c>
      <c r="F13" s="91">
        <f>VLOOKUP("Otras renovables",Dat_01!$A$8:$J$29,2,FALSE)/1000</f>
        <v>285.58842200000004</v>
      </c>
      <c r="G13" s="92">
        <f>VLOOKUP("Otras renovables",Dat_01!$A$8:$J$29,4,FALSE)*100</f>
        <v>-6.1058686</v>
      </c>
      <c r="H13" s="91">
        <f>VLOOKUP("Otras renovables",Dat_01!$A$8:$J$29,5,FALSE)/1000</f>
        <v>1739.024731</v>
      </c>
      <c r="I13" s="92">
        <f>VLOOKUP("Otras renovables",Dat_01!$A$8:$J$29,7,FALSE)*100</f>
        <v>2.36088269</v>
      </c>
      <c r="J13" s="91">
        <f>VLOOKUP("Otras renovables",Dat_01!$A$8:$J$29,8,FALSE)/1000</f>
        <v>3586.879449</v>
      </c>
      <c r="K13" s="92">
        <f>VLOOKUP("Otras renovables",Dat_01!$A$8:$J$29,10,FALSE)*100</f>
        <v>0.10871348</v>
      </c>
      <c r="L13" s="19"/>
      <c r="M13" s="192"/>
      <c r="N13" s="192"/>
      <c r="O13" s="193"/>
      <c r="P13" s="192"/>
      <c r="Q13" s="193"/>
      <c r="R13" s="192"/>
      <c r="S13" s="193"/>
    </row>
    <row r="14" spans="1:19" ht="12.75" customHeight="1">
      <c r="A14" s="7"/>
      <c r="B14" s="8"/>
      <c r="C14" s="11"/>
      <c r="D14" s="12"/>
      <c r="E14" s="90" t="s">
        <v>84</v>
      </c>
      <c r="F14" s="91">
        <f>VLOOKUP("Residuos renovables",Dat_01!$A$8:$J$29,2,FALSE)/1000</f>
        <v>62.621202500000003</v>
      </c>
      <c r="G14" s="92">
        <f>VLOOKUP("Residuos renovables",Dat_01!$A$8:$J$29,4,FALSE)*100</f>
        <v>23.254504579999999</v>
      </c>
      <c r="H14" s="91">
        <f>VLOOKUP("Residuos renovables",Dat_01!$A$8:$J$29,5,FALSE)/1000</f>
        <v>356.00623100000001</v>
      </c>
      <c r="I14" s="92">
        <f>VLOOKUP("Residuos renovables",Dat_01!$A$8:$J$29,7,FALSE)*100</f>
        <v>4.8777143699999996</v>
      </c>
      <c r="J14" s="91">
        <f>VLOOKUP("Residuos renovables",Dat_01!$A$8:$J$29,8,FALSE)/1000</f>
        <v>749.52800849999994</v>
      </c>
      <c r="K14" s="92">
        <f>VLOOKUP("Residuos renovables",Dat_01!$A$8:$J$29,10,FALSE)*100</f>
        <v>1.4070868999999999</v>
      </c>
      <c r="L14" s="19"/>
      <c r="M14" s="192"/>
      <c r="N14" s="192"/>
      <c r="O14" s="193"/>
      <c r="P14" s="192"/>
      <c r="Q14" s="193"/>
      <c r="R14" s="192"/>
      <c r="S14" s="193"/>
    </row>
    <row r="15" spans="1:19" ht="12.75" customHeight="1">
      <c r="A15" s="7"/>
      <c r="B15" s="8"/>
      <c r="C15" s="11"/>
      <c r="D15" s="12"/>
      <c r="E15" s="93" t="s">
        <v>592</v>
      </c>
      <c r="F15" s="94">
        <f>SUM(F9:F14)</f>
        <v>6852.5325984100009</v>
      </c>
      <c r="G15" s="95">
        <f>((SUM(Dat_01!B8,Dat_01!B14:B17,Dat_01!B19)/SUM(Dat_01!C8,Dat_01!C14:C17,Dat_01!C19))-1)*100</f>
        <v>-14.145580616491493</v>
      </c>
      <c r="H15" s="94">
        <f>SUM(H9:H14)</f>
        <v>48241.143339654001</v>
      </c>
      <c r="I15" s="95">
        <f>((SUM(Dat_01!E8,Dat_01!E14:E17,Dat_01!E19)/SUM(Dat_01!F8,Dat_01!F14:F17,Dat_01!F19))-1)*100</f>
        <v>-14.553777952672831</v>
      </c>
      <c r="J15" s="94">
        <f>SUM(J9:J14)</f>
        <v>90931.899823179992</v>
      </c>
      <c r="K15" s="95">
        <f>((SUM(Dat_01!H8,Dat_01!H14:H17,Dat_01!H19)/SUM(Dat_01!I8,Dat_01!I14:I17,Dat_01!I19))-1)*100</f>
        <v>-3.4787835907554854</v>
      </c>
      <c r="L15" s="19"/>
      <c r="M15" s="192"/>
      <c r="N15" s="192"/>
      <c r="O15" s="193"/>
      <c r="P15" s="192"/>
      <c r="Q15" s="193"/>
      <c r="R15" s="192"/>
      <c r="S15" s="193"/>
    </row>
    <row r="16" spans="1:19">
      <c r="A16" s="7"/>
      <c r="B16" s="8"/>
      <c r="C16" s="11"/>
      <c r="D16" s="12"/>
      <c r="E16" s="90" t="s">
        <v>596</v>
      </c>
      <c r="F16" s="91">
        <f>VLOOKUP("Turbinación bombeo",Dat_01!$A$8:$J$29,2,FALSE)/1000</f>
        <v>56.646829089999997</v>
      </c>
      <c r="G16" s="92">
        <f>VLOOKUP("Turbinación bombeo",Dat_01!$A$8:$J$29,4,FALSE)*100</f>
        <v>-3.5352804799999999</v>
      </c>
      <c r="H16" s="91">
        <f>VLOOKUP("Turbinación bombeo",Dat_01!$A$8:$J$29,5,FALSE)/1000</f>
        <v>858.62123734600004</v>
      </c>
      <c r="I16" s="92">
        <f>VLOOKUP("Turbinación bombeo",Dat_01!$A$8:$J$29,7,FALSE)*100</f>
        <v>-37.847355379999996</v>
      </c>
      <c r="J16" s="91">
        <f>VLOOKUP("Turbinación bombeo",Dat_01!$A$8:$J$29,8,FALSE)/1000</f>
        <v>1486.51102732</v>
      </c>
      <c r="K16" s="92">
        <f>VLOOKUP("Turbinación bombeo",Dat_01!$A$8:$J$29,10,FALSE)*100</f>
        <v>-37.448878749999999</v>
      </c>
      <c r="L16" s="19"/>
      <c r="M16" s="192"/>
      <c r="N16" s="192"/>
      <c r="O16" s="193"/>
      <c r="P16" s="192"/>
      <c r="Q16" s="193"/>
      <c r="R16" s="192"/>
      <c r="S16" s="193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4647.8769560000001</v>
      </c>
      <c r="G17" s="92">
        <f>VLOOKUP("Nuclear",Dat_01!$A$8:$J$29,4,FALSE)*100</f>
        <v>29.409960699999999</v>
      </c>
      <c r="H17" s="91">
        <f>VLOOKUP("Nuclear",Dat_01!$A$8:$J$29,5,FALSE)/1000</f>
        <v>28329.357265000002</v>
      </c>
      <c r="I17" s="92">
        <f>VLOOKUP("Nuclear",Dat_01!$A$8:$J$29,7,FALSE)*100</f>
        <v>11.927654690000001</v>
      </c>
      <c r="J17" s="91">
        <f>VLOOKUP("Nuclear",Dat_01!$A$8:$J$29,8,FALSE)/1000</f>
        <v>56216.556690999998</v>
      </c>
      <c r="K17" s="92">
        <f>VLOOKUP("Nuclear",Dat_01!$A$8:$J$29,10,FALSE)*100</f>
        <v>7.2034076899999997</v>
      </c>
      <c r="L17" s="19"/>
      <c r="M17" s="192"/>
      <c r="N17" s="192"/>
      <c r="O17" s="193"/>
      <c r="P17" s="192"/>
      <c r="Q17" s="193"/>
      <c r="R17" s="192"/>
      <c r="S17" s="193"/>
    </row>
    <row r="18" spans="1:19">
      <c r="A18" s="7"/>
      <c r="B18" s="8"/>
      <c r="C18" s="11"/>
      <c r="D18" s="12"/>
      <c r="E18" s="90" t="s">
        <v>598</v>
      </c>
      <c r="F18" s="91">
        <f>VLOOKUP("Ciclo combinado",Dat_01!$A$8:$J$29,2,FALSE)/1000</f>
        <v>5107.4552889999995</v>
      </c>
      <c r="G18" s="92">
        <f>VLOOKUP("Ciclo combinado",Dat_01!$A$8:$J$29,4,FALSE)*100</f>
        <v>134.27332342</v>
      </c>
      <c r="H18" s="91">
        <f>VLOOKUP("Ciclo combinado",Dat_01!$A$8:$J$29,5,FALSE)/1000</f>
        <v>19499.479498000001</v>
      </c>
      <c r="I18" s="92">
        <f>VLOOKUP("Ciclo combinado",Dat_01!$A$8:$J$29,7,FALSE)*100</f>
        <v>80.507106719999996</v>
      </c>
      <c r="J18" s="91">
        <f>VLOOKUP("Ciclo combinado",Dat_01!$A$8:$J$29,8,FALSE)/1000</f>
        <v>35099.792435000003</v>
      </c>
      <c r="K18" s="92">
        <f>VLOOKUP("Ciclo combinado",Dat_01!$A$8:$J$29,10,FALSE)*100</f>
        <v>7.62156769</v>
      </c>
      <c r="L18" s="19"/>
      <c r="M18" s="192"/>
      <c r="N18" s="192"/>
      <c r="O18" s="193"/>
      <c r="P18" s="192"/>
      <c r="Q18" s="193"/>
      <c r="R18" s="192"/>
      <c r="S18" s="193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416.81427100000002</v>
      </c>
      <c r="G19" s="92">
        <f>VLOOKUP("Carbón",Dat_01!$A$8:$J$29,4,FALSE)*100</f>
        <v>-81.667416279999998</v>
      </c>
      <c r="H19" s="91">
        <f>VLOOKUP("Carbón",Dat_01!$A$8:$J$29,5,FALSE)/1000</f>
        <v>7629.3330530000003</v>
      </c>
      <c r="I19" s="92">
        <f>VLOOKUP("Carbón",Dat_01!$A$8:$J$29,7,FALSE)*100</f>
        <v>-44.34382574</v>
      </c>
      <c r="J19" s="91">
        <f>VLOOKUP("Carbón",Dat_01!$A$8:$J$29,8,FALSE)/1000</f>
        <v>28802.444971000001</v>
      </c>
      <c r="K19" s="92">
        <f>VLOOKUP("Carbón",Dat_01!$A$8:$J$29,10,FALSE)*100</f>
        <v>-20.472600809999999</v>
      </c>
      <c r="L19" s="19"/>
      <c r="M19" s="192"/>
      <c r="N19" s="192"/>
      <c r="O19" s="193"/>
      <c r="P19" s="192"/>
      <c r="Q19" s="193"/>
      <c r="R19" s="192"/>
      <c r="S19" s="193"/>
    </row>
    <row r="20" spans="1:19">
      <c r="A20" s="7"/>
      <c r="B20" s="8"/>
      <c r="C20" s="171">
        <f>ABS(F14)</f>
        <v>62.621202500000003</v>
      </c>
      <c r="D20" s="12"/>
      <c r="E20" s="90" t="s">
        <v>9</v>
      </c>
      <c r="F20" s="91">
        <f>VLOOKUP("Cogeneración",Dat_01!$A$8:$J$29,2,FALSE)/1000</f>
        <v>2417.8764569999998</v>
      </c>
      <c r="G20" s="92">
        <f>VLOOKUP("Cogeneración",Dat_01!$A$8:$J$29,4,FALSE)*100</f>
        <v>0.59112482999999993</v>
      </c>
      <c r="H20" s="91">
        <f>VLOOKUP("Cogeneración",Dat_01!$A$8:$J$29,5,FALSE)/1000</f>
        <v>15086.969505999999</v>
      </c>
      <c r="I20" s="92">
        <f>VLOOKUP("Cogeneración",Dat_01!$A$8:$J$29,7,FALSE)*100</f>
        <v>5.9228500300000002</v>
      </c>
      <c r="J20" s="91">
        <f>VLOOKUP("Cogeneración",Dat_01!$A$8:$J$29,8,FALSE)/1000</f>
        <v>29815.208547999999</v>
      </c>
      <c r="K20" s="92">
        <f>VLOOKUP("Cogeneración",Dat_01!$A$8:$J$29,10,FALSE)*100</f>
        <v>4.6300980999999997</v>
      </c>
      <c r="L20" s="19"/>
      <c r="M20" s="192"/>
      <c r="N20" s="192"/>
      <c r="O20" s="193"/>
      <c r="P20" s="192"/>
      <c r="Q20" s="193"/>
      <c r="R20" s="192"/>
      <c r="S20" s="193"/>
    </row>
    <row r="21" spans="1:19">
      <c r="A21" s="7"/>
      <c r="B21" s="8"/>
      <c r="C21" s="11"/>
      <c r="D21" s="12"/>
      <c r="E21" s="90" t="s">
        <v>72</v>
      </c>
      <c r="F21" s="91">
        <f>VLOOKUP("Residuos no renovables",Dat_01!$A$8:$J$29,2,FALSE)/1000</f>
        <v>156.89686950000001</v>
      </c>
      <c r="G21" s="92">
        <f>VLOOKUP("Residuos no renovables",Dat_01!$A$8:$J$29,4,FALSE)*100</f>
        <v>-10.555629939999999</v>
      </c>
      <c r="H21" s="91">
        <f>VLOOKUP("Residuos no renovables",Dat_01!$A$8:$J$29,5,FALSE)/1000</f>
        <v>1065.0448389999999</v>
      </c>
      <c r="I21" s="92">
        <f>VLOOKUP("Residuos no renovables",Dat_01!$A$8:$J$29,7,FALSE)*100</f>
        <v>-5.4342886899999998</v>
      </c>
      <c r="J21" s="91">
        <f>VLOOKUP("Residuos no renovables",Dat_01!$A$8:$J$29,8,FALSE)/1000</f>
        <v>2232.6546115000001</v>
      </c>
      <c r="K21" s="92">
        <f>VLOOKUP("Residuos no renovables",Dat_01!$A$8:$J$29,10,FALSE)*100</f>
        <v>-7.3160834599999998</v>
      </c>
      <c r="L21" s="19"/>
      <c r="M21" s="192"/>
      <c r="N21" s="192"/>
      <c r="O21" s="193"/>
      <c r="P21" s="192"/>
      <c r="Q21" s="193"/>
      <c r="R21" s="192"/>
      <c r="S21" s="193"/>
    </row>
    <row r="22" spans="1:19">
      <c r="A22" s="7"/>
      <c r="B22" s="8"/>
      <c r="C22" s="11"/>
      <c r="D22" s="12"/>
      <c r="E22" s="93" t="s">
        <v>593</v>
      </c>
      <c r="F22" s="94">
        <f>SUM(F16:F21)</f>
        <v>12803.566671589999</v>
      </c>
      <c r="G22" s="95">
        <f>((SUM(Dat_01!B9:B13,Dat_01!B18,Dat_01!B20)/SUM(Dat_01!C9:C13,Dat_01!C18,Dat_01!C20))-1)*100</f>
        <v>19.848270140174741</v>
      </c>
      <c r="H22" s="94">
        <f>SUM(H16:H21)</f>
        <v>72468.805398345998</v>
      </c>
      <c r="I22" s="95">
        <f>((SUM(Dat_01!E9:E13,Dat_01!E18,Dat_01!E20)/SUM(Dat_01!F9:F13,Dat_01!F18,Dat_01!F20))-1)*100</f>
        <v>8.8576587218595737</v>
      </c>
      <c r="J22" s="94">
        <f>SUM(J16:J21)</f>
        <v>153653.16828382001</v>
      </c>
      <c r="K22" s="95">
        <f>((SUM(Dat_01!H9:H13,Dat_01!H18,Dat_01!H20)/SUM(Dat_01!I9:I13,Dat_01!I18,Dat_01!I20))-1)*100</f>
        <v>-0.5812095312634713</v>
      </c>
      <c r="L22" s="19"/>
      <c r="M22" s="192"/>
      <c r="N22" s="192"/>
      <c r="O22" s="193"/>
      <c r="P22" s="192"/>
      <c r="Q22" s="193"/>
      <c r="R22" s="192"/>
      <c r="S22" s="193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-83.620232999999999</v>
      </c>
      <c r="G23" s="92">
        <f>VLOOKUP("Consumo de bombeo",Dat_01!$A$8:$J$29,4,FALSE)*100</f>
        <v>-3.8083770000000003E-2</v>
      </c>
      <c r="H23" s="91">
        <f>VLOOKUP("Consumo de bombeo",Dat_01!$A$8:$J$29,5,FALSE)/1000</f>
        <v>-1403.093579226</v>
      </c>
      <c r="I23" s="92">
        <f>VLOOKUP("Consumo de bombeo",Dat_01!$A$8:$J$29,7,FALSE)*100</f>
        <v>-37.243652359999999</v>
      </c>
      <c r="J23" s="91">
        <f>VLOOKUP("Consumo de bombeo",Dat_01!$A$8:$J$29,8,FALSE)/1000</f>
        <v>-2365.746420514</v>
      </c>
      <c r="K23" s="92">
        <f>VLOOKUP("Consumo de bombeo",Dat_01!$A$8:$J$29,10,FALSE)*100</f>
        <v>-38.180118390000004</v>
      </c>
      <c r="L23" s="19"/>
      <c r="M23" s="192"/>
      <c r="N23" s="192"/>
      <c r="O23" s="193"/>
      <c r="P23" s="192"/>
      <c r="Q23" s="193"/>
      <c r="R23" s="192"/>
      <c r="S23" s="193"/>
    </row>
    <row r="24" spans="1:19">
      <c r="A24" s="7"/>
      <c r="B24" s="8"/>
      <c r="C24" s="11"/>
      <c r="D24" s="12"/>
      <c r="E24" s="96" t="s">
        <v>77</v>
      </c>
      <c r="F24" s="91">
        <f>VLOOKUP("Enlace Península-Baleares",Dat_01!$A$8:$J$29,2,FALSE)/1000</f>
        <v>-159.634671</v>
      </c>
      <c r="G24" s="92">
        <f>VLOOKUP("Enlace Península-Baleares",Dat_01!$A$8:$J$29,4,FALSE)*100</f>
        <v>46.961267679999999</v>
      </c>
      <c r="H24" s="91">
        <f>VLOOKUP("Enlace Península-Baleares",Dat_01!$A$8:$J$29,5,FALSE)/1000</f>
        <v>-806.03069800000003</v>
      </c>
      <c r="I24" s="92">
        <f>VLOOKUP("Enlace Península-Baleares",Dat_01!$A$8:$J$29,7,FALSE)*100</f>
        <v>49.030263080000005</v>
      </c>
      <c r="J24" s="91">
        <f>VLOOKUP("Enlace Península-Baleares",Dat_01!$A$8:$J$29,8,FALSE)/1000</f>
        <v>-1498.538491</v>
      </c>
      <c r="K24" s="92">
        <f>VLOOKUP("Enlace Península-Baleares",Dat_01!$A$8:$J$29,10,FALSE)*100</f>
        <v>21.41211667</v>
      </c>
      <c r="L24" s="19"/>
      <c r="M24" s="192"/>
      <c r="N24" s="192"/>
      <c r="O24" s="193"/>
      <c r="P24" s="192"/>
      <c r="Q24" s="193"/>
      <c r="R24" s="192"/>
      <c r="S24" s="193"/>
    </row>
    <row r="25" spans="1:19" ht="12.75" customHeight="1">
      <c r="E25" s="96" t="s">
        <v>78</v>
      </c>
      <c r="F25" s="97">
        <f>VLOOKUP("Saldos intercambios internacionales",Dat_01!$A$8:$J$29,2,FALSE)/1000</f>
        <v>536.87445300000002</v>
      </c>
      <c r="G25" s="98">
        <f>VLOOKUP("Saldos intercambios internacionales",Dat_01!$A$8:$J$29,4,FALSE)*100</f>
        <v>-71.197170839999998</v>
      </c>
      <c r="H25" s="97">
        <f>VLOOKUP("Saldos intercambios internacionales",Dat_01!$A$8:$J$29,5,FALSE)/1000</f>
        <v>5026.1019510000006</v>
      </c>
      <c r="I25" s="98">
        <f>VLOOKUP("Saldos intercambios internacionales",Dat_01!$A$8:$J$29,7,FALSE)*100</f>
        <v>-16.76851864</v>
      </c>
      <c r="J25" s="97">
        <f>VLOOKUP("Saldos intercambios internacionales",Dat_01!$A$8:$J$29,8,FALSE)/1000</f>
        <v>10089.71011</v>
      </c>
      <c r="K25" s="98">
        <f>VLOOKUP("Saldos intercambios internacionales",Dat_01!$A$8:$J$29,10,FALSE)*100</f>
        <v>-0.3604407</v>
      </c>
      <c r="L25" s="19"/>
      <c r="M25" s="192"/>
      <c r="N25" s="192"/>
      <c r="O25" s="193"/>
      <c r="P25" s="192"/>
      <c r="Q25" s="193"/>
      <c r="R25" s="192"/>
      <c r="S25" s="193"/>
    </row>
    <row r="26" spans="1:19" ht="16.149999999999999" customHeight="1">
      <c r="E26" s="99" t="s">
        <v>13</v>
      </c>
      <c r="F26" s="100">
        <f>VLOOKUP("Demanda transporte (b.c.)",Dat_01!$A$8:$J$29,2,FALSE)/1000</f>
        <v>19949.718818999998</v>
      </c>
      <c r="G26" s="101">
        <f>VLOOKUP("Demanda transporte (b.c.)",Dat_01!$A$8:$J$29,4,FALSE)*100</f>
        <v>-1.9014613499999999</v>
      </c>
      <c r="H26" s="100">
        <f>VLOOKUP("Demanda transporte (b.c.)",Dat_01!$A$8:$J$29,5,FALSE)/1000</f>
        <v>123526.92641177399</v>
      </c>
      <c r="I26" s="101">
        <f>VLOOKUP("Demanda transporte (b.c.)",Dat_01!$A$8:$J$29,7,FALSE)*100</f>
        <v>-2.18946913</v>
      </c>
      <c r="J26" s="100">
        <f>VLOOKUP("Demanda transporte (b.c.)",Dat_01!$A$8:$J$29,8,FALSE)/1000</f>
        <v>250810.49330548599</v>
      </c>
      <c r="K26" s="101">
        <f>VLOOKUP("Demanda transporte (b.c.)",Dat_01!$A$8:$J$29,10,FALSE)*100</f>
        <v>-1.1879374999999999</v>
      </c>
      <c r="L26" s="19"/>
    </row>
    <row r="27" spans="1:19" ht="16.899999999999999" customHeight="1">
      <c r="E27" s="301" t="s">
        <v>85</v>
      </c>
      <c r="F27" s="301"/>
      <c r="G27" s="301"/>
      <c r="H27" s="301"/>
      <c r="I27" s="301"/>
      <c r="J27" s="301"/>
      <c r="K27" s="301"/>
      <c r="L27" s="16"/>
      <c r="M27" s="300"/>
      <c r="N27" s="300"/>
      <c r="O27" s="300"/>
      <c r="P27" s="300"/>
      <c r="Q27" s="300"/>
      <c r="R27" s="300"/>
      <c r="S27" s="300"/>
    </row>
    <row r="28" spans="1:19" ht="12.75" customHeight="1">
      <c r="E28" s="300" t="s">
        <v>54</v>
      </c>
      <c r="F28" s="300"/>
      <c r="G28" s="300"/>
      <c r="H28" s="300"/>
      <c r="I28" s="300"/>
      <c r="J28" s="300"/>
      <c r="K28" s="300"/>
      <c r="L28" s="16"/>
    </row>
    <row r="29" spans="1:19" ht="12.75" customHeight="1">
      <c r="E29" s="300" t="s">
        <v>74</v>
      </c>
      <c r="F29" s="300"/>
      <c r="G29" s="300"/>
      <c r="H29" s="300"/>
      <c r="I29" s="300"/>
      <c r="J29" s="300"/>
      <c r="K29" s="300"/>
      <c r="L29" s="16"/>
    </row>
    <row r="30" spans="1:19" ht="12.75" customHeight="1">
      <c r="E30" s="300" t="s">
        <v>595</v>
      </c>
      <c r="F30" s="300"/>
      <c r="G30" s="300"/>
      <c r="H30" s="300"/>
      <c r="I30" s="300"/>
      <c r="J30" s="300"/>
      <c r="K30" s="300"/>
      <c r="L30" s="16"/>
    </row>
    <row r="31" spans="1:19" ht="12.75" customHeight="1">
      <c r="E31" s="299" t="s">
        <v>597</v>
      </c>
      <c r="F31" s="299"/>
      <c r="G31" s="299"/>
      <c r="H31" s="299"/>
      <c r="I31" s="299"/>
      <c r="J31" s="299"/>
      <c r="K31" s="299"/>
      <c r="L31" s="16"/>
    </row>
    <row r="32" spans="1:19" ht="12.75" customHeight="1">
      <c r="E32" s="300" t="s">
        <v>599</v>
      </c>
      <c r="F32" s="300"/>
      <c r="G32" s="300"/>
      <c r="H32" s="300"/>
      <c r="I32" s="300"/>
      <c r="J32" s="300"/>
      <c r="K32" s="300"/>
      <c r="L32" s="16"/>
    </row>
    <row r="33" spans="5:11" ht="15" customHeight="1">
      <c r="E33" s="299" t="s">
        <v>76</v>
      </c>
      <c r="F33" s="299"/>
      <c r="G33" s="299"/>
      <c r="H33" s="299"/>
      <c r="I33" s="299"/>
      <c r="J33" s="299"/>
      <c r="K33" s="299"/>
    </row>
    <row r="34" spans="5:11" ht="24" customHeight="1">
      <c r="E34" s="299" t="s">
        <v>81</v>
      </c>
      <c r="F34" s="299"/>
      <c r="G34" s="299"/>
      <c r="H34" s="299"/>
      <c r="I34" s="299"/>
      <c r="J34" s="299"/>
      <c r="K34" s="299"/>
    </row>
    <row r="35" spans="5:11">
      <c r="F35" s="292"/>
      <c r="G35" s="292"/>
      <c r="H35" s="292"/>
      <c r="I35" s="292"/>
      <c r="J35" s="292"/>
      <c r="K35" s="292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3">
    <mergeCell ref="M27:S27"/>
    <mergeCell ref="E33:K33"/>
    <mergeCell ref="E28:K28"/>
    <mergeCell ref="E29:K29"/>
    <mergeCell ref="E30:K30"/>
    <mergeCell ref="E31:K31"/>
    <mergeCell ref="E27:K27"/>
    <mergeCell ref="E32:K32"/>
    <mergeCell ref="C7:C8"/>
    <mergeCell ref="F7:G7"/>
    <mergeCell ref="H7:I7"/>
    <mergeCell ref="J7:K7"/>
    <mergeCell ref="E34:K34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15 I15 G22 I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fitToPage="1"/>
  </sheetPr>
  <dimension ref="A1:H40"/>
  <sheetViews>
    <sheetView showGridLines="0" showRowColHeaders="0" zoomScaleNormal="100" workbookViewId="0">
      <selection activeCell="K17" sqref="K17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Junio 2019</v>
      </c>
    </row>
    <row r="4" spans="2:7" s="29" customFormat="1" ht="20.25" customHeight="1">
      <c r="B4" s="28"/>
      <c r="C4" s="102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2" t="s">
        <v>58</v>
      </c>
      <c r="D7" s="32"/>
      <c r="E7" s="39"/>
    </row>
    <row r="8" spans="2:7" s="29" customFormat="1" ht="12.75" customHeight="1">
      <c r="B8" s="28"/>
      <c r="C8" s="302"/>
      <c r="D8" s="32"/>
      <c r="E8" s="39"/>
      <c r="F8" s="33"/>
    </row>
    <row r="9" spans="2:7" s="29" customFormat="1" ht="12.75" customHeight="1">
      <c r="B9" s="28"/>
      <c r="C9" s="135"/>
      <c r="D9" s="32"/>
      <c r="E9" s="39"/>
      <c r="F9" s="274"/>
      <c r="G9" s="275"/>
    </row>
    <row r="10" spans="2:7" s="29" customFormat="1" ht="12.75" customHeight="1">
      <c r="B10" s="28"/>
      <c r="C10" s="133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2" t="s">
        <v>60</v>
      </c>
      <c r="E23" s="41"/>
    </row>
    <row r="24" spans="2:6" ht="12.75" customHeight="1">
      <c r="C24" s="302"/>
      <c r="E24" s="37"/>
    </row>
    <row r="25" spans="2:6" ht="12.75" customHeight="1">
      <c r="C25" s="302"/>
      <c r="E25" s="38"/>
    </row>
    <row r="26" spans="2:6" ht="12.75" customHeight="1">
      <c r="C26" s="133"/>
    </row>
    <row r="27" spans="2:6">
      <c r="C27" s="133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fitToPage="1"/>
  </sheetPr>
  <dimension ref="A1:G30"/>
  <sheetViews>
    <sheetView showGridLines="0" showRowColHeaders="0" zoomScaleNormal="100" workbookViewId="0">
      <selection activeCell="E38" sqref="E3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Junio 2019</v>
      </c>
    </row>
    <row r="4" spans="2:7" s="29" customFormat="1" ht="20.25" customHeight="1">
      <c r="B4" s="28"/>
      <c r="C4" s="102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3" t="s">
        <v>75</v>
      </c>
      <c r="D7" s="32"/>
      <c r="E7" s="39"/>
      <c r="F7" s="32"/>
    </row>
    <row r="8" spans="2:7" s="29" customFormat="1" ht="12.75" customHeight="1">
      <c r="B8" s="28"/>
      <c r="C8" s="303"/>
      <c r="D8" s="32"/>
      <c r="E8" s="39"/>
      <c r="F8" s="32"/>
    </row>
    <row r="9" spans="2:7" s="29" customFormat="1" ht="12.75" customHeight="1">
      <c r="B9" s="28"/>
      <c r="C9" s="303"/>
      <c r="D9" s="32"/>
      <c r="E9" s="39"/>
      <c r="F9" s="32"/>
    </row>
    <row r="10" spans="2:7" s="29" customFormat="1" ht="12.75" customHeight="1">
      <c r="B10" s="28"/>
      <c r="C10" s="303"/>
      <c r="D10" s="32"/>
      <c r="E10" s="39"/>
      <c r="F10" s="32"/>
    </row>
    <row r="11" spans="2:7" s="29" customFormat="1" ht="12.75" customHeight="1">
      <c r="B11" s="28"/>
      <c r="C11" s="135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113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C1:Y51"/>
  <sheetViews>
    <sheetView showGridLines="0" showRowColHeaders="0" topLeftCell="B2" workbookViewId="0">
      <selection activeCell="J17" sqref="J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3" t="s">
        <v>62</v>
      </c>
      <c r="E7" s="4"/>
    </row>
    <row r="8" spans="3:25">
      <c r="C8" s="303"/>
      <c r="E8" s="4"/>
    </row>
    <row r="9" spans="3:25">
      <c r="C9" s="30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C1:Y65"/>
  <sheetViews>
    <sheetView showGridLines="0" showRowColHeaders="0" topLeftCell="A2" workbookViewId="0">
      <selection activeCell="G18" sqref="G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3" t="s">
        <v>63</v>
      </c>
      <c r="E7" s="4"/>
    </row>
    <row r="8" spans="3:25">
      <c r="C8" s="303"/>
      <c r="E8" s="4"/>
    </row>
    <row r="9" spans="3:25">
      <c r="C9" s="30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C1:Y44"/>
  <sheetViews>
    <sheetView showGridLines="0" showRowColHeaders="0" topLeftCell="A2" workbookViewId="0">
      <selection activeCell="F39" sqref="F3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3" t="s">
        <v>55</v>
      </c>
      <c r="E7" s="4"/>
    </row>
    <row r="8" spans="3:25">
      <c r="C8" s="303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C1:Y44"/>
  <sheetViews>
    <sheetView showGridLines="0" showRowColHeaders="0" topLeftCell="A2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Junio 2019</v>
      </c>
    </row>
    <row r="4" spans="3:25" ht="19.899999999999999" customHeight="1">
      <c r="C4" s="102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3" t="s">
        <v>61</v>
      </c>
      <c r="E7" s="4"/>
    </row>
    <row r="8" spans="3:25">
      <c r="C8" s="303"/>
      <c r="E8" s="4"/>
    </row>
    <row r="9" spans="3:25">
      <c r="C9" s="12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3"/>
    </row>
    <row r="40" spans="3:5">
      <c r="E40" s="41"/>
    </row>
    <row r="42" spans="3:5">
      <c r="C42" s="120"/>
    </row>
    <row r="43" spans="3:5">
      <c r="C43" s="120"/>
    </row>
    <row r="44" spans="3:5">
      <c r="C44" s="120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2019-07-15T12:49:35Z</dcterms:modified>
</cp:coreProperties>
</file>