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2\ENE\INF_ELABORADA\"/>
    </mc:Choice>
  </mc:AlternateContent>
  <xr:revisionPtr revIDLastSave="0" documentId="13_ncr:1_{581EBC1A-0EFD-45A6-A754-716EAF942893}" xr6:coauthVersionLast="46" xr6:coauthVersionMax="46" xr10:uidLastSave="{00000000-0000-0000-0000-000000000000}"/>
  <bookViews>
    <workbookView xWindow="-120" yWindow="-120" windowWidth="29040" windowHeight="15840" tabRatio="674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state="hidden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2" i="43" l="1"/>
  <c r="J53" i="43"/>
  <c r="Q262" i="44"/>
  <c r="O158" i="44"/>
  <c r="G351" i="47" l="1"/>
  <c r="G290" i="47"/>
  <c r="G198" i="47"/>
  <c r="G137" i="47"/>
  <c r="G76" i="47"/>
  <c r="G25" i="6" l="1"/>
  <c r="I25" i="6"/>
  <c r="K25" i="6"/>
  <c r="H70" i="43" l="1"/>
  <c r="G76" i="43"/>
  <c r="F70" i="43"/>
  <c r="I53" i="43" l="1"/>
  <c r="B52" i="43"/>
  <c r="B51" i="43"/>
  <c r="B50" i="43"/>
  <c r="B49" i="43"/>
  <c r="B48" i="43"/>
  <c r="B47" i="43"/>
  <c r="B46" i="43"/>
  <c r="B45" i="43"/>
  <c r="B44" i="43"/>
  <c r="B43" i="43"/>
  <c r="B42" i="43"/>
  <c r="B40" i="43"/>
  <c r="B39" i="43"/>
  <c r="B38" i="43"/>
  <c r="B37" i="43"/>
  <c r="B36" i="43"/>
  <c r="B35" i="43"/>
  <c r="B34" i="43"/>
  <c r="B33" i="43"/>
  <c r="B32" i="43"/>
  <c r="B31" i="43"/>
  <c r="B30" i="43"/>
  <c r="B28" i="43"/>
  <c r="B27" i="43"/>
  <c r="B26" i="43"/>
  <c r="B25" i="43"/>
  <c r="B24" i="43"/>
  <c r="B23" i="43"/>
  <c r="B22" i="43"/>
  <c r="B21" i="43"/>
  <c r="B20" i="43"/>
  <c r="B19" i="43"/>
  <c r="B18" i="43"/>
  <c r="B16" i="43"/>
  <c r="B15" i="43"/>
  <c r="B14" i="43"/>
  <c r="B13" i="43"/>
  <c r="B12" i="43"/>
  <c r="B11" i="43"/>
  <c r="B10" i="43"/>
  <c r="B9" i="43"/>
  <c r="B8" i="43"/>
  <c r="B7" i="43"/>
  <c r="B6" i="43"/>
  <c r="E398" i="47" l="1"/>
  <c r="C399" i="49" l="1"/>
  <c r="E399" i="49"/>
  <c r="F399" i="49"/>
  <c r="G399" i="49"/>
  <c r="E397" i="59" l="1"/>
  <c r="V181" i="44" l="1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V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W180" i="44"/>
  <c r="G211" i="44" l="1"/>
  <c r="I211" i="44"/>
  <c r="H211" i="44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I47" i="49" l="1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9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0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B41" i="44" l="1"/>
  <c r="B34" i="44"/>
  <c r="B35" i="44"/>
  <c r="B36" i="44"/>
  <c r="B37" i="44"/>
  <c r="B38" i="44"/>
  <c r="B39" i="44"/>
  <c r="B40" i="44"/>
  <c r="B42" i="44"/>
  <c r="B43" i="44"/>
  <c r="B44" i="44"/>
  <c r="B45" i="44"/>
  <c r="B33" i="44"/>
  <c r="B46" i="44" l="1"/>
  <c r="C33" i="44" s="1"/>
  <c r="I19" i="49" l="1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E396" i="59" l="1"/>
  <c r="C18" i="48" l="1"/>
  <c r="E398" i="49" l="1"/>
  <c r="C398" i="49"/>
  <c r="E397" i="47" l="1"/>
  <c r="G398" i="49" s="1"/>
  <c r="F398" i="49"/>
  <c r="F72" i="43"/>
  <c r="H96" i="44" l="1"/>
  <c r="B96" i="44"/>
  <c r="K70" i="43" l="1"/>
  <c r="J70" i="43" s="1"/>
  <c r="K71" i="43"/>
  <c r="K72" i="43"/>
  <c r="K73" i="43"/>
  <c r="K74" i="43"/>
  <c r="K75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50" i="44" l="1"/>
  <c r="G3" i="59" l="1"/>
  <c r="G4" i="59"/>
  <c r="G6" i="59"/>
  <c r="G8" i="59"/>
  <c r="G10" i="59"/>
  <c r="G11" i="59"/>
  <c r="G12" i="59"/>
  <c r="G14" i="59"/>
  <c r="G18" i="59"/>
  <c r="G19" i="59"/>
  <c r="G28" i="59"/>
  <c r="G31" i="59"/>
  <c r="G32" i="59"/>
  <c r="G35" i="59"/>
  <c r="G36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G283" i="59"/>
  <c r="G288" i="59"/>
  <c r="G311" i="59"/>
  <c r="G319" i="59"/>
  <c r="G327" i="59"/>
  <c r="G332" i="59"/>
  <c r="G335" i="59"/>
  <c r="F367" i="59"/>
  <c r="F2" i="59"/>
  <c r="C4" i="49"/>
  <c r="G23" i="59"/>
  <c r="G24" i="59"/>
  <c r="G27" i="59"/>
  <c r="G39" i="59"/>
  <c r="G44" i="59"/>
  <c r="G47" i="59"/>
  <c r="G7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5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E76" i="43" l="1"/>
  <c r="E19" i="40" l="1"/>
  <c r="B91" i="44" l="1"/>
  <c r="G15" i="6" l="1"/>
  <c r="E3" i="47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46" i="49"/>
  <c r="I48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77" i="49"/>
  <c r="C79" i="49"/>
  <c r="I80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07" i="49"/>
  <c r="C110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68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I199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I260" i="49"/>
  <c r="I292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I352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C49" i="49" l="1"/>
  <c r="C108" i="49"/>
  <c r="C138" i="49"/>
  <c r="I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E397" i="49"/>
  <c r="C397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352" i="47"/>
  <c r="F291" i="47"/>
  <c r="F139" i="47"/>
  <c r="F200" i="47"/>
  <c r="F47" i="47"/>
  <c r="F261" i="47"/>
  <c r="F108" i="47"/>
  <c r="I110" i="49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I353" i="49"/>
  <c r="I79" i="49"/>
  <c r="G229" i="47"/>
  <c r="I230" i="49" s="1"/>
  <c r="I291" i="49"/>
  <c r="G321" i="47"/>
  <c r="I322" i="49" s="1"/>
  <c r="I141" i="49"/>
  <c r="G168" i="47"/>
  <c r="I169" i="49" s="1"/>
  <c r="G48" i="47"/>
  <c r="I49" i="49" s="1"/>
  <c r="G17" i="47"/>
  <c r="I18" i="49" s="1"/>
  <c r="I200" i="49"/>
  <c r="G107" i="47"/>
  <c r="I108" i="49" s="1"/>
  <c r="F397" i="49"/>
  <c r="G382" i="47"/>
  <c r="I383" i="49" s="1"/>
  <c r="G260" i="47" l="1"/>
  <c r="I261" i="49" s="1"/>
  <c r="F398" i="47"/>
  <c r="F397" i="47"/>
  <c r="F396" i="47"/>
  <c r="E396" i="47"/>
  <c r="G397" i="49" s="1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C42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4" i="44"/>
  <c r="C41" i="44"/>
  <c r="C45" i="44"/>
  <c r="C39" i="44"/>
  <c r="C40" i="44"/>
  <c r="D46" i="44"/>
  <c r="F34" i="44" l="1"/>
  <c r="F33" i="44"/>
  <c r="I76" i="43" l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O135" i="48" l="1"/>
  <c r="N78" i="48"/>
  <c r="N108" i="48" s="1"/>
  <c r="N166" i="44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O91" i="48" l="1"/>
  <c r="O92" i="48" s="1"/>
  <c r="N135" i="48"/>
  <c r="M78" i="48"/>
  <c r="M108" i="48" s="1"/>
  <c r="M158" i="44"/>
  <c r="M159" i="44" s="1"/>
  <c r="M167" i="44"/>
  <c r="M166" i="44"/>
  <c r="N159" i="44"/>
  <c r="M125" i="48"/>
  <c r="M98" i="48"/>
  <c r="M68" i="48"/>
  <c r="M69" i="48"/>
  <c r="L164" i="44"/>
  <c r="N126" i="48"/>
  <c r="N99" i="48"/>
  <c r="N88" i="48"/>
  <c r="M72" i="48"/>
  <c r="L165" i="44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N146" i="48" l="1"/>
  <c r="M135" i="48"/>
  <c r="N91" i="48"/>
  <c r="N92" i="48" s="1"/>
  <c r="N118" i="48"/>
  <c r="N121" i="48" s="1"/>
  <c r="N122" i="48" s="1"/>
  <c r="M89" i="48"/>
  <c r="L166" i="44"/>
  <c r="L167" i="44"/>
  <c r="L78" i="48"/>
  <c r="L108" i="48" s="1"/>
  <c r="L158" i="44"/>
  <c r="L159" i="44" s="1"/>
  <c r="L98" i="48"/>
  <c r="L68" i="48"/>
  <c r="L125" i="48"/>
  <c r="L137" i="48"/>
  <c r="L110" i="48"/>
  <c r="L134" i="48"/>
  <c r="L107" i="48"/>
  <c r="L72" i="48"/>
  <c r="K165" i="44"/>
  <c r="L133" i="48"/>
  <c r="L106" i="48"/>
  <c r="L101" i="48"/>
  <c r="L128" i="48"/>
  <c r="L132" i="48"/>
  <c r="L105" i="48"/>
  <c r="L100" i="48"/>
  <c r="L127" i="48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K164" i="44"/>
  <c r="M102" i="48"/>
  <c r="M119" i="48" s="1"/>
  <c r="M129" i="48"/>
  <c r="M146" i="48" s="1"/>
  <c r="N145" i="48"/>
  <c r="M88" i="48"/>
  <c r="M99" i="48"/>
  <c r="M126" i="48"/>
  <c r="J140" i="44"/>
  <c r="K157" i="44"/>
  <c r="I141" i="44"/>
  <c r="K154" i="44"/>
  <c r="L82" i="48" s="1"/>
  <c r="K156" i="44"/>
  <c r="N148" i="48" l="1"/>
  <c r="N149" i="48" s="1"/>
  <c r="M91" i="48"/>
  <c r="M92" i="48" s="1"/>
  <c r="M118" i="48"/>
  <c r="M121" i="48" s="1"/>
  <c r="M122" i="48" s="1"/>
  <c r="L89" i="48"/>
  <c r="L135" i="48"/>
  <c r="K78" i="48"/>
  <c r="K108" i="48" s="1"/>
  <c r="K167" i="44"/>
  <c r="K158" i="44"/>
  <c r="K159" i="44" s="1"/>
  <c r="K166" i="44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K133" i="48"/>
  <c r="K106" i="48"/>
  <c r="K136" i="48"/>
  <c r="K109" i="48"/>
  <c r="L99" i="48"/>
  <c r="L126" i="48"/>
  <c r="L88" i="48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L91" i="48" l="1"/>
  <c r="L92" i="48" s="1"/>
  <c r="L146" i="48"/>
  <c r="L118" i="48"/>
  <c r="L121" i="48" s="1"/>
  <c r="L122" i="48" s="1"/>
  <c r="K135" i="48"/>
  <c r="J158" i="44"/>
  <c r="J159" i="44" s="1"/>
  <c r="J167" i="44"/>
  <c r="J78" i="48"/>
  <c r="J108" i="48" s="1"/>
  <c r="J166" i="44"/>
  <c r="J125" i="48"/>
  <c r="J98" i="48"/>
  <c r="J68" i="48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K146" i="48" l="1"/>
  <c r="K91" i="48"/>
  <c r="K92" i="48" s="1"/>
  <c r="J89" i="48"/>
  <c r="J135" i="48"/>
  <c r="I78" i="48"/>
  <c r="I108" i="48" s="1"/>
  <c r="I167" i="44"/>
  <c r="I158" i="44"/>
  <c r="I159" i="44" s="1"/>
  <c r="I166" i="44"/>
  <c r="I125" i="48"/>
  <c r="I98" i="48"/>
  <c r="I68" i="48"/>
  <c r="I69" i="48"/>
  <c r="H164" i="44"/>
  <c r="J112" i="48"/>
  <c r="J139" i="48"/>
  <c r="I104" i="48"/>
  <c r="I131" i="48"/>
  <c r="I137" i="48"/>
  <c r="I110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9" i="48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J91" i="48" l="1"/>
  <c r="J92" i="48" s="1"/>
  <c r="I135" i="48"/>
  <c r="J118" i="48"/>
  <c r="J121" i="48" s="1"/>
  <c r="J122" i="48" s="1"/>
  <c r="J146" i="48"/>
  <c r="I89" i="48"/>
  <c r="H78" i="48"/>
  <c r="H135" i="48" s="1"/>
  <c r="H167" i="44"/>
  <c r="H166" i="44"/>
  <c r="H158" i="44"/>
  <c r="H159" i="44" s="1"/>
  <c r="H98" i="48"/>
  <c r="H68" i="48"/>
  <c r="H125" i="48"/>
  <c r="H137" i="48"/>
  <c r="H110" i="48"/>
  <c r="H72" i="48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I102" i="48"/>
  <c r="I119" i="48" s="1"/>
  <c r="I129" i="48"/>
  <c r="H138" i="48"/>
  <c r="H111" i="48"/>
  <c r="H104" i="48"/>
  <c r="H131" i="48"/>
  <c r="H69" i="48"/>
  <c r="G164" i="44"/>
  <c r="I88" i="48"/>
  <c r="I99" i="48"/>
  <c r="I126" i="48"/>
  <c r="F140" i="44"/>
  <c r="G154" i="44"/>
  <c r="H82" i="48" s="1"/>
  <c r="G156" i="44"/>
  <c r="G157" i="44"/>
  <c r="E141" i="44"/>
  <c r="J148" i="48" l="1"/>
  <c r="J149" i="48" s="1"/>
  <c r="I146" i="48"/>
  <c r="I91" i="48"/>
  <c r="I92" i="48" s="1"/>
  <c r="I118" i="48"/>
  <c r="I121" i="48" s="1"/>
  <c r="I122" i="48" s="1"/>
  <c r="H89" i="48"/>
  <c r="H108" i="48"/>
  <c r="G78" i="48"/>
  <c r="G135" i="48" s="1"/>
  <c r="G166" i="44"/>
  <c r="G167" i="44"/>
  <c r="G158" i="44"/>
  <c r="G159" i="44" s="1"/>
  <c r="G68" i="48"/>
  <c r="G98" i="48"/>
  <c r="G125" i="48"/>
  <c r="G137" i="48"/>
  <c r="G110" i="48"/>
  <c r="G72" i="48"/>
  <c r="F165" i="44"/>
  <c r="I145" i="48"/>
  <c r="G136" i="48"/>
  <c r="G109" i="48"/>
  <c r="G133" i="48"/>
  <c r="G106" i="48"/>
  <c r="G128" i="48"/>
  <c r="G101" i="48"/>
  <c r="H102" i="48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26" i="48"/>
  <c r="H88" i="48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I148" i="48" l="1"/>
  <c r="I149" i="48" s="1"/>
  <c r="H91" i="48"/>
  <c r="H92" i="48" s="1"/>
  <c r="H119" i="48"/>
  <c r="H118" i="48"/>
  <c r="G108" i="48"/>
  <c r="F78" i="48"/>
  <c r="F108" i="48" s="1"/>
  <c r="F70" i="48"/>
  <c r="F100" i="48" s="1"/>
  <c r="F166" i="44"/>
  <c r="F167" i="44"/>
  <c r="F158" i="44"/>
  <c r="F159" i="44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G89" i="48"/>
  <c r="D140" i="44"/>
  <c r="C141" i="44"/>
  <c r="B141" i="44" s="1"/>
  <c r="E154" i="44"/>
  <c r="F82" i="48" s="1"/>
  <c r="E156" i="44"/>
  <c r="E157" i="44"/>
  <c r="H121" i="48" l="1"/>
  <c r="H122" i="48" s="1"/>
  <c r="G91" i="48"/>
  <c r="G92" i="48" s="1"/>
  <c r="F127" i="48"/>
  <c r="F135" i="48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E101" i="48"/>
  <c r="E128" i="48"/>
  <c r="G118" i="48"/>
  <c r="E134" i="48"/>
  <c r="E107" i="48"/>
  <c r="E137" i="48"/>
  <c r="E110" i="48"/>
  <c r="F112" i="48"/>
  <c r="F139" i="48"/>
  <c r="F99" i="48"/>
  <c r="F126" i="48"/>
  <c r="F88" i="48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D165" i="44"/>
  <c r="E138" i="48"/>
  <c r="E111" i="48"/>
  <c r="E104" i="48"/>
  <c r="E131" i="48"/>
  <c r="F129" i="48"/>
  <c r="F102" i="48"/>
  <c r="F119" i="48" s="1"/>
  <c r="C140" i="44"/>
  <c r="D154" i="44"/>
  <c r="E82" i="48" s="1"/>
  <c r="D157" i="44"/>
  <c r="D156" i="44"/>
  <c r="B142" i="44"/>
  <c r="F91" i="48" l="1"/>
  <c r="F92" i="48" s="1"/>
  <c r="G121" i="48"/>
  <c r="G122" i="48" s="1"/>
  <c r="F118" i="48"/>
  <c r="F121" i="48" s="1"/>
  <c r="F122" i="48" s="1"/>
  <c r="F146" i="48"/>
  <c r="E89" i="48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2" i="48"/>
  <c r="D105" i="48"/>
  <c r="F145" i="48"/>
  <c r="B140" i="44"/>
  <c r="C154" i="44"/>
  <c r="D82" i="48" s="1"/>
  <c r="C156" i="44"/>
  <c r="C157" i="44"/>
  <c r="F148" i="48" l="1"/>
  <c r="F149" i="48" s="1"/>
  <c r="D135" i="48"/>
  <c r="D127" i="48"/>
  <c r="E146" i="48"/>
  <c r="D89" i="48"/>
  <c r="C166" i="44"/>
  <c r="C159" i="44"/>
  <c r="C158" i="44"/>
  <c r="C78" i="48"/>
  <c r="C135" i="48" s="1"/>
  <c r="C167" i="44"/>
  <c r="C70" i="48"/>
  <c r="C100" i="48" s="1"/>
  <c r="B164" i="44"/>
  <c r="C98" i="48"/>
  <c r="C68" i="48"/>
  <c r="C125" i="48"/>
  <c r="E145" i="48"/>
  <c r="C69" i="48"/>
  <c r="C138" i="48"/>
  <c r="C111" i="48"/>
  <c r="E118" i="48"/>
  <c r="E121" i="48" s="1"/>
  <c r="E122" i="48" s="1"/>
  <c r="C131" i="48"/>
  <c r="C104" i="48"/>
  <c r="D139" i="48"/>
  <c r="D112" i="48"/>
  <c r="C72" i="48"/>
  <c r="B165" i="44"/>
  <c r="C137" i="48"/>
  <c r="C110" i="48"/>
  <c r="C134" i="48"/>
  <c r="C107" i="48"/>
  <c r="D99" i="48"/>
  <c r="D126" i="48"/>
  <c r="D88" i="48"/>
  <c r="C105" i="48"/>
  <c r="C132" i="48"/>
  <c r="C106" i="48"/>
  <c r="C133" i="48"/>
  <c r="C128" i="48"/>
  <c r="C101" i="48"/>
  <c r="C136" i="48"/>
  <c r="C109" i="48"/>
  <c r="D102" i="48"/>
  <c r="D119" i="48" s="1"/>
  <c r="D129" i="48"/>
  <c r="B157" i="44"/>
  <c r="B156" i="44"/>
  <c r="B154" i="44"/>
  <c r="B158" i="44" s="1"/>
  <c r="E148" i="48" l="1"/>
  <c r="E149" i="48" s="1"/>
  <c r="D146" i="48"/>
  <c r="D91" i="48"/>
  <c r="D92" i="48" s="1"/>
  <c r="D118" i="48"/>
  <c r="D121" i="48" s="1"/>
  <c r="D122" i="48" s="1"/>
  <c r="C108" i="48"/>
  <c r="C127" i="48"/>
  <c r="C82" i="48"/>
  <c r="C112" i="48" s="1"/>
  <c r="B166" i="44"/>
  <c r="O166" i="44" s="1"/>
  <c r="C89" i="48"/>
  <c r="B159" i="44"/>
  <c r="B167" i="44"/>
  <c r="C102" i="48"/>
  <c r="C129" i="48"/>
  <c r="C99" i="48"/>
  <c r="C126" i="48"/>
  <c r="C88" i="48"/>
  <c r="D145" i="48"/>
  <c r="D148" i="48" s="1"/>
  <c r="D149" i="48" s="1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C91" i="48" l="1"/>
  <c r="C92" i="48" s="1"/>
  <c r="C118" i="48"/>
  <c r="C139" i="48"/>
  <c r="C11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121" i="48"/>
  <c r="C122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<sst xmlns="http://schemas.openxmlformats.org/spreadsheetml/2006/main" count="2357" uniqueCount="247">
  <si>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</si>
  <si>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</si>
  <si>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</si>
  <si>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</si>
  <si>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</si>
  <si>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</si>
  <si>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</si>
  <si>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</si>
  <si>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</si>
  <si>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</si>
  <si>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</si>
  <si>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</si>
  <si>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</si>
  <si>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</si>
  <si>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</si>
  <si>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</si>
  <si>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</si>
  <si>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</si>
  <si>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</si>
  <si>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</si>
  <si>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</si>
  <si>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</si>
  <si>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</si>
  <si>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</si>
  <si>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</si>
  <si>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</si>
  <si>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</si>
  <si>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</si>
  <si>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</si>
  <si>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</si>
  <si>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</si>
  <si>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</si>
  <si>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</si>
  <si>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</si>
  <si>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</si>
  <si>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</si>
  <si>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</si>
  <si>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</si>
  <si>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</si>
  <si>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</si>
  <si>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</si>
  <si>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</si>
  <si>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</si>
  <si>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</si>
  <si>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</si>
  <si>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</si>
  <si>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</si>
  <si>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</si>
  <si>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</si>
  <si>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</si>
  <si>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</si>
  <si>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</si>
  <si>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</si>
  <si>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</si>
  <si>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</si>
  <si>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</si>
  <si>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</si>
  <si>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</si>
  <si>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</si>
  <si>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</si>
  <si>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</si>
  <si>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</si>
  <si>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</si>
  <si>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</si>
  <si>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</si>
  <si>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</si>
  <si>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</si>
  <si>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</si>
  <si>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</si>
  <si>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</si>
  <si>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</si>
  <si>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</si>
  <si>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</si>
  <si>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</si>
  <si>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</si>
  <si>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</si>
  <si>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</si>
  <si>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</si>
  <si>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</si>
  <si>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</si>
  <si>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</si>
  <si>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</si>
  <si>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</si>
  <si>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</si>
  <si>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</si>
  <si>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</si>
  <si>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</si>
  <si>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</si>
  <si>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</si>
  <si>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</si>
  <si>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</si>
  <si>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</si>
  <si>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</si>
  <si>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</si>
  <si>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</si>
  <si>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</si>
  <si>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</si>
  <si>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</si>
  <si>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</si>
  <si>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</si>
  <si>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</si>
  <si>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</si>
  <si>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</si>
  <si>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</si>
  <si>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</si>
  <si>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</si>
  <si>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</si>
  <si>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</si>
  <si>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</si>
  <si>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</si>
  <si>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</si>
  <si>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</si>
  <si>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</si>
  <si>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</si>
  <si>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</si>
  <si>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</si>
  <si>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</si>
  <si>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</si>
  <si>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</si>
  <si>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</si>
  <si>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</si>
  <si>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</si>
  <si>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</si>
  <si>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</si>
  <si>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</si>
  <si>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</si>
  <si>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</si>
  <si>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</si>
  <si>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</si>
  <si>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</si>
  <si>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</si>
  <si>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</si>
  <si>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</si>
  <si>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</si>
  <si>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</si>
  <si>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</si>
  <si>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</si>
  <si>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</si>
  <si>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</si>
  <si>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</si>
  <si>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</si>
  <si>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</si>
  <si>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</si>
  <si>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</si>
  <si>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</si>
  <si>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</si>
  <si>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</si>
  <si>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</si>
  <si>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</si>
  <si>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</si>
  <si>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</si>
  <si>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</si>
  <si>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</si>
  <si>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</si>
  <si>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</si>
  <si>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</si>
  <si>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</si>
  <si>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</si>
  <si>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</si>
  <si>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</si>
  <si>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</si>
  <si>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</si>
  <si>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</si>
  <si>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</si>
  <si>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</si>
  <si>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</si>
  <si>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</si>
  <si>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</si>
  <si>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</si>
  <si>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</si>
  <si>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</si>
  <si>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</si>
  <si>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</si>
  <si>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</si>
  <si>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</si>
  <si>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</si>
  <si>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</si>
  <si>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FUE</t>
  </si>
  <si>
    <t>Producible Eólico Diario (GWh)</t>
  </si>
  <si>
    <t>Producible Eólico Medio 10 dia (GWh)</t>
  </si>
  <si>
    <t>Enero 2020</t>
  </si>
  <si>
    <t>Febrero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</si>
  <si>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</si>
  <si>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</si>
  <si>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</si>
  <si>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</si>
  <si>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</si>
  <si>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</si>
  <si>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</si>
  <si>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</si>
  <si>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</si>
  <si>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</si>
  <si>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</si>
  <si>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</si>
  <si>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</si>
  <si>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</si>
  <si>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</si>
  <si>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30/01/2021</t>
  </si>
  <si>
    <t>Febrero 2021</t>
  </si>
  <si>
    <t>Marzo 2021</t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</si>
  <si>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</si>
  <si>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</si>
  <si>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</si>
  <si>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2021 Enero</t>
  </si>
  <si>
    <t>2021 Febrero</t>
  </si>
  <si>
    <t>2021 Marzo</t>
  </si>
  <si>
    <t>2021 Abril</t>
  </si>
  <si>
    <t>Mayo 2021</t>
  </si>
  <si>
    <t>2021 Mayo</t>
  </si>
  <si>
    <t>Junio 2021</t>
  </si>
  <si>
    <t>Residuos no Renovables</t>
  </si>
  <si>
    <t>Potencia instalada CIL</t>
  </si>
  <si>
    <t>Combustible</t>
  </si>
  <si>
    <t>Fuel+gas</t>
  </si>
  <si>
    <t>Julio 2021</t>
  </si>
  <si>
    <t>Agosto 2021</t>
  </si>
  <si>
    <t>TERN</t>
  </si>
  <si>
    <t>Septiembre 2021</t>
  </si>
  <si>
    <t>Octubre 2021</t>
  </si>
  <si>
    <t>Noviembre 2021</t>
  </si>
  <si>
    <t>Diciembre 2021</t>
  </si>
  <si>
    <t>Miércoles 08/12/2021 (13:34 h)</t>
  </si>
  <si>
    <t>Martes 28/12/2021 (03:03 h)</t>
  </si>
  <si>
    <t>Enero 2022</t>
  </si>
  <si>
    <t>31/01/2022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</si>
  <si>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ut="02/08/2022 18:04:06" si="2.000000010bf1bd1af6e09dab4d0cb45b4a2bff538d56469980d21d85e888b762ca0f689aa70f1870c34d3deaadf44f4b30cd896786e4c3e9db71add5958ff25e08c0f38a5df1fb7af13619ac92a89cf2e3fcb34c65e78ef2f55dd86ca3099bf1fe9f1bcd0d5ebb4e2234995944c4659632d6500de74e2411383237c429c5846e5bec4ec2a231079c05959757ebe24c5e7605dbe293b3fb36c6778d7c036ade5c7256.p.3082.0.1.Europe/Madrid.upriv*_1*_pidn2*_21*_session*-lat*_1.00000001fd48297744767dee15e38a164666cf1ebc6025e0947b810c1a964ff17809a40a78d04c9a3ff537c16ece7177ac58db52b58dacc1.00000001b01f0005b1084cea43079c09f883764ebc6025e049498c9d85d176d8b31ef83f21cc94709d45d5d52343d2ececf813128b35b636.0.1.1.BDEbi.D066E1C611E6257C10D00080EF253B44.0-3082.1.1_-0.1.0_-3082.1.1_5.5.0.*0.000000016a86f4efc359010584962fd1645a8c32c911585ad74beab1e56ef5c8cd5e793aeaa2184d.0.23.11*.2*.0400*.31152J.e.00000001e4a7bcee633fdc577d2dbf2bb6488eafc911585adf5a0c0c87bcf7046cce14ad325bb41a.0.10*.131*.122*.122.0.0" msgID="7D18844311EC8909310D0080EF0539B9"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</si>
  <si>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ut="02/08/2022 18:32:50" si="2.000000010bf1bd1af6e09dab4d0cb45b4a2bff538d56469980d21d85e888b762ca0f689aa70f1870c34d3deaadf44f4b30cd896786e4c3e9db71add5958ff25e08c0f38a5df1fb7af13619ac92a89cf2e3fcb34c65e78ef2f55dd86ca3099bf1fe9f1bcd0d5ebb4e2234995944c4659632d6500de74e2411383237c429c5846e5bec4ec2a231079c05959757ebe24c5e7605dbe293b3fb36c6778d7c036ade5c7256.p.3082.0.1.Europe/Madrid.upriv*_1*_pidn2*_21*_session*-lat*_1.00000001fd48297744767dee15e38a164666cf1ebc6025e0947b810c1a964ff17809a40a78d04c9a3ff537c16ece7177ac58db52b58dacc1.00000001b01f0005b1084cea43079c09f883764ebc6025e049498c9d85d176d8b31ef83f21cc94709d45d5d52343d2ececf813128b35b636.0.1.1.BDEbi.D066E1C611E6257C10D00080EF253B44.0-3082.1.1_-0.1.0_-3082.1.1_5.5.0.*0.000000016a86f4efc359010584962fd1645a8c32c911585ad74beab1e56ef5c8cd5e793aeaa2184d.0.23.11*.2*.0400*.31152J.e.00000001e4a7bcee633fdc577d2dbf2bb6488eafc911585adf5a0c0c87bcf7046cce14ad325bb41a.0.10*.131*.122*.122.0.0" msgID="92B9D4C211EC8909310D0080EF3599BA"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nrr="1170" nrc="816"&gt;&lt;pg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</si>
  <si>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2022 Enero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</si>
  <si>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ut="02/08/2022 18:37:41" si="2.0000000177c4eeed076d29152335222bb8634fc92b0f16cdefe84225b62c1e63314f4b9327fdabad4583f66b1a338349f1e13c32b9e3dae893ba5b6afde3eed47d6a9efae1817841f073969e09f21673e61f0ca56ee43851a6992f1e820d38d5db281e663e21cc3dc14c6cdbcada7ebe41a454cee7174c8d55763d0fc180cda5fe3a3d053f89e976caf39766a6986dcae63a0a4fe6016faa3ead74270e9079b9fcd0.p.3082.0.1.Europe/Madrid.upriv*_1*_pidn2*_20*_session*-lat*_1.0000000149ede633de20bdb6d964c20c3ae3b85ebc6025e0fdfe2fe73208929853fc39db84bf7a14f668a0a303e7b71480d9812c181efaa8.00000001c3954fe248344ab5202595d64c4309a2bc6025e014a099f88bacd02b39de097489d438073bd7fab8498263cd4d883a4b4805f001.0.1.1.SIOSbi.A04572404A6ABF2446090B938515E87E.0-3082.1.1_-0.1.0_-3082.1.1_5.5.0.*0.00000001d185be4117c58e1cd5b407511ea0332dc911585a1d1813f290653468f74fd18a88ce85e0.0.23.11*.2*.0400*.31152J.e.00000001c7e2ba08387d4b5d7005d0d538318babc911585a9435c3164787360e22e5ef49f63192be.0.10*.131*.122*.122.0.0" msgID="2910A91111EC890E310D0080EFD5DABB"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nrr="140" nrc="10"&gt;&lt;pg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</si>
  <si>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09/01/2022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</si>
  <si>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ut="02/08/2022 18:41:40" si="2.000000010bf1bd1af6e09dab4d0cb45b4a2bff538d56469980d21d85e888b762ca0f689aa70f1870c34d3deaadf44f4b30cd896786e4c3e9db71add5958ff25e08c0f38a5df1fb7af13619ac92a89cf2e3fcb34c65e78ef2f55dd86ca3099bf1fe9f1bcd0d5ebb4e2234995944c4659632d6500de74e2411383237c429c5846e5bec4ec2a231079c05959757ebe24c5e7605dbe293b3fb36c6778d7c036ade5c7256.p.3082.0.1.Europe/Madrid.upriv*_1*_pidn2*_21*_session*-lat*_1.00000001fd48297744767dee15e38a164666cf1ebc6025e0947b810c1a964ff17809a40a78d04c9a3ff537c16ece7177ac58db52b58dacc1.00000001b01f0005b1084cea43079c09f883764ebc6025e049498c9d85d176d8b31ef83f21cc94709d45d5d52343d2ececf813128b35b636.0.1.1.BDEbi.D066E1C611E6257C10D00080EF253B44.0-3082.1.1_-0.1.0_-3082.1.1_5.5.0.*0.000000016a86f4efc359010584962fd1645a8c32c911585ad74beab1e56ef5c8cd5e793aeaa2184d.0.23.11*.2*.0400*.31152J.e.00000001e4a7bcee633fdc577d2dbf2bb6488eafc911585adf5a0c0c87bcf7046cce14ad325bb41a.0.10*.131*.122*.122.0.0" msgID="BBC4F3D911EC890E310D0080EF7519BA"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nrr="1074" nrc="60"&gt;&lt;pg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</si>
  <si>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ut="02/08/2022 18:48:50" si="2.000000010bf1bd1af6e09dab4d0cb45b4a2bff538d56469980d21d85e888b762ca0f689aa70f1870c34d3deaadf44f4b30cd896786e4c3e9db71add5958ff25e08c0f38a5df1fb7af13619ac92a89cf2e3fcb34c65e78ef2f55dd86ca3099bf1fe9f1bcd0d5ebb4e2234995944c4659632d6500de74e2411383237c429c5846e5bec4ec2a231079c05959757ebe24c5e7605dbe293b3fb36c6778d7c036ade5c7256.p.3082.0.1.Europe/Madrid.upriv*_1*_pidn2*_21*_session*-lat*_1.00000001fd48297744767dee15e38a164666cf1ebc6025e0947b810c1a964ff17809a40a78d04c9a3ff537c16ece7177ac58db52b58dacc1.00000001b01f0005b1084cea43079c09f883764ebc6025e049498c9d85d176d8b31ef83f21cc94709d45d5d52343d2ececf813128b35b636.0.1.1.BDEbi.D066E1C611E6257C10D00080EF253B44.0-3082.1.1_-0.1.0_-3082.1.1_5.5.0.*0.000000016a86f4efc359010584962fd1645a8c32c911585ad74beab1e56ef5c8cd5e793aeaa2184d.0.23.11*.2*.0400*.31152J.e.00000001e4a7bcee633fdc577d2dbf2bb6488eafc911585adf5a0c0c87bcf7046cce14ad325bb41a.0.10*.131*.122*.122.0.0" msgID="DDFF876B11EC890E310D0080EFD5DABB"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nrr="1110" nrc="61"&gt;&lt;pg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</si>
  <si>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ut="02/08/2022 18:59:12" si="2.000000010bf1bd1af6e09dab4d0cb45b4a2bff538d56469980d21d85e888b762ca0f689aa70f1870c34d3deaadf44f4b30cd896786e4c3e9db71add5958ff25e08c0f38a5df1fb7af13619ac92a89cf2e3fcb34c65e78ef2f55dd86ca3099bf1fe9f1bcd0d5ebb4e2234995944c4659632d6500de74e2411383237c429c5846e5bec4ec2a231079c05959757ebe24c5e7605dbe293b3fb36c6778d7c036ade5c7256.p.3082.0.1.Europe/Madrid.upriv*_1*_pidn2*_21*_session*-lat*_1.00000001fd48297744767dee15e38a164666cf1ebc6025e0947b810c1a964ff17809a40a78d04c9a3ff537c16ece7177ac58db52b58dacc1.00000001b01f0005b1084cea43079c09f883764ebc6025e049498c9d85d176d8b31ef83f21cc94709d45d5d52343d2ececf813128b35b636.0.1.1.BDEbi.D066E1C611E6257C10D00080EF253B44.0-3082.1.1_-0.1.0_-3082.1.1_5.5.0.*0.000000016a86f4efc359010584962fd1645a8c32c911585ad74beab1e56ef5c8cd5e793aeaa2184d.0.23.11*.2*.0400*.31152J.e.00000001e4a7bcee633fdc577d2dbf2bb6488eafc911585adf5a0c0c87bcf7046cce14ad325bb41a.0.10*.131*.122*.122.0.0" msgID="65B1875311EC8910310D0080EFB598B9"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nrr="1112" nrc="1525"&gt;&lt;pg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</si>
  <si>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ut="02/08/2022 19:00:57" si="2.000000010bf1bd1af6e09dab4d0cb45b4a2bff538d56469980d21d85e888b762ca0f689aa70f1870c34d3deaadf44f4b30cd896786e4c3e9db71add5958ff25e08c0f38a5df1fb7af13619ac92a89cf2e3fcb34c65e78ef2f55dd86ca3099bf1fe9f1bcd0d5ebb4e2234995944c4659632d6500de74e2411383237c429c5846e5bec4ec2a231079c05959757ebe24c5e7605dbe293b3fb36c6778d7c036ade5c7256.p.3082.0.1.Europe/Madrid.upriv*_1*_pidn2*_21*_session*-lat*_1.00000001fd48297744767dee15e38a164666cf1ebc6025e0947b810c1a964ff17809a40a78d04c9a3ff537c16ece7177ac58db52b58dacc1.00000001b01f0005b1084cea43079c09f883764ebc6025e049498c9d85d176d8b31ef83f21cc94709d45d5d52343d2ececf813128b35b636.0.1.1.BDEbi.D066E1C611E6257C10D00080EF253B44.0-3082.1.1_-0.1.0_-3082.1.1_5.5.0.*0.000000016a86f4efc359010584962fd1645a8c32c911585ad74beab1e56ef5c8cd5e793aeaa2184d.0.23.11*.2*.0400*.31152J.e.00000001e4a7bcee633fdc577d2dbf2bb6488eafc911585adf5a0c0c87bcf7046cce14ad325bb41a.0.10*.131*.122*.122.0.0" msgID="6019482F11EC8911310D0080EF955ABC"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nrr="1962" nrc="2266"&gt;&lt;pg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</si>
  <si>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ut="02/08/2022 19:01:26" si="2.000000010bf1bd1af6e09dab4d0cb45b4a2bff538d56469980d21d85e888b762ca0f689aa70f1870c34d3deaadf44f4b30cd896786e4c3e9db71add5958ff25e08c0f38a5df1fb7af13619ac92a89cf2e3fcb34c65e78ef2f55dd86ca3099bf1fe9f1bcd0d5ebb4e2234995944c4659632d6500de74e2411383237c429c5846e5bec4ec2a231079c05959757ebe24c5e7605dbe293b3fb36c6778d7c036ade5c7256.p.3082.0.1.Europe/Madrid.upriv*_1*_pidn2*_21*_session*-lat*_1.00000001fd48297744767dee15e38a164666cf1ebc6025e0947b810c1a964ff17809a40a78d04c9a3ff537c16ece7177ac58db52b58dacc1.00000001b01f0005b1084cea43079c09f883764ebc6025e049498c9d85d176d8b31ef83f21cc94709d45d5d52343d2ececf813128b35b636.0.1.1.BDEbi.D066E1C611E6257C10D00080EF253B44.0-3082.1.1_-0.1.0_-3082.1.1_5.5.0.*0.000000016a86f4efc359010584962fd1645a8c32c911585ad74beab1e56ef5c8cd5e793aeaa2184d.0.23.11*.2*.0400*.31152J.e.00000001e4a7bcee633fdc577d2dbf2bb6488eafc911585adf5a0c0c87bcf7046cce14ad325bb41a.0.10*.131*.122*.122.0.0" msgID="8233882B11EC8911310D0080EFA579BA"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nrr="1570" nrc="1199"&gt;&lt;pg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</si>
  <si>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ut="02/08/2022 19:04:22" si="2.000000010bf1bd1af6e09dab4d0cb45b4a2bff538d56469980d21d85e888b762ca0f689aa70f1870c34d3deaadf44f4b30cd896786e4c3e9db71add5958ff25e08c0f38a5df1fb7af13619ac92a89cf2e3fcb34c65e78ef2f55dd86ca3099bf1fe9f1bcd0d5ebb4e2234995944c4659632d6500de74e2411383237c429c5846e5bec4ec2a231079c05959757ebe24c5e7605dbe293b3fb36c6778d7c036ade5c7256.p.3082.0.1.Europe/Madrid.upriv*_1*_pidn2*_21*_session*-lat*_1.00000001fd48297744767dee15e38a164666cf1ebc6025e0947b810c1a964ff17809a40a78d04c9a3ff537c16ece7177ac58db52b58dacc1.00000001b01f0005b1084cea43079c09f883764ebc6025e049498c9d85d176d8b31ef83f21cc94709d45d5d52343d2ececf813128b35b636.0.1.1.BDEbi.D066E1C611E6257C10D00080EF253B44.0-3082.1.1_-0.1.0_-3082.1.1_5.5.0.*0.000000016a86f4efc359010584962fd1645a8c32c911585ad74beab1e56ef5c8cd5e793aeaa2184d.0.23.11*.2*.0400*.31152J.e.00000001e4a7bcee633fdc577d2dbf2bb6488eafc911585adf5a0c0c87bcf7046cce14ad325bb41a.0.10*.131*.122*.122.0.0" msgID="DC87A74811EC8911310D0080EFA579BA"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rows="15" cols="15" /&gt;&lt;esdo ews="" ece="" ptn="" /&gt;&lt;/excel&gt;&lt;pgs&gt;&lt;pg rows="12" cols="13" nrr="464" nrc="476"&gt;&lt;pg /&gt;&lt;bls&gt;&lt;bl sr="1" sc="1" rfetch="12" cfetch="13" posid="1" darows="0" dacols="1"&gt;&lt;excel&gt;&lt;epo ews="Dat_01" ece="A248" enr="MSTR.Emisiones_CO2.2"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</si>
  <si>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</si>
  <si>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</si>
  <si>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</si>
  <si>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</si>
  <si>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</si>
  <si>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</si>
  <si>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</si>
  <si>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Domingo 09/01/2022 (17:15 h)</t>
  </si>
  <si>
    <t>Domingo 09/01/2022 (05:04 h)</t>
  </si>
  <si>
    <t>dae8ce6211784190835c21cfa8f007d8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</si>
  <si>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ut="02/09/2022 09:42:49" si="2.000000017ae77c2950aa959b443c3cbca8c4138f231a0136bebdc7fc4d93b7a2722150b8fc6eac9da029eedbe95169d1ca7ae34a05d2d495ec3c959fe8f7b7446a05c864f1c3e928aa492c09fd7dc5be21f8d0d337eb2a51fb76bc0a712a36d656232f46721c6d01e26d94e59b81b57a2f362bd0f2030d4ff488fa1c71887c85ae17dafc692422e5ba01d4376b308024d7007f0dcb49c6c412d21a2415c1ca35a663.p.3082.0.1.Europe/Madrid.upriv*_1*_pidn2*_21*_session*-lat*_1.0000000150823be868d9b07db9bd83251d0730b0bc6025e018e61c0bb458f11fa5cbbd8c46acc124fab1b0af2346fe85403a44001de6ca43.000000014f04cad44af73a0bf94feb5981dd715dbc6025e00c3fe5f51b00d6e04cc1dbd006fc8eaf0ecbbb37d6e4ba39bd664d3737f5c9d7.0.1.1.BDEbi.D066E1C611E6257C10D00080EF253B44.0-3082.1.1_-0.1.0_-3082.1.1_5.5.0.*0.00000001ee175703b4cb5e1484948e6e6eeec670c911585a6d39d6f75157b7d81ea9170d4d37f494.0.23.11*.2*.0400*.31152J.e.00000001fc62be850c9934a608113c75708d77dac911585a13f14df0a99c4f560ccdda83445b6001.0.10*.131*.122*.122.0.0" msgID="9418A7AD11EC898C310D0080EF0539B9"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rows="15" cols="15" /&gt;&lt;esdo ews="" ece="" ptn="" /&gt;&lt;/excel&gt;&lt;pgs&gt;&lt;pg rows="12" cols="13" nrr="358" nrc="379"&gt;&lt;pg /&gt;&lt;bls&gt;&lt;bl sr="1" sc="1" rfetch="12" cfetch="13" posid="1" darows="0" dacols="1"&gt;&lt;excel&gt;&lt;epo ews="Dat_04 CONSEJO" ece="A30" enr="MSTR.Emisiones_CO2"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</si>
</sst>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7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5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  <xf numFmtId="165" fontId="70" fillId="14" borderId="13">
      <alignment vertical="center" wrapText="1"/>
    </xf>
    <xf numFmtId="165" fontId="70" fillId="13" borderId="13">
      <alignment horizontal="left" vertical="center"/>
    </xf>
    <xf numFmtId="165" fontId="70" fillId="14" borderId="13">
      <alignment horizontal="center" wrapText="1"/>
    </xf>
    <xf numFmtId="168" fontId="70" fillId="13" borderId="13">
      <alignment horizontal="right" vertical="center"/>
    </xf>
    <xf numFmtId="165" fontId="46" fillId="6" borderId="13">
      <alignment vertical="center" wrapText="1"/>
    </xf>
    <xf numFmtId="165" fontId="46" fillId="6" borderId="13">
      <alignment horizontal="center" wrapText="1"/>
    </xf>
    <xf numFmtId="165" fontId="48" fillId="4" borderId="13">
      <alignment horizontal="left" vertical="center" wrapText="1"/>
    </xf>
    <xf numFmtId="168" fontId="47" fillId="4" borderId="13">
      <alignment horizontal="right" vertical="center"/>
    </xf>
    <xf numFmtId="165" fontId="49" fillId="5" borderId="13">
      <alignment horizontal="left" vertical="center" wrapText="1"/>
    </xf>
    <xf numFmtId="168" fontId="45" fillId="5" borderId="13">
      <alignment horizontal="right" vertical="center"/>
    </xf>
    <xf numFmtId="10" fontId="45" fillId="5" borderId="13">
      <alignment horizontal="right" vertical="center"/>
    </xf>
  </cellStyleXfs>
  <cellXfs count="348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7" fontId="47" fillId="4" borderId="13" xfId="23" applyAlignment="1">
      <alignment horizontal="right" vertical="center"/>
    </xf>
    <xf numFmtId="167" fontId="45" fillId="5" borderId="13" xfId="20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1" applyAlignment="1">
      <alignment vertical="center"/>
    </xf>
    <xf numFmtId="165" fontId="65" fillId="13" borderId="13" xfId="39" quotePrefix="1" applyAlignment="1">
      <alignment horizontal="center"/>
    </xf>
    <xf numFmtId="165" fontId="65" fillId="13" borderId="13" xfId="39" applyAlignment="1">
      <alignment horizontal="center"/>
    </xf>
    <xf numFmtId="165" fontId="66" fillId="4" borderId="13" xfId="42" quotePrefix="1" applyAlignment="1">
      <alignment horizontal="left" vertical="center"/>
    </xf>
    <xf numFmtId="165" fontId="65" fillId="13" borderId="13" xfId="44" quotePrefix="1" applyAlignment="1">
      <alignment horizontal="left" vertical="center"/>
    </xf>
    <xf numFmtId="165" fontId="65" fillId="13" borderId="13" xfId="44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0" applyAlignment="1">
      <alignment horizontal="right" vertical="center"/>
    </xf>
    <xf numFmtId="179" fontId="65" fillId="13" borderId="13" xfId="43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7" applyAlignment="1">
      <alignment horizontal="center" vertical="center" wrapText="1"/>
    </xf>
    <xf numFmtId="0" fontId="1" fillId="0" borderId="0" xfId="47"/>
    <xf numFmtId="14" fontId="1" fillId="0" borderId="0" xfId="47" applyNumberFormat="1"/>
    <xf numFmtId="3" fontId="68" fillId="0" borderId="24" xfId="47" applyNumberFormat="1" applyFont="1" applyBorder="1" applyAlignment="1">
      <alignment horizontal="right" vertical="center"/>
    </xf>
    <xf numFmtId="167" fontId="68" fillId="0" borderId="24" xfId="47" applyNumberFormat="1" applyFont="1" applyBorder="1" applyAlignment="1">
      <alignment horizontal="right" vertical="center"/>
    </xf>
    <xf numFmtId="171" fontId="1" fillId="0" borderId="0" xfId="47" applyNumberFormat="1"/>
    <xf numFmtId="1" fontId="1" fillId="0" borderId="0" xfId="47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7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" fontId="16" fillId="0" borderId="0" xfId="3" applyNumberFormat="1" applyFont="1" applyFill="1" applyBorder="1"/>
    <xf numFmtId="165" fontId="70" fillId="14" borderId="13" xfId="48" applyAlignment="1">
      <alignment vertical="center"/>
    </xf>
    <xf numFmtId="165" fontId="70" fillId="14" borderId="13" xfId="50" quotePrefix="1" applyAlignment="1">
      <alignment horizontal="center"/>
    </xf>
    <xf numFmtId="165" fontId="70" fillId="14" borderId="13" xfId="50" applyAlignment="1">
      <alignment horizontal="center"/>
    </xf>
    <xf numFmtId="168" fontId="17" fillId="4" borderId="13" xfId="45" applyAlignment="1">
      <alignment horizontal="right" vertical="center"/>
    </xf>
    <xf numFmtId="165" fontId="70" fillId="13" borderId="13" xfId="49" quotePrefix="1" applyAlignment="1">
      <alignment horizontal="left" vertical="center"/>
    </xf>
    <xf numFmtId="168" fontId="70" fillId="13" borderId="13" xfId="51" applyAlignment="1">
      <alignment horizontal="right" vertical="center"/>
    </xf>
    <xf numFmtId="165" fontId="48" fillId="4" borderId="13" xfId="54" quotePrefix="1" applyAlignment="1">
      <alignment horizontal="left" vertical="center"/>
    </xf>
    <xf numFmtId="165" fontId="49" fillId="5" borderId="13" xfId="56" quotePrefix="1" applyAlignment="1">
      <alignment horizontal="left" vertical="center"/>
    </xf>
    <xf numFmtId="165" fontId="46" fillId="6" borderId="13" xfId="53" applyAlignment="1">
      <alignment horizontal="center"/>
    </xf>
    <xf numFmtId="165" fontId="48" fillId="4" borderId="13" xfId="54" applyAlignment="1">
      <alignment horizontal="left" vertical="center"/>
    </xf>
    <xf numFmtId="168" fontId="47" fillId="4" borderId="13" xfId="55" applyAlignment="1">
      <alignment horizontal="right" vertical="center"/>
    </xf>
    <xf numFmtId="10" fontId="47" fillId="4" borderId="13" xfId="24" applyAlignment="1">
      <alignment horizontal="right" vertical="center"/>
    </xf>
    <xf numFmtId="168" fontId="45" fillId="5" borderId="13" xfId="57" applyAlignment="1">
      <alignment horizontal="right" vertical="center"/>
    </xf>
    <xf numFmtId="10" fontId="45" fillId="5" borderId="13" xfId="58" applyAlignment="1">
      <alignment horizontal="right" vertical="center"/>
    </xf>
    <xf numFmtId="165" fontId="46" fillId="6" borderId="13" xfId="53" quotePrefix="1" applyAlignment="1">
      <alignment horizontal="center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6" fillId="4" borderId="22" xfId="42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5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DFA7A3"/>
      <color rgb="FF000000"/>
      <color rgb="FFED7D31"/>
      <color rgb="FF004563"/>
      <color rgb="FFDAACA8"/>
      <color rgb="FFD6AD84"/>
      <color rgb="FFF5F5F5"/>
      <color rgb="FFD6A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8536585365853647"/>
                  <c:y val="9.9346405228757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8.4552845528455281E-2"/>
                  <c:y val="0.1556304873655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6991869918699185"/>
                  <c:y val="0.156862745098039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1788617886178865"/>
                  <c:y val="-2.09150326797385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3.1025659825359879</c:v>
                </c:pt>
                <c:pt idx="1">
                  <c:v>6.6284030263083267</c:v>
                </c:pt>
                <c:pt idx="2">
                  <c:v>3.2809351215781941</c:v>
                </c:pt>
                <c:pt idx="3">
                  <c:v>22.874690750231625</c:v>
                </c:pt>
                <c:pt idx="4">
                  <c:v>5.2087350860900248</c:v>
                </c:pt>
                <c:pt idx="5">
                  <c:v>7.4039141385486892E-3</c:v>
                </c:pt>
                <c:pt idx="6">
                  <c:v>0.37473723992072161</c:v>
                </c:pt>
                <c:pt idx="7">
                  <c:v>0.12258600104048019</c:v>
                </c:pt>
                <c:pt idx="8">
                  <c:v>25.728576951742898</c:v>
                </c:pt>
                <c:pt idx="9">
                  <c:v>15.918511350744296</c:v>
                </c:pt>
                <c:pt idx="10">
                  <c:v>13.594919422405974</c:v>
                </c:pt>
                <c:pt idx="11">
                  <c:v>2.1457502422767267</c:v>
                </c:pt>
                <c:pt idx="12">
                  <c:v>1.0121849109861958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1788617886178863"/>
                  <c:y val="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5609756097560976"/>
                  <c:y val="6.37254901960783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6260162601626016"/>
                  <c:y val="5.771113169677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8.4552845528455225E-2"/>
                  <c:y val="0.166982013277752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1707317073170735"/>
                  <c:y val="0.168500077196232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1788617886178863"/>
                  <c:y val="4.607874015747939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7560975609756097"/>
                  <c:y val="-5.19606299212598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886178861788618"/>
                  <c:y val="-1.0784251968503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0.93237452316769953</c:v>
                </c:pt>
                <c:pt idx="1">
                  <c:v>21.846923233891253</c:v>
                </c:pt>
                <c:pt idx="2">
                  <c:v>3.075124054715487</c:v>
                </c:pt>
                <c:pt idx="3">
                  <c:v>22.491263466820151</c:v>
                </c:pt>
                <c:pt idx="4">
                  <c:v>9.3918831622650067</c:v>
                </c:pt>
                <c:pt idx="5">
                  <c:v>0.69049102946843444</c:v>
                </c:pt>
                <c:pt idx="6">
                  <c:v>0.29849381524145496</c:v>
                </c:pt>
                <c:pt idx="7">
                  <c:v>23.162460952408491</c:v>
                </c:pt>
                <c:pt idx="8">
                  <c:v>8.9590795415729421</c:v>
                </c:pt>
                <c:pt idx="9">
                  <c:v>6.5585393597555832</c:v>
                </c:pt>
                <c:pt idx="10">
                  <c:v>0.73960260215361595</c:v>
                </c:pt>
                <c:pt idx="11">
                  <c:v>1.8537642585398746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41.477471120803429</c:v>
                </c:pt>
                <c:pt idx="1">
                  <c:v>58.522528879196571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4.9672965879265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1.04572178477689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58.428059470328023</c:v>
                </c:pt>
                <c:pt idx="1">
                  <c:v>41.571940529671963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09/01/2022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0731707317073176"/>
                  <c:y val="0.1265625884647242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40650406504065"/>
                  <c:y val="-6.313513740209904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35.777739587479473</c:v>
                </c:pt>
                <c:pt idx="1">
                  <c:v>64.222260412520512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9512195121951206"/>
                  <c:y val="-8.236982141938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22439024390243903"/>
                  <c:y val="-1.08474789519485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8861788617886166"/>
                  <c:y val="3.61139478071233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6480020485244223"/>
                  <c:y val="0.107774411021525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4637244734652072"/>
                  <c:y val="9.84618933285801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3348646053389668"/>
                  <c:y val="0.154635603971607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6.1788617886178863E-2"/>
                  <c:y val="0.304228063369575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634146341463414"/>
                  <c:y val="6.7973856209150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0.118231849240040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1547506561679791"/>
                  <c:y val="7.61093633171313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463414634146341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1.7525239657710672</c:v>
                </c:pt>
                <c:pt idx="1">
                  <c:v>19.166822242662789</c:v>
                </c:pt>
                <c:pt idx="2">
                  <c:v>2.9681592145383142</c:v>
                </c:pt>
                <c:pt idx="3">
                  <c:v>4.1258563201319554</c:v>
                </c:pt>
                <c:pt idx="4">
                  <c:v>7.1221242045945656</c:v>
                </c:pt>
                <c:pt idx="5">
                  <c:v>0.64225363978078231</c:v>
                </c:pt>
                <c:pt idx="6">
                  <c:v>0.30475383297780534</c:v>
                </c:pt>
                <c:pt idx="7">
                  <c:v>50.472066154559926</c:v>
                </c:pt>
                <c:pt idx="8">
                  <c:v>6.1095130711342573</c:v>
                </c:pt>
                <c:pt idx="9">
                  <c:v>4.9702136425389041</c:v>
                </c:pt>
                <c:pt idx="10">
                  <c:v>0.5553108596958598</c:v>
                </c:pt>
                <c:pt idx="11">
                  <c:v>1.8104028516137707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29.007088399669264</c:v>
                </c:pt>
                <c:pt idx="1">
                  <c:v>71.052526729891142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7317073170731709"/>
                  <c:y val="2.3513766661520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20206312015876052"/>
                  <c:y val="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6.193793422880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16"/>
                  <c:y val="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63485564304461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2.2764227642276303E-2"/>
                  <c:y val="0.31401904173742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6422764227642275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0.69281446720541429</c:v>
                </c:pt>
                <c:pt idx="1">
                  <c:v>17.394750463402886</c:v>
                </c:pt>
                <c:pt idx="2">
                  <c:v>0</c:v>
                </c:pt>
                <c:pt idx="3">
                  <c:v>2.8864133784140313</c:v>
                </c:pt>
                <c:pt idx="4">
                  <c:v>7.3710771239051773</c:v>
                </c:pt>
                <c:pt idx="5">
                  <c:v>0.66203296674175549</c:v>
                </c:pt>
                <c:pt idx="6">
                  <c:v>0.22786352459990888</c:v>
                </c:pt>
                <c:pt idx="7">
                  <c:v>49.405385372253484</c:v>
                </c:pt>
                <c:pt idx="8">
                  <c:v>15.776526304881578</c:v>
                </c:pt>
                <c:pt idx="9">
                  <c:v>3.6823839746229123</c:v>
                </c:pt>
                <c:pt idx="10">
                  <c:v>0.17163179294792341</c:v>
                </c:pt>
                <c:pt idx="11">
                  <c:v>1.7887357605853444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53.437336469018277</c:v>
                </c:pt>
                <c:pt idx="1">
                  <c:v>60.455154712827422</c:v>
                </c:pt>
                <c:pt idx="2">
                  <c:v>55.159540825462877</c:v>
                </c:pt>
                <c:pt idx="3">
                  <c:v>48.127390235641286</c:v>
                </c:pt>
                <c:pt idx="4">
                  <c:v>52.25625185139927</c:v>
                </c:pt>
                <c:pt idx="5">
                  <c:v>48.253586845434484</c:v>
                </c:pt>
                <c:pt idx="6">
                  <c:v>47.979775893671409</c:v>
                </c:pt>
                <c:pt idx="7">
                  <c:v>44.318584500795225</c:v>
                </c:pt>
                <c:pt idx="8">
                  <c:v>37.599031362701837</c:v>
                </c:pt>
                <c:pt idx="9">
                  <c:v>40.132811026463266</c:v>
                </c:pt>
                <c:pt idx="10">
                  <c:v>43.387775090161291</c:v>
                </c:pt>
                <c:pt idx="11">
                  <c:v>48.161810988684891</c:v>
                </c:pt>
                <c:pt idx="12">
                  <c:v>41.571940529671963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46.562663530981737</c:v>
                </c:pt>
                <c:pt idx="1">
                  <c:v>39.544845287172592</c:v>
                </c:pt>
                <c:pt idx="2">
                  <c:v>44.840459174537123</c:v>
                </c:pt>
                <c:pt idx="3">
                  <c:v>51.872609764358721</c:v>
                </c:pt>
                <c:pt idx="4">
                  <c:v>47.74374814860073</c:v>
                </c:pt>
                <c:pt idx="5">
                  <c:v>51.746413154565516</c:v>
                </c:pt>
                <c:pt idx="6">
                  <c:v>52.020224106328591</c:v>
                </c:pt>
                <c:pt idx="7">
                  <c:v>55.681415499204775</c:v>
                </c:pt>
                <c:pt idx="8">
                  <c:v>62.400968637298163</c:v>
                </c:pt>
                <c:pt idx="9">
                  <c:v>59.867188973536734</c:v>
                </c:pt>
                <c:pt idx="10">
                  <c:v>56.612224909838709</c:v>
                </c:pt>
                <c:pt idx="11">
                  <c:v>51.838189011315109</c:v>
                </c:pt>
                <c:pt idx="12">
                  <c:v>58.428059470328037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Dat_01!$C$262:$O$262</c:f>
              <c:numCache>
                <c:formatCode>#,##0.000;\(#,##0.000\)</c:formatCode>
                <c:ptCount val="13"/>
                <c:pt idx="0">
                  <c:v>2306127.4582000002</c:v>
                </c:pt>
                <c:pt idx="1">
                  <c:v>1315870.77085</c:v>
                </c:pt>
                <c:pt idx="2">
                  <c:v>1739861.70484</c:v>
                </c:pt>
                <c:pt idx="3">
                  <c:v>2187488.2014100002</c:v>
                </c:pt>
                <c:pt idx="4">
                  <c:v>1942168.5360699999</c:v>
                </c:pt>
                <c:pt idx="5">
                  <c:v>2449404.6848599999</c:v>
                </c:pt>
                <c:pt idx="6">
                  <c:v>2319333.4803900002</c:v>
                </c:pt>
                <c:pt idx="7">
                  <c:v>2398339.19417</c:v>
                </c:pt>
                <c:pt idx="8">
                  <c:v>2924350.6090500001</c:v>
                </c:pt>
                <c:pt idx="9">
                  <c:v>2782282.6187200001</c:v>
                </c:pt>
                <c:pt idx="10">
                  <c:v>3543357.9757699999</c:v>
                </c:pt>
                <c:pt idx="11">
                  <c:v>3229651.52764</c:v>
                </c:pt>
                <c:pt idx="12">
                  <c:v>3459723.0011100001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77.141958994377234</c:v>
                </c:pt>
                <c:pt idx="1">
                  <c:v>83.926416021817928</c:v>
                </c:pt>
                <c:pt idx="2">
                  <c:v>79.588531798235365</c:v>
                </c:pt>
                <c:pt idx="3">
                  <c:v>71.05012850593863</c:v>
                </c:pt>
                <c:pt idx="4">
                  <c:v>75.874523667506494</c:v>
                </c:pt>
                <c:pt idx="5">
                  <c:v>68.423827653264397</c:v>
                </c:pt>
                <c:pt idx="6">
                  <c:v>72.746359502668568</c:v>
                </c:pt>
                <c:pt idx="7">
                  <c:v>70.588571229495045</c:v>
                </c:pt>
                <c:pt idx="8">
                  <c:v>63.408053943243608</c:v>
                </c:pt>
                <c:pt idx="9">
                  <c:v>65.766399752549745</c:v>
                </c:pt>
                <c:pt idx="10">
                  <c:v>60.60863141858048</c:v>
                </c:pt>
                <c:pt idx="11">
                  <c:v>66.634169897504265</c:v>
                </c:pt>
                <c:pt idx="12">
                  <c:v>64.351238286730919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22.858041005622777</c:v>
                </c:pt>
                <c:pt idx="1">
                  <c:v>16.073583978182082</c:v>
                </c:pt>
                <c:pt idx="2">
                  <c:v>20.411468201764649</c:v>
                </c:pt>
                <c:pt idx="3">
                  <c:v>28.94987149406137</c:v>
                </c:pt>
                <c:pt idx="4">
                  <c:v>24.125476332493488</c:v>
                </c:pt>
                <c:pt idx="5">
                  <c:v>31.576172346735621</c:v>
                </c:pt>
                <c:pt idx="6">
                  <c:v>27.253640497331439</c:v>
                </c:pt>
                <c:pt idx="7">
                  <c:v>29.411428770504962</c:v>
                </c:pt>
                <c:pt idx="8">
                  <c:v>36.591946056756392</c:v>
                </c:pt>
                <c:pt idx="9">
                  <c:v>34.233600247450234</c:v>
                </c:pt>
                <c:pt idx="10">
                  <c:v>39.391368581419542</c:v>
                </c:pt>
                <c:pt idx="11">
                  <c:v>33.365830102495735</c:v>
                </c:pt>
                <c:pt idx="12">
                  <c:v>35.648761713269081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4057.0491571819998</c:v>
                </c:pt>
                <c:pt idx="1">
                  <c:v>4517.3439469479999</c:v>
                </c:pt>
                <c:pt idx="2">
                  <c:v>3713.6790790800001</c:v>
                </c:pt>
                <c:pt idx="3">
                  <c:v>2742.5670331319998</c:v>
                </c:pt>
                <c:pt idx="4">
                  <c:v>2156.7115169600002</c:v>
                </c:pt>
                <c:pt idx="5">
                  <c:v>2179.4227844279999</c:v>
                </c:pt>
                <c:pt idx="6">
                  <c:v>2206.5567297779999</c:v>
                </c:pt>
                <c:pt idx="7">
                  <c:v>1879.983812162</c:v>
                </c:pt>
                <c:pt idx="8">
                  <c:v>1393.78333174</c:v>
                </c:pt>
                <c:pt idx="9">
                  <c:v>1020.47985714</c:v>
                </c:pt>
                <c:pt idx="10">
                  <c:v>1192.550182512</c:v>
                </c:pt>
                <c:pt idx="11">
                  <c:v>2518.7959635040002</c:v>
                </c:pt>
                <c:pt idx="12">
                  <c:v>2070.2394339440002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7019.2756399999998</c:v>
                </c:pt>
                <c:pt idx="1">
                  <c:v>6236.045451</c:v>
                </c:pt>
                <c:pt idx="2">
                  <c:v>5521.6130549999998</c:v>
                </c:pt>
                <c:pt idx="3">
                  <c:v>4041.8016459999999</c:v>
                </c:pt>
                <c:pt idx="4">
                  <c:v>4620.8358829999997</c:v>
                </c:pt>
                <c:pt idx="5">
                  <c:v>3533.4356429999998</c:v>
                </c:pt>
                <c:pt idx="6">
                  <c:v>4121.6008309999997</c:v>
                </c:pt>
                <c:pt idx="7">
                  <c:v>3597.0922369999998</c:v>
                </c:pt>
                <c:pt idx="8">
                  <c:v>3123.0617010000001</c:v>
                </c:pt>
                <c:pt idx="9">
                  <c:v>4229.363085</c:v>
                </c:pt>
                <c:pt idx="10">
                  <c:v>6318.0829219999996</c:v>
                </c:pt>
                <c:pt idx="11">
                  <c:v>6812.815904</c:v>
                </c:pt>
                <c:pt idx="12">
                  <c:v>5352.3177050000004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823.15754800000002</c:v>
                </c:pt>
                <c:pt idx="1">
                  <c:v>946.13011200000005</c:v>
                </c:pt>
                <c:pt idx="2">
                  <c:v>1649.2322059999999</c:v>
                </c:pt>
                <c:pt idx="3">
                  <c:v>1626.286437</c:v>
                </c:pt>
                <c:pt idx="4">
                  <c:v>2337.876855</c:v>
                </c:pt>
                <c:pt idx="5">
                  <c:v>2276.176676</c:v>
                </c:pt>
                <c:pt idx="6">
                  <c:v>2563.3711840000001</c:v>
                </c:pt>
                <c:pt idx="7">
                  <c:v>2342.001773</c:v>
                </c:pt>
                <c:pt idx="8">
                  <c:v>1881.418173</c:v>
                </c:pt>
                <c:pt idx="9">
                  <c:v>1726.4504890000001</c:v>
                </c:pt>
                <c:pt idx="10">
                  <c:v>1304.1826659999999</c:v>
                </c:pt>
                <c:pt idx="11">
                  <c:v>988.84680000000003</c:v>
                </c:pt>
                <c:pt idx="12">
                  <c:v>1515.5292179999999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102.634029</c:v>
                </c:pt>
                <c:pt idx="1">
                  <c:v>138.18132700000001</c:v>
                </c:pt>
                <c:pt idx="2">
                  <c:v>355.01542699999999</c:v>
                </c:pt>
                <c:pt idx="3">
                  <c:v>266.78751899999997</c:v>
                </c:pt>
                <c:pt idx="4">
                  <c:v>645.59745699999996</c:v>
                </c:pt>
                <c:pt idx="5">
                  <c:v>655.36365000000001</c:v>
                </c:pt>
                <c:pt idx="6">
                  <c:v>828.49249399999997</c:v>
                </c:pt>
                <c:pt idx="7">
                  <c:v>661.44510200000002</c:v>
                </c:pt>
                <c:pt idx="8">
                  <c:v>447.44465700000001</c:v>
                </c:pt>
                <c:pt idx="9">
                  <c:v>328.14902799999999</c:v>
                </c:pt>
                <c:pt idx="10">
                  <c:v>172.42607599999999</c:v>
                </c:pt>
                <c:pt idx="11">
                  <c:v>103.956001</c:v>
                </c:pt>
                <c:pt idx="12">
                  <c:v>170.90533300000001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390.17391600000002</c:v>
                </c:pt>
                <c:pt idx="1">
                  <c:v>364.41521899999998</c:v>
                </c:pt>
                <c:pt idx="2">
                  <c:v>358.41619500000002</c:v>
                </c:pt>
                <c:pt idx="3">
                  <c:v>391.394882</c:v>
                </c:pt>
                <c:pt idx="4">
                  <c:v>390.09045800000001</c:v>
                </c:pt>
                <c:pt idx="5">
                  <c:v>357.15935500000001</c:v>
                </c:pt>
                <c:pt idx="6">
                  <c:v>351.79724199999998</c:v>
                </c:pt>
                <c:pt idx="7">
                  <c:v>409.84376200000003</c:v>
                </c:pt>
                <c:pt idx="8">
                  <c:v>395.48078299999997</c:v>
                </c:pt>
                <c:pt idx="9">
                  <c:v>431.37135699999999</c:v>
                </c:pt>
                <c:pt idx="10">
                  <c:v>433.10227200000003</c:v>
                </c:pt>
                <c:pt idx="11">
                  <c:v>434.32822099999998</c:v>
                </c:pt>
                <c:pt idx="12">
                  <c:v>428.36274100000003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52.060037999999999</c:v>
                </c:pt>
                <c:pt idx="1">
                  <c:v>57.768275000000003</c:v>
                </c:pt>
                <c:pt idx="2">
                  <c:v>61.963368000000003</c:v>
                </c:pt>
                <c:pt idx="3">
                  <c:v>66.322567500000005</c:v>
                </c:pt>
                <c:pt idx="4">
                  <c:v>53.009402999999999</c:v>
                </c:pt>
                <c:pt idx="5">
                  <c:v>65.533088500000005</c:v>
                </c:pt>
                <c:pt idx="6">
                  <c:v>70.069195500000006</c:v>
                </c:pt>
                <c:pt idx="7">
                  <c:v>67.951940500000006</c:v>
                </c:pt>
                <c:pt idx="8">
                  <c:v>55.639892500000002</c:v>
                </c:pt>
                <c:pt idx="9">
                  <c:v>61.837724000000001</c:v>
                </c:pt>
                <c:pt idx="10">
                  <c:v>65.901263499999999</c:v>
                </c:pt>
                <c:pt idx="11">
                  <c:v>72.807829999999996</c:v>
                </c:pt>
                <c:pt idx="12">
                  <c:v>68.975128999999995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320.531387408</c:v>
                </c:pt>
                <c:pt idx="1">
                  <c:v>401.29321896599998</c:v>
                </c:pt>
                <c:pt idx="2">
                  <c:v>330.79456254199999</c:v>
                </c:pt>
                <c:pt idx="3">
                  <c:v>153.67971897199999</c:v>
                </c:pt>
                <c:pt idx="4">
                  <c:v>238.70894406400001</c:v>
                </c:pt>
                <c:pt idx="5">
                  <c:v>105.70565758799999</c:v>
                </c:pt>
                <c:pt idx="6">
                  <c:v>115.791574032</c:v>
                </c:pt>
                <c:pt idx="7">
                  <c:v>159.80881627400001</c:v>
                </c:pt>
                <c:pt idx="8">
                  <c:v>118.239862456</c:v>
                </c:pt>
                <c:pt idx="9">
                  <c:v>232.11320922199999</c:v>
                </c:pt>
                <c:pt idx="10">
                  <c:v>202.78682990199999</c:v>
                </c:pt>
                <c:pt idx="11">
                  <c:v>269.90862404000001</c:v>
                </c:pt>
                <c:pt idx="12">
                  <c:v>215.45053776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5199.7405159999998</c:v>
                </c:pt>
                <c:pt idx="1">
                  <c:v>4358.5151070000002</c:v>
                </c:pt>
                <c:pt idx="2">
                  <c:v>4833.1364599999997</c:v>
                </c:pt>
                <c:pt idx="3">
                  <c:v>4197.3329299999996</c:v>
                </c:pt>
                <c:pt idx="4">
                  <c:v>4373.2505520000004</c:v>
                </c:pt>
                <c:pt idx="5">
                  <c:v>3684.3838430000001</c:v>
                </c:pt>
                <c:pt idx="6">
                  <c:v>5119.3289409999998</c:v>
                </c:pt>
                <c:pt idx="7">
                  <c:v>5150.2640140000003</c:v>
                </c:pt>
                <c:pt idx="8">
                  <c:v>4890.5065249999998</c:v>
                </c:pt>
                <c:pt idx="9">
                  <c:v>4748.3949460000003</c:v>
                </c:pt>
                <c:pt idx="10">
                  <c:v>3562.3582710000001</c:v>
                </c:pt>
                <c:pt idx="11">
                  <c:v>3922.864118</c:v>
                </c:pt>
                <c:pt idx="12">
                  <c:v>5048.3268710000002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558.50496999999996</c:v>
                </c:pt>
                <c:pt idx="1">
                  <c:v>176.80514199999999</c:v>
                </c:pt>
                <c:pt idx="2">
                  <c:v>242.90612300000001</c:v>
                </c:pt>
                <c:pt idx="3">
                  <c:v>270.94085699999999</c:v>
                </c:pt>
                <c:pt idx="4">
                  <c:v>333.46752600000002</c:v>
                </c:pt>
                <c:pt idx="5">
                  <c:v>431.99096700000001</c:v>
                </c:pt>
                <c:pt idx="6">
                  <c:v>302.41718100000003</c:v>
                </c:pt>
                <c:pt idx="7">
                  <c:v>320.34443199999998</c:v>
                </c:pt>
                <c:pt idx="8">
                  <c:v>477.92579699999999</c:v>
                </c:pt>
                <c:pt idx="9">
                  <c:v>528.18759499999999</c:v>
                </c:pt>
                <c:pt idx="10">
                  <c:v>577.43674399999998</c:v>
                </c:pt>
                <c:pt idx="11">
                  <c:v>721.09479699999997</c:v>
                </c:pt>
                <c:pt idx="12">
                  <c:v>710.59119999999996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2188.3044850000001</c:v>
                </c:pt>
                <c:pt idx="1">
                  <c:v>1086.83896</c:v>
                </c:pt>
                <c:pt idx="2">
                  <c:v>1649.4189409999999</c:v>
                </c:pt>
                <c:pt idx="3">
                  <c:v>2864.730763</c:v>
                </c:pt>
                <c:pt idx="4">
                  <c:v>2004.776314</c:v>
                </c:pt>
                <c:pt idx="5">
                  <c:v>3136.247484</c:v>
                </c:pt>
                <c:pt idx="6">
                  <c:v>3024.7339200000001</c:v>
                </c:pt>
                <c:pt idx="7">
                  <c:v>3325.1444550000001</c:v>
                </c:pt>
                <c:pt idx="8">
                  <c:v>4296.9849320000003</c:v>
                </c:pt>
                <c:pt idx="9">
                  <c:v>3806.1083130000002</c:v>
                </c:pt>
                <c:pt idx="10">
                  <c:v>5697.6167089999999</c:v>
                </c:pt>
                <c:pt idx="11">
                  <c:v>4500.3505590000004</c:v>
                </c:pt>
                <c:pt idx="12">
                  <c:v>5197.2192379999997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2401.1708629999998</c:v>
                </c:pt>
                <c:pt idx="1">
                  <c:v>1834.5240309999999</c:v>
                </c:pt>
                <c:pt idx="2">
                  <c:v>2248.6531970000001</c:v>
                </c:pt>
                <c:pt idx="3">
                  <c:v>2189.3046859999999</c:v>
                </c:pt>
                <c:pt idx="4">
                  <c:v>2202.0104940000001</c:v>
                </c:pt>
                <c:pt idx="5">
                  <c:v>2182.4178189999998</c:v>
                </c:pt>
                <c:pt idx="6">
                  <c:v>2240.5457550000001</c:v>
                </c:pt>
                <c:pt idx="7">
                  <c:v>2101.175643</c:v>
                </c:pt>
                <c:pt idx="8">
                  <c:v>2159.0921499999999</c:v>
                </c:pt>
                <c:pt idx="9">
                  <c:v>2138.1116240000001</c:v>
                </c:pt>
                <c:pt idx="10">
                  <c:v>2172.6161619999998</c:v>
                </c:pt>
                <c:pt idx="11">
                  <c:v>2179.9598230000001</c:v>
                </c:pt>
                <c:pt idx="12">
                  <c:v>2170.2505030000002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175.14184499999999</c:v>
                </c:pt>
                <c:pt idx="1">
                  <c:v>161.44275200000001</c:v>
                </c:pt>
                <c:pt idx="2">
                  <c:v>173.707269</c:v>
                </c:pt>
                <c:pt idx="3">
                  <c:v>170.05904150000001</c:v>
                </c:pt>
                <c:pt idx="4">
                  <c:v>170.74740800000001</c:v>
                </c:pt>
                <c:pt idx="5">
                  <c:v>182.66502349999999</c:v>
                </c:pt>
                <c:pt idx="6">
                  <c:v>193.1337345</c:v>
                </c:pt>
                <c:pt idx="7">
                  <c:v>198.4023795</c:v>
                </c:pt>
                <c:pt idx="8">
                  <c:v>167.38102850000001</c:v>
                </c:pt>
                <c:pt idx="9">
                  <c:v>179.049938</c:v>
                </c:pt>
                <c:pt idx="10">
                  <c:v>164.8067685</c:v>
                </c:pt>
                <c:pt idx="11">
                  <c:v>171.82050699999999</c:v>
                </c:pt>
                <c:pt idx="12">
                  <c:v>159.55676600000001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139.41063399999999</c:v>
                </c:pt>
                <c:pt idx="1">
                  <c:v>103.22410799999999</c:v>
                </c:pt>
                <c:pt idx="2">
                  <c:v>151.45857500000002</c:v>
                </c:pt>
                <c:pt idx="3">
                  <c:v>302.57981100000001</c:v>
                </c:pt>
                <c:pt idx="4">
                  <c:v>288.11639100000002</c:v>
                </c:pt>
                <c:pt idx="5">
                  <c:v>195.94681899999998</c:v>
                </c:pt>
                <c:pt idx="6">
                  <c:v>208.094853</c:v>
                </c:pt>
                <c:pt idx="7">
                  <c:v>261.84683200000001</c:v>
                </c:pt>
                <c:pt idx="8">
                  <c:v>392.653907</c:v>
                </c:pt>
                <c:pt idx="9">
                  <c:v>306.26218699999998</c:v>
                </c:pt>
                <c:pt idx="10">
                  <c:v>243.33495199999999</c:v>
                </c:pt>
                <c:pt idx="11">
                  <c:v>262.76924200000002</c:v>
                </c:pt>
                <c:pt idx="12">
                  <c:v>128.97747000000001</c:v>
                </c:pt>
                <c:pt idx="13">
                  <c:v>84.028486999999998</c:v>
                </c:pt>
                <c:pt idx="14">
                  <c:v>62.010108000000002</c:v>
                </c:pt>
                <c:pt idx="15">
                  <c:v>64.099561000000008</c:v>
                </c:pt>
                <c:pt idx="16">
                  <c:v>76.092447000000007</c:v>
                </c:pt>
                <c:pt idx="17">
                  <c:v>50.593656000000003</c:v>
                </c:pt>
                <c:pt idx="18">
                  <c:v>95.962306999999996</c:v>
                </c:pt>
                <c:pt idx="19">
                  <c:v>208.363843</c:v>
                </c:pt>
                <c:pt idx="20">
                  <c:v>307.49030300000004</c:v>
                </c:pt>
                <c:pt idx="21">
                  <c:v>174.685461</c:v>
                </c:pt>
                <c:pt idx="22">
                  <c:v>95.040397999999996</c:v>
                </c:pt>
                <c:pt idx="23">
                  <c:v>82.144214000000005</c:v>
                </c:pt>
                <c:pt idx="24">
                  <c:v>99.789788000000001</c:v>
                </c:pt>
                <c:pt idx="25">
                  <c:v>122.86361100000001</c:v>
                </c:pt>
                <c:pt idx="26">
                  <c:v>134.06142199999999</c:v>
                </c:pt>
                <c:pt idx="27">
                  <c:v>212.922698</c:v>
                </c:pt>
                <c:pt idx="28">
                  <c:v>114.510508</c:v>
                </c:pt>
                <c:pt idx="29">
                  <c:v>91.924535999999989</c:v>
                </c:pt>
                <c:pt idx="30">
                  <c:v>291.05857600000002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26.558100422750574</c:v>
                </c:pt>
                <c:pt idx="1">
                  <c:v>18.805347010531062</c:v>
                </c:pt>
                <c:pt idx="2">
                  <c:v>23.991953079088209</c:v>
                </c:pt>
                <c:pt idx="3">
                  <c:v>41.800087672501903</c:v>
                </c:pt>
                <c:pt idx="4">
                  <c:v>39.516072661553906</c:v>
                </c:pt>
                <c:pt idx="5">
                  <c:v>29.949975269337354</c:v>
                </c:pt>
                <c:pt idx="6">
                  <c:v>29.221460081025668</c:v>
                </c:pt>
                <c:pt idx="7">
                  <c:v>39.002527112518052</c:v>
                </c:pt>
                <c:pt idx="8">
                  <c:v>50.472066154559933</c:v>
                </c:pt>
                <c:pt idx="9">
                  <c:v>37.163557229798997</c:v>
                </c:pt>
                <c:pt idx="10">
                  <c:v>30.28958416106089</c:v>
                </c:pt>
                <c:pt idx="11">
                  <c:v>31.735936751671328</c:v>
                </c:pt>
                <c:pt idx="12">
                  <c:v>16.059967374360106</c:v>
                </c:pt>
                <c:pt idx="13">
                  <c:v>10.418536003857932</c:v>
                </c:pt>
                <c:pt idx="14">
                  <c:v>9.0930692733217278</c:v>
                </c:pt>
                <c:pt idx="15">
                  <c:v>9.7357595041744993</c:v>
                </c:pt>
                <c:pt idx="16">
                  <c:v>9.5679095346114131</c:v>
                </c:pt>
                <c:pt idx="17">
                  <c:v>6.1041602740302761</c:v>
                </c:pt>
                <c:pt idx="18">
                  <c:v>11.591900111536521</c:v>
                </c:pt>
                <c:pt idx="19">
                  <c:v>24.657513474554595</c:v>
                </c:pt>
                <c:pt idx="20">
                  <c:v>35.978536059581657</c:v>
                </c:pt>
                <c:pt idx="21">
                  <c:v>23.360942483702111</c:v>
                </c:pt>
                <c:pt idx="22">
                  <c:v>13.942641056968766</c:v>
                </c:pt>
                <c:pt idx="23">
                  <c:v>10.099304977873185</c:v>
                </c:pt>
                <c:pt idx="24">
                  <c:v>12.139189437498848</c:v>
                </c:pt>
                <c:pt idx="25">
                  <c:v>14.745606270322483</c:v>
                </c:pt>
                <c:pt idx="26">
                  <c:v>16.411597811881006</c:v>
                </c:pt>
                <c:pt idx="27">
                  <c:v>26.925058248063159</c:v>
                </c:pt>
                <c:pt idx="28">
                  <c:v>17.596331091349008</c:v>
                </c:pt>
                <c:pt idx="29">
                  <c:v>14.493488361691384</c:v>
                </c:pt>
                <c:pt idx="30">
                  <c:v>37.024420611250918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E</c:v>
                  </c:pt>
                  <c:pt idx="45">
                    <c:v>F</c:v>
                  </c:pt>
                  <c:pt idx="73">
                    <c:v>M</c:v>
                  </c:pt>
                  <c:pt idx="104">
                    <c:v>A</c:v>
                  </c:pt>
                  <c:pt idx="134">
                    <c:v>M</c:v>
                  </c:pt>
                  <c:pt idx="165">
                    <c:v>J</c:v>
                  </c:pt>
                  <c:pt idx="195">
                    <c:v>J</c:v>
                  </c:pt>
                  <c:pt idx="226">
                    <c:v>A</c:v>
                  </c:pt>
                  <c:pt idx="257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</c:lvl>
                <c:lvl>
                  <c:pt idx="0">
                    <c:v>2021</c:v>
                  </c:pt>
                  <c:pt idx="365">
                    <c:v>2022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236.95572000000001</c:v>
                </c:pt>
                <c:pt idx="1">
                  <c:v>270.51859300000001</c:v>
                </c:pt>
                <c:pt idx="2">
                  <c:v>222.26715399999998</c:v>
                </c:pt>
                <c:pt idx="3">
                  <c:v>127.92596</c:v>
                </c:pt>
                <c:pt idx="4">
                  <c:v>68.985138000000006</c:v>
                </c:pt>
                <c:pt idx="5">
                  <c:v>67.590626</c:v>
                </c:pt>
                <c:pt idx="6">
                  <c:v>99.150615999999999</c:v>
                </c:pt>
                <c:pt idx="7">
                  <c:v>224.30962199999999</c:v>
                </c:pt>
                <c:pt idx="8">
                  <c:v>243.93439799999999</c:v>
                </c:pt>
                <c:pt idx="9">
                  <c:v>254.30915300000001</c:v>
                </c:pt>
                <c:pt idx="10">
                  <c:v>237.59064299999997</c:v>
                </c:pt>
                <c:pt idx="11">
                  <c:v>164.969347</c:v>
                </c:pt>
                <c:pt idx="12">
                  <c:v>170.91346600000003</c:v>
                </c:pt>
                <c:pt idx="13">
                  <c:v>209.658342</c:v>
                </c:pt>
                <c:pt idx="14">
                  <c:v>217.45799000000002</c:v>
                </c:pt>
                <c:pt idx="15">
                  <c:v>170.35610800000001</c:v>
                </c:pt>
                <c:pt idx="16">
                  <c:v>155.22302999999999</c:v>
                </c:pt>
                <c:pt idx="17">
                  <c:v>56.478533000000006</c:v>
                </c:pt>
                <c:pt idx="18">
                  <c:v>144.09847200000002</c:v>
                </c:pt>
                <c:pt idx="19">
                  <c:v>328.49757499999998</c:v>
                </c:pt>
                <c:pt idx="20">
                  <c:v>385.38604499999997</c:v>
                </c:pt>
                <c:pt idx="21">
                  <c:v>388.95974000000001</c:v>
                </c:pt>
                <c:pt idx="22">
                  <c:v>411.20967400000001</c:v>
                </c:pt>
                <c:pt idx="23">
                  <c:v>347.06242700000001</c:v>
                </c:pt>
                <c:pt idx="24">
                  <c:v>274.75030799999996</c:v>
                </c:pt>
                <c:pt idx="25">
                  <c:v>151.71598999999998</c:v>
                </c:pt>
                <c:pt idx="26">
                  <c:v>219.35983599999997</c:v>
                </c:pt>
                <c:pt idx="27">
                  <c:v>231.328667</c:v>
                </c:pt>
                <c:pt idx="28">
                  <c:v>257.01101800000004</c:v>
                </c:pt>
                <c:pt idx="29">
                  <c:v>379.30464200000006</c:v>
                </c:pt>
                <c:pt idx="30">
                  <c:v>317.81020699999999</c:v>
                </c:pt>
                <c:pt idx="31">
                  <c:v>354.63171799999998</c:v>
                </c:pt>
                <c:pt idx="32">
                  <c:v>298.34378700000002</c:v>
                </c:pt>
                <c:pt idx="33">
                  <c:v>248.374437</c:v>
                </c:pt>
                <c:pt idx="34">
                  <c:v>108.021727</c:v>
                </c:pt>
                <c:pt idx="35">
                  <c:v>168.37157099999999</c:v>
                </c:pt>
                <c:pt idx="36">
                  <c:v>198.89263399999999</c:v>
                </c:pt>
                <c:pt idx="37">
                  <c:v>260.92717099999999</c:v>
                </c:pt>
                <c:pt idx="38">
                  <c:v>341.24499500000002</c:v>
                </c:pt>
                <c:pt idx="39">
                  <c:v>335.932185</c:v>
                </c:pt>
                <c:pt idx="40">
                  <c:v>286.09111700000005</c:v>
                </c:pt>
                <c:pt idx="41">
                  <c:v>194.203328</c:v>
                </c:pt>
                <c:pt idx="42">
                  <c:v>270.14736699999997</c:v>
                </c:pt>
                <c:pt idx="43">
                  <c:v>188.31830600000001</c:v>
                </c:pt>
                <c:pt idx="44">
                  <c:v>166.18098000000001</c:v>
                </c:pt>
                <c:pt idx="45">
                  <c:v>212.95360499999998</c:v>
                </c:pt>
                <c:pt idx="46">
                  <c:v>193.89823699999999</c:v>
                </c:pt>
                <c:pt idx="47">
                  <c:v>150.38876199999999</c:v>
                </c:pt>
                <c:pt idx="48">
                  <c:v>206.499844</c:v>
                </c:pt>
                <c:pt idx="49">
                  <c:v>231.87332700000002</c:v>
                </c:pt>
                <c:pt idx="50">
                  <c:v>278.98798900000003</c:v>
                </c:pt>
                <c:pt idx="51">
                  <c:v>240.682941</c:v>
                </c:pt>
                <c:pt idx="52">
                  <c:v>175.445042</c:v>
                </c:pt>
                <c:pt idx="53">
                  <c:v>163.82067800000002</c:v>
                </c:pt>
                <c:pt idx="54">
                  <c:v>258.98517099999998</c:v>
                </c:pt>
                <c:pt idx="55">
                  <c:v>138.19744</c:v>
                </c:pt>
                <c:pt idx="56">
                  <c:v>142.21107699999999</c:v>
                </c:pt>
                <c:pt idx="57">
                  <c:v>208.045571</c:v>
                </c:pt>
                <c:pt idx="58">
                  <c:v>219.68024400000002</c:v>
                </c:pt>
                <c:pt idx="59">
                  <c:v>217.03989300000001</c:v>
                </c:pt>
                <c:pt idx="60">
                  <c:v>116.65366299999999</c:v>
                </c:pt>
                <c:pt idx="61">
                  <c:v>59.233159000000001</c:v>
                </c:pt>
                <c:pt idx="62">
                  <c:v>85.570998000000003</c:v>
                </c:pt>
                <c:pt idx="63">
                  <c:v>146.74572899999998</c:v>
                </c:pt>
                <c:pt idx="64">
                  <c:v>136.76976400000001</c:v>
                </c:pt>
                <c:pt idx="65">
                  <c:v>69.506714000000002</c:v>
                </c:pt>
                <c:pt idx="66">
                  <c:v>162.11311200000003</c:v>
                </c:pt>
                <c:pt idx="67">
                  <c:v>139.32670400000001</c:v>
                </c:pt>
                <c:pt idx="68">
                  <c:v>117.505933</c:v>
                </c:pt>
                <c:pt idx="69">
                  <c:v>214.55202099999997</c:v>
                </c:pt>
                <c:pt idx="70">
                  <c:v>177.23169000000001</c:v>
                </c:pt>
                <c:pt idx="71">
                  <c:v>142.902986</c:v>
                </c:pt>
                <c:pt idx="72">
                  <c:v>198.94388500000002</c:v>
                </c:pt>
                <c:pt idx="73">
                  <c:v>229.69514800000002</c:v>
                </c:pt>
                <c:pt idx="74">
                  <c:v>317.664782</c:v>
                </c:pt>
                <c:pt idx="75">
                  <c:v>352.48069299999997</c:v>
                </c:pt>
                <c:pt idx="76">
                  <c:v>308.766167</c:v>
                </c:pt>
                <c:pt idx="77">
                  <c:v>306.92872500000004</c:v>
                </c:pt>
                <c:pt idx="78">
                  <c:v>356.70293400000003</c:v>
                </c:pt>
                <c:pt idx="79">
                  <c:v>299.76420299999995</c:v>
                </c:pt>
                <c:pt idx="80">
                  <c:v>240.35423900000001</c:v>
                </c:pt>
                <c:pt idx="81">
                  <c:v>68.061356000000004</c:v>
                </c:pt>
                <c:pt idx="82">
                  <c:v>23.369688999999997</c:v>
                </c:pt>
                <c:pt idx="83">
                  <c:v>46.521746999999998</c:v>
                </c:pt>
                <c:pt idx="84">
                  <c:v>101.47027600000001</c:v>
                </c:pt>
                <c:pt idx="85">
                  <c:v>138.59802299999998</c:v>
                </c:pt>
                <c:pt idx="86">
                  <c:v>125.51275699999999</c:v>
                </c:pt>
                <c:pt idx="87">
                  <c:v>224.63117300000002</c:v>
                </c:pt>
                <c:pt idx="88">
                  <c:v>198.45922300000001</c:v>
                </c:pt>
                <c:pt idx="89">
                  <c:v>205.817869</c:v>
                </c:pt>
                <c:pt idx="90">
                  <c:v>182.23045999999999</c:v>
                </c:pt>
                <c:pt idx="91">
                  <c:v>76.236854999999991</c:v>
                </c:pt>
                <c:pt idx="92">
                  <c:v>225.27634700000002</c:v>
                </c:pt>
                <c:pt idx="93">
                  <c:v>191.12976900000001</c:v>
                </c:pt>
                <c:pt idx="94">
                  <c:v>111.212755</c:v>
                </c:pt>
                <c:pt idx="95">
                  <c:v>259.312275</c:v>
                </c:pt>
                <c:pt idx="96">
                  <c:v>219.57142800000003</c:v>
                </c:pt>
                <c:pt idx="97">
                  <c:v>143.10141399999998</c:v>
                </c:pt>
                <c:pt idx="98">
                  <c:v>125.65358500000001</c:v>
                </c:pt>
                <c:pt idx="99">
                  <c:v>84.318590999999998</c:v>
                </c:pt>
                <c:pt idx="100">
                  <c:v>207.287848</c:v>
                </c:pt>
                <c:pt idx="101">
                  <c:v>186.45323199999999</c:v>
                </c:pt>
                <c:pt idx="102">
                  <c:v>78.330179000000001</c:v>
                </c:pt>
                <c:pt idx="103">
                  <c:v>117.664731</c:v>
                </c:pt>
                <c:pt idx="104">
                  <c:v>192.73874000000001</c:v>
                </c:pt>
                <c:pt idx="105">
                  <c:v>243.00871600000002</c:v>
                </c:pt>
                <c:pt idx="106">
                  <c:v>227.67860700000003</c:v>
                </c:pt>
                <c:pt idx="107">
                  <c:v>122.06965699999999</c:v>
                </c:pt>
                <c:pt idx="108">
                  <c:v>63.650571999999997</c:v>
                </c:pt>
                <c:pt idx="109">
                  <c:v>47.180656999999997</c:v>
                </c:pt>
                <c:pt idx="110">
                  <c:v>40.098292000000001</c:v>
                </c:pt>
                <c:pt idx="111">
                  <c:v>63.853379999999994</c:v>
                </c:pt>
                <c:pt idx="112">
                  <c:v>189.36308600000001</c:v>
                </c:pt>
                <c:pt idx="113">
                  <c:v>221.39314300000001</c:v>
                </c:pt>
                <c:pt idx="114">
                  <c:v>138.57859400000001</c:v>
                </c:pt>
                <c:pt idx="115">
                  <c:v>52.446192000000003</c:v>
                </c:pt>
                <c:pt idx="116">
                  <c:v>55.059716999999999</c:v>
                </c:pt>
                <c:pt idx="117">
                  <c:v>64.012263000000004</c:v>
                </c:pt>
                <c:pt idx="118">
                  <c:v>87.662492</c:v>
                </c:pt>
                <c:pt idx="119">
                  <c:v>73.165069000000003</c:v>
                </c:pt>
                <c:pt idx="120">
                  <c:v>168.07542999999998</c:v>
                </c:pt>
                <c:pt idx="121">
                  <c:v>90.772222999999997</c:v>
                </c:pt>
                <c:pt idx="122">
                  <c:v>108.662935</c:v>
                </c:pt>
                <c:pt idx="123">
                  <c:v>61.359756999999995</c:v>
                </c:pt>
                <c:pt idx="124">
                  <c:v>77.207909000000001</c:v>
                </c:pt>
                <c:pt idx="125">
                  <c:v>120.717904</c:v>
                </c:pt>
                <c:pt idx="126">
                  <c:v>91.632914</c:v>
                </c:pt>
                <c:pt idx="127">
                  <c:v>192.913725</c:v>
                </c:pt>
                <c:pt idx="128">
                  <c:v>250.586984</c:v>
                </c:pt>
                <c:pt idx="129">
                  <c:v>183.57865900000002</c:v>
                </c:pt>
                <c:pt idx="130">
                  <c:v>278.169061</c:v>
                </c:pt>
                <c:pt idx="131">
                  <c:v>291.86210899999998</c:v>
                </c:pt>
                <c:pt idx="132">
                  <c:v>229.81404599999999</c:v>
                </c:pt>
                <c:pt idx="133">
                  <c:v>204.91981099999998</c:v>
                </c:pt>
                <c:pt idx="134">
                  <c:v>269.403255</c:v>
                </c:pt>
                <c:pt idx="135">
                  <c:v>292.65579599999995</c:v>
                </c:pt>
                <c:pt idx="136">
                  <c:v>106.187793</c:v>
                </c:pt>
                <c:pt idx="137">
                  <c:v>186.68162099999998</c:v>
                </c:pt>
                <c:pt idx="138">
                  <c:v>149.783219</c:v>
                </c:pt>
                <c:pt idx="139">
                  <c:v>87.604952000000011</c:v>
                </c:pt>
                <c:pt idx="140">
                  <c:v>147.67504</c:v>
                </c:pt>
                <c:pt idx="141">
                  <c:v>119.544276</c:v>
                </c:pt>
                <c:pt idx="142">
                  <c:v>120.53874999999999</c:v>
                </c:pt>
                <c:pt idx="143">
                  <c:v>174.24223599999999</c:v>
                </c:pt>
                <c:pt idx="144">
                  <c:v>133.723097</c:v>
                </c:pt>
                <c:pt idx="145">
                  <c:v>88.333927000000003</c:v>
                </c:pt>
                <c:pt idx="146">
                  <c:v>52.269663999999999</c:v>
                </c:pt>
                <c:pt idx="147">
                  <c:v>48.856330999999997</c:v>
                </c:pt>
                <c:pt idx="148">
                  <c:v>81.927820999999994</c:v>
                </c:pt>
                <c:pt idx="149">
                  <c:v>117.86642999999999</c:v>
                </c:pt>
                <c:pt idx="150">
                  <c:v>107.58640800000001</c:v>
                </c:pt>
                <c:pt idx="151">
                  <c:v>104.232579</c:v>
                </c:pt>
                <c:pt idx="152">
                  <c:v>60.776597000000002</c:v>
                </c:pt>
                <c:pt idx="153">
                  <c:v>124.33419000000001</c:v>
                </c:pt>
                <c:pt idx="154">
                  <c:v>102.70423299999999</c:v>
                </c:pt>
                <c:pt idx="155">
                  <c:v>87.227254000000002</c:v>
                </c:pt>
                <c:pt idx="156">
                  <c:v>124.34590300000001</c:v>
                </c:pt>
                <c:pt idx="157">
                  <c:v>101.430752</c:v>
                </c:pt>
                <c:pt idx="158">
                  <c:v>72.184073999999995</c:v>
                </c:pt>
                <c:pt idx="159">
                  <c:v>96.907132000000004</c:v>
                </c:pt>
                <c:pt idx="160">
                  <c:v>108.53663200000001</c:v>
                </c:pt>
                <c:pt idx="161">
                  <c:v>200.6429</c:v>
                </c:pt>
                <c:pt idx="162">
                  <c:v>168.743537</c:v>
                </c:pt>
                <c:pt idx="163">
                  <c:v>97.811784000000003</c:v>
                </c:pt>
                <c:pt idx="164">
                  <c:v>73.399113999999997</c:v>
                </c:pt>
                <c:pt idx="165">
                  <c:v>113.459914</c:v>
                </c:pt>
                <c:pt idx="166">
                  <c:v>105.002115</c:v>
                </c:pt>
                <c:pt idx="167">
                  <c:v>96.281922999999992</c:v>
                </c:pt>
                <c:pt idx="168">
                  <c:v>119.670856</c:v>
                </c:pt>
                <c:pt idx="169">
                  <c:v>91.510205999999997</c:v>
                </c:pt>
                <c:pt idx="170">
                  <c:v>246.63001600000001</c:v>
                </c:pt>
                <c:pt idx="171">
                  <c:v>176.27571599999999</c:v>
                </c:pt>
                <c:pt idx="172">
                  <c:v>118.335488</c:v>
                </c:pt>
                <c:pt idx="173">
                  <c:v>145.481784</c:v>
                </c:pt>
                <c:pt idx="174">
                  <c:v>137.70521299999999</c:v>
                </c:pt>
                <c:pt idx="175">
                  <c:v>113.49160999999999</c:v>
                </c:pt>
                <c:pt idx="176">
                  <c:v>125.754402</c:v>
                </c:pt>
                <c:pt idx="177">
                  <c:v>158.12182400000003</c:v>
                </c:pt>
                <c:pt idx="178">
                  <c:v>127.662875</c:v>
                </c:pt>
                <c:pt idx="179">
                  <c:v>71.419916000000001</c:v>
                </c:pt>
                <c:pt idx="180">
                  <c:v>68.185704000000001</c:v>
                </c:pt>
                <c:pt idx="181">
                  <c:v>53.796086000000003</c:v>
                </c:pt>
                <c:pt idx="182">
                  <c:v>81.503188999999992</c:v>
                </c:pt>
                <c:pt idx="183">
                  <c:v>108.56993399999999</c:v>
                </c:pt>
                <c:pt idx="184">
                  <c:v>175.185033</c:v>
                </c:pt>
                <c:pt idx="185">
                  <c:v>185.587073</c:v>
                </c:pt>
                <c:pt idx="186">
                  <c:v>170.100931</c:v>
                </c:pt>
                <c:pt idx="187">
                  <c:v>99.963304000000008</c:v>
                </c:pt>
                <c:pt idx="188">
                  <c:v>118.725815</c:v>
                </c:pt>
                <c:pt idx="189">
                  <c:v>106.795575</c:v>
                </c:pt>
                <c:pt idx="190">
                  <c:v>101.932551</c:v>
                </c:pt>
                <c:pt idx="191">
                  <c:v>129.88429199999999</c:v>
                </c:pt>
                <c:pt idx="192">
                  <c:v>268.86065399999995</c:v>
                </c:pt>
                <c:pt idx="193">
                  <c:v>180.85604799999999</c:v>
                </c:pt>
                <c:pt idx="194">
                  <c:v>192.086625</c:v>
                </c:pt>
                <c:pt idx="195">
                  <c:v>191.57317800000001</c:v>
                </c:pt>
                <c:pt idx="196">
                  <c:v>169.40523099999999</c:v>
                </c:pt>
                <c:pt idx="197">
                  <c:v>110.35884300000001</c:v>
                </c:pt>
                <c:pt idx="198">
                  <c:v>164.72330299999999</c:v>
                </c:pt>
                <c:pt idx="199">
                  <c:v>90.316018999999997</c:v>
                </c:pt>
                <c:pt idx="200">
                  <c:v>60.917413000000003</c:v>
                </c:pt>
                <c:pt idx="201">
                  <c:v>54.755584000000006</c:v>
                </c:pt>
                <c:pt idx="202">
                  <c:v>107.60022900000001</c:v>
                </c:pt>
                <c:pt idx="203">
                  <c:v>186.93583600000002</c:v>
                </c:pt>
                <c:pt idx="204">
                  <c:v>132.45695499999999</c:v>
                </c:pt>
                <c:pt idx="205">
                  <c:v>99.542224000000004</c:v>
                </c:pt>
                <c:pt idx="206">
                  <c:v>96.480999999999995</c:v>
                </c:pt>
                <c:pt idx="207">
                  <c:v>97.773696000000001</c:v>
                </c:pt>
                <c:pt idx="208">
                  <c:v>141.26927699999999</c:v>
                </c:pt>
                <c:pt idx="209">
                  <c:v>126.49508999999999</c:v>
                </c:pt>
                <c:pt idx="210">
                  <c:v>139.68963100000002</c:v>
                </c:pt>
                <c:pt idx="211">
                  <c:v>231.40021200000001</c:v>
                </c:pt>
                <c:pt idx="212">
                  <c:v>105.18641799999999</c:v>
                </c:pt>
                <c:pt idx="213">
                  <c:v>65.453483000000006</c:v>
                </c:pt>
                <c:pt idx="214">
                  <c:v>81.197506000000004</c:v>
                </c:pt>
                <c:pt idx="215">
                  <c:v>117.955557</c:v>
                </c:pt>
                <c:pt idx="216">
                  <c:v>126.16914299999999</c:v>
                </c:pt>
                <c:pt idx="217">
                  <c:v>136.28642299999998</c:v>
                </c:pt>
                <c:pt idx="218">
                  <c:v>161.55721499999999</c:v>
                </c:pt>
                <c:pt idx="219">
                  <c:v>90.907698999999994</c:v>
                </c:pt>
                <c:pt idx="220">
                  <c:v>83.164895000000001</c:v>
                </c:pt>
                <c:pt idx="221">
                  <c:v>63.678758999999999</c:v>
                </c:pt>
                <c:pt idx="222">
                  <c:v>70.815956999999997</c:v>
                </c:pt>
                <c:pt idx="223">
                  <c:v>105.14086700000001</c:v>
                </c:pt>
                <c:pt idx="224">
                  <c:v>77.892179999999996</c:v>
                </c:pt>
                <c:pt idx="225">
                  <c:v>88.148240000000001</c:v>
                </c:pt>
                <c:pt idx="226">
                  <c:v>135.297934</c:v>
                </c:pt>
                <c:pt idx="227">
                  <c:v>245.533017</c:v>
                </c:pt>
                <c:pt idx="228">
                  <c:v>263.963548</c:v>
                </c:pt>
                <c:pt idx="229">
                  <c:v>194.14330000000001</c:v>
                </c:pt>
                <c:pt idx="230">
                  <c:v>100.684027</c:v>
                </c:pt>
                <c:pt idx="231">
                  <c:v>70.081975999999997</c:v>
                </c:pt>
                <c:pt idx="232">
                  <c:v>75.086092000000008</c:v>
                </c:pt>
                <c:pt idx="233">
                  <c:v>136.11590799999999</c:v>
                </c:pt>
                <c:pt idx="234">
                  <c:v>225.82956899999999</c:v>
                </c:pt>
                <c:pt idx="235">
                  <c:v>200.029304</c:v>
                </c:pt>
                <c:pt idx="236">
                  <c:v>84.560342000000006</c:v>
                </c:pt>
                <c:pt idx="237">
                  <c:v>43.339019</c:v>
                </c:pt>
                <c:pt idx="238">
                  <c:v>80.722854999999996</c:v>
                </c:pt>
                <c:pt idx="239">
                  <c:v>164.137237</c:v>
                </c:pt>
                <c:pt idx="240">
                  <c:v>107.65733099999999</c:v>
                </c:pt>
                <c:pt idx="241">
                  <c:v>70.595690000000005</c:v>
                </c:pt>
                <c:pt idx="242">
                  <c:v>79.50084600000001</c:v>
                </c:pt>
                <c:pt idx="243">
                  <c:v>106.17876099999999</c:v>
                </c:pt>
                <c:pt idx="244">
                  <c:v>31.283776000000003</c:v>
                </c:pt>
                <c:pt idx="245">
                  <c:v>18.009798</c:v>
                </c:pt>
                <c:pt idx="246">
                  <c:v>30.801286000000001</c:v>
                </c:pt>
                <c:pt idx="247">
                  <c:v>76.818422999999996</c:v>
                </c:pt>
                <c:pt idx="248">
                  <c:v>139.00310899999999</c:v>
                </c:pt>
                <c:pt idx="249">
                  <c:v>224.04742100000001</c:v>
                </c:pt>
                <c:pt idx="250">
                  <c:v>131.33592899999999</c:v>
                </c:pt>
                <c:pt idx="251">
                  <c:v>116.04786800000001</c:v>
                </c:pt>
                <c:pt idx="252">
                  <c:v>65.756388000000001</c:v>
                </c:pt>
                <c:pt idx="253">
                  <c:v>33.642375999999999</c:v>
                </c:pt>
                <c:pt idx="254">
                  <c:v>46.564877000000003</c:v>
                </c:pt>
                <c:pt idx="255">
                  <c:v>152.68408700000001</c:v>
                </c:pt>
                <c:pt idx="256">
                  <c:v>117.793465</c:v>
                </c:pt>
                <c:pt idx="257">
                  <c:v>45.131029000000005</c:v>
                </c:pt>
                <c:pt idx="258">
                  <c:v>82.342123000000001</c:v>
                </c:pt>
                <c:pt idx="259">
                  <c:v>51.168244000000008</c:v>
                </c:pt>
                <c:pt idx="260">
                  <c:v>108.26396200000001</c:v>
                </c:pt>
                <c:pt idx="261">
                  <c:v>91.990882999999997</c:v>
                </c:pt>
                <c:pt idx="262">
                  <c:v>196.96962100000002</c:v>
                </c:pt>
                <c:pt idx="263">
                  <c:v>221.25798699999999</c:v>
                </c:pt>
                <c:pt idx="264">
                  <c:v>154.246115</c:v>
                </c:pt>
                <c:pt idx="265">
                  <c:v>208.75555300000002</c:v>
                </c:pt>
                <c:pt idx="266">
                  <c:v>120.70046499999999</c:v>
                </c:pt>
                <c:pt idx="267">
                  <c:v>118.211063</c:v>
                </c:pt>
                <c:pt idx="268">
                  <c:v>100.70335300000001</c:v>
                </c:pt>
                <c:pt idx="269">
                  <c:v>77.789228000000008</c:v>
                </c:pt>
                <c:pt idx="270">
                  <c:v>58.146766000000007</c:v>
                </c:pt>
                <c:pt idx="271">
                  <c:v>121.07462099999999</c:v>
                </c:pt>
                <c:pt idx="272">
                  <c:v>83.121623999999997</c:v>
                </c:pt>
                <c:pt idx="273">
                  <c:v>38.951037999999997</c:v>
                </c:pt>
                <c:pt idx="274">
                  <c:v>180.029405</c:v>
                </c:pt>
                <c:pt idx="275">
                  <c:v>246.73464799999999</c:v>
                </c:pt>
                <c:pt idx="276">
                  <c:v>215.60562900000002</c:v>
                </c:pt>
                <c:pt idx="277">
                  <c:v>169.06775399999998</c:v>
                </c:pt>
                <c:pt idx="278">
                  <c:v>125.546941</c:v>
                </c:pt>
                <c:pt idx="279">
                  <c:v>105.950447</c:v>
                </c:pt>
                <c:pt idx="280">
                  <c:v>90.928991999999994</c:v>
                </c:pt>
                <c:pt idx="281">
                  <c:v>122.182894</c:v>
                </c:pt>
                <c:pt idx="282">
                  <c:v>201.51575700000001</c:v>
                </c:pt>
                <c:pt idx="283">
                  <c:v>170.37476599999999</c:v>
                </c:pt>
                <c:pt idx="284">
                  <c:v>151.59590900000001</c:v>
                </c:pt>
                <c:pt idx="285">
                  <c:v>178.21547899999999</c:v>
                </c:pt>
                <c:pt idx="286">
                  <c:v>76.062578999999999</c:v>
                </c:pt>
                <c:pt idx="287">
                  <c:v>59.871079999999999</c:v>
                </c:pt>
                <c:pt idx="288">
                  <c:v>51.861211000000004</c:v>
                </c:pt>
                <c:pt idx="289">
                  <c:v>54.082636000000001</c:v>
                </c:pt>
                <c:pt idx="290">
                  <c:v>68.709242000000003</c:v>
                </c:pt>
                <c:pt idx="291">
                  <c:v>183.80529100000001</c:v>
                </c:pt>
                <c:pt idx="292">
                  <c:v>217.53779500000002</c:v>
                </c:pt>
                <c:pt idx="293">
                  <c:v>113.226527</c:v>
                </c:pt>
                <c:pt idx="294">
                  <c:v>168.466004</c:v>
                </c:pt>
                <c:pt idx="295">
                  <c:v>77.004344000000003</c:v>
                </c:pt>
                <c:pt idx="296">
                  <c:v>53.182631999999998</c:v>
                </c:pt>
                <c:pt idx="297">
                  <c:v>37.105714999999996</c:v>
                </c:pt>
                <c:pt idx="298">
                  <c:v>77.953000000000003</c:v>
                </c:pt>
                <c:pt idx="299">
                  <c:v>43.982450999999998</c:v>
                </c:pt>
                <c:pt idx="300">
                  <c:v>159.33919700000001</c:v>
                </c:pt>
                <c:pt idx="301">
                  <c:v>214.27010000000001</c:v>
                </c:pt>
                <c:pt idx="302">
                  <c:v>278.11968000000002</c:v>
                </c:pt>
                <c:pt idx="303">
                  <c:v>319.05814199999998</c:v>
                </c:pt>
                <c:pt idx="304">
                  <c:v>299.69549800000004</c:v>
                </c:pt>
                <c:pt idx="305">
                  <c:v>291.50226099999998</c:v>
                </c:pt>
                <c:pt idx="306">
                  <c:v>237.950671</c:v>
                </c:pt>
                <c:pt idx="307">
                  <c:v>168.53924499999999</c:v>
                </c:pt>
                <c:pt idx="308">
                  <c:v>235.832258</c:v>
                </c:pt>
                <c:pt idx="309">
                  <c:v>273.58592900000002</c:v>
                </c:pt>
                <c:pt idx="310">
                  <c:v>295.07356299999998</c:v>
                </c:pt>
                <c:pt idx="311">
                  <c:v>280.99368700000002</c:v>
                </c:pt>
                <c:pt idx="312">
                  <c:v>186.78594799999999</c:v>
                </c:pt>
                <c:pt idx="313">
                  <c:v>90.312099000000003</c:v>
                </c:pt>
                <c:pt idx="314">
                  <c:v>58.269220999999995</c:v>
                </c:pt>
                <c:pt idx="315">
                  <c:v>80.060960999999992</c:v>
                </c:pt>
                <c:pt idx="316">
                  <c:v>127.323469</c:v>
                </c:pt>
                <c:pt idx="317">
                  <c:v>228.946844</c:v>
                </c:pt>
                <c:pt idx="318">
                  <c:v>277.06861099999998</c:v>
                </c:pt>
                <c:pt idx="319">
                  <c:v>219.117536</c:v>
                </c:pt>
                <c:pt idx="320">
                  <c:v>289.03383500000001</c:v>
                </c:pt>
                <c:pt idx="321">
                  <c:v>219.48581099999998</c:v>
                </c:pt>
                <c:pt idx="322">
                  <c:v>154.32178400000001</c:v>
                </c:pt>
                <c:pt idx="323">
                  <c:v>82.706244999999996</c:v>
                </c:pt>
                <c:pt idx="324">
                  <c:v>82.870231000000004</c:v>
                </c:pt>
                <c:pt idx="325">
                  <c:v>165.635772</c:v>
                </c:pt>
                <c:pt idx="326">
                  <c:v>218.25683600000002</c:v>
                </c:pt>
                <c:pt idx="327">
                  <c:v>184.35867199999998</c:v>
                </c:pt>
                <c:pt idx="328">
                  <c:v>249.63063500000001</c:v>
                </c:pt>
                <c:pt idx="329">
                  <c:v>259.45731499999999</c:v>
                </c:pt>
                <c:pt idx="330">
                  <c:v>368.92429399999997</c:v>
                </c:pt>
                <c:pt idx="331">
                  <c:v>350.86932999999999</c:v>
                </c:pt>
                <c:pt idx="332">
                  <c:v>309.36684100000002</c:v>
                </c:pt>
                <c:pt idx="333">
                  <c:v>81.179220000000001</c:v>
                </c:pt>
                <c:pt idx="334">
                  <c:v>232.544557</c:v>
                </c:pt>
                <c:pt idx="335">
                  <c:v>335.888712</c:v>
                </c:pt>
                <c:pt idx="336">
                  <c:v>294.46888000000001</c:v>
                </c:pt>
                <c:pt idx="337">
                  <c:v>319.34332300000005</c:v>
                </c:pt>
                <c:pt idx="338">
                  <c:v>390.431468</c:v>
                </c:pt>
                <c:pt idx="339">
                  <c:v>282.71306300000003</c:v>
                </c:pt>
                <c:pt idx="340">
                  <c:v>301.43451800000003</c:v>
                </c:pt>
                <c:pt idx="341">
                  <c:v>423.290907</c:v>
                </c:pt>
                <c:pt idx="342">
                  <c:v>386.413881</c:v>
                </c:pt>
                <c:pt idx="343">
                  <c:v>417.06543199999999</c:v>
                </c:pt>
                <c:pt idx="344">
                  <c:v>260.26738699999999</c:v>
                </c:pt>
                <c:pt idx="345">
                  <c:v>99.339613</c:v>
                </c:pt>
                <c:pt idx="346">
                  <c:v>92.522605999999996</c:v>
                </c:pt>
                <c:pt idx="347">
                  <c:v>60.134847999999998</c:v>
                </c:pt>
                <c:pt idx="348">
                  <c:v>107.19634500000001</c:v>
                </c:pt>
                <c:pt idx="349">
                  <c:v>147.83759000000001</c:v>
                </c:pt>
                <c:pt idx="350">
                  <c:v>113.43557700000001</c:v>
                </c:pt>
                <c:pt idx="351">
                  <c:v>83.44778500000001</c:v>
                </c:pt>
                <c:pt idx="352">
                  <c:v>122.511708</c:v>
                </c:pt>
                <c:pt idx="353">
                  <c:v>119.95667200000001</c:v>
                </c:pt>
                <c:pt idx="354">
                  <c:v>131.44721999999999</c:v>
                </c:pt>
                <c:pt idx="355">
                  <c:v>141.58955900000001</c:v>
                </c:pt>
                <c:pt idx="356">
                  <c:v>162.02903400000002</c:v>
                </c:pt>
                <c:pt idx="357">
                  <c:v>198.19191800000002</c:v>
                </c:pt>
                <c:pt idx="358">
                  <c:v>160.13652400000001</c:v>
                </c:pt>
                <c:pt idx="359">
                  <c:v>235.75559799999999</c:v>
                </c:pt>
                <c:pt idx="360">
                  <c:v>391.16017499999998</c:v>
                </c:pt>
                <c:pt idx="361">
                  <c:v>378.93791299999998</c:v>
                </c:pt>
                <c:pt idx="362">
                  <c:v>214.95647399999999</c:v>
                </c:pt>
                <c:pt idx="363">
                  <c:v>93.661178000000007</c:v>
                </c:pt>
                <c:pt idx="364">
                  <c:v>120.17953900000001</c:v>
                </c:pt>
                <c:pt idx="365">
                  <c:v>139.46703399999998</c:v>
                </c:pt>
                <c:pt idx="366">
                  <c:v>103.22410799999999</c:v>
                </c:pt>
                <c:pt idx="367">
                  <c:v>151.54837499999999</c:v>
                </c:pt>
                <c:pt idx="368">
                  <c:v>303.59261099999998</c:v>
                </c:pt>
                <c:pt idx="369">
                  <c:v>291.23929100000004</c:v>
                </c:pt>
                <c:pt idx="370">
                  <c:v>206.09111899999996</c:v>
                </c:pt>
                <c:pt idx="371">
                  <c:v>208.52585300000001</c:v>
                </c:pt>
                <c:pt idx="372">
                  <c:v>261.86103200000002</c:v>
                </c:pt>
                <c:pt idx="373">
                  <c:v>392.653907</c:v>
                </c:pt>
                <c:pt idx="374">
                  <c:v>307.09748699999994</c:v>
                </c:pt>
                <c:pt idx="375">
                  <c:v>245.230052</c:v>
                </c:pt>
                <c:pt idx="376">
                  <c:v>263.37074200000001</c:v>
                </c:pt>
                <c:pt idx="377">
                  <c:v>128.97747000000001</c:v>
                </c:pt>
                <c:pt idx="378">
                  <c:v>84.028486999999998</c:v>
                </c:pt>
                <c:pt idx="379">
                  <c:v>62.010108000000002</c:v>
                </c:pt>
                <c:pt idx="380">
                  <c:v>64.099561000000008</c:v>
                </c:pt>
                <c:pt idx="381">
                  <c:v>76.092447000000007</c:v>
                </c:pt>
                <c:pt idx="382">
                  <c:v>50.593656000000003</c:v>
                </c:pt>
                <c:pt idx="383">
                  <c:v>95.962306999999996</c:v>
                </c:pt>
                <c:pt idx="384">
                  <c:v>208.854343</c:v>
                </c:pt>
                <c:pt idx="385">
                  <c:v>308.52000300000003</c:v>
                </c:pt>
                <c:pt idx="386">
                  <c:v>174.685461</c:v>
                </c:pt>
                <c:pt idx="387">
                  <c:v>95.040397999999996</c:v>
                </c:pt>
                <c:pt idx="388">
                  <c:v>82.144214000000005</c:v>
                </c:pt>
                <c:pt idx="389">
                  <c:v>99.789788000000001</c:v>
                </c:pt>
                <c:pt idx="390">
                  <c:v>122.86361100000001</c:v>
                </c:pt>
                <c:pt idx="391">
                  <c:v>134.06142199999999</c:v>
                </c:pt>
                <c:pt idx="392">
                  <c:v>212.922698</c:v>
                </c:pt>
                <c:pt idx="393">
                  <c:v>114.510508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E</c:v>
                  </c:pt>
                  <c:pt idx="45">
                    <c:v>F</c:v>
                  </c:pt>
                  <c:pt idx="73">
                    <c:v>M</c:v>
                  </c:pt>
                  <c:pt idx="104">
                    <c:v>A</c:v>
                  </c:pt>
                  <c:pt idx="134">
                    <c:v>M</c:v>
                  </c:pt>
                  <c:pt idx="165">
                    <c:v>J</c:v>
                  </c:pt>
                  <c:pt idx="195">
                    <c:v>J</c:v>
                  </c:pt>
                  <c:pt idx="226">
                    <c:v>A</c:v>
                  </c:pt>
                  <c:pt idx="257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</c:lvl>
                <c:lvl>
                  <c:pt idx="0">
                    <c:v>2021</c:v>
                  </c:pt>
                  <c:pt idx="365">
                    <c:v>2022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198.74707857615221</c:v>
                </c:pt>
                <c:pt idx="1">
                  <c:v>198.74707857615221</c:v>
                </c:pt>
                <c:pt idx="2">
                  <c:v>198.74707857615221</c:v>
                </c:pt>
                <c:pt idx="3">
                  <c:v>198.74707857615221</c:v>
                </c:pt>
                <c:pt idx="4">
                  <c:v>198.74707857615221</c:v>
                </c:pt>
                <c:pt idx="5">
                  <c:v>198.74707857615221</c:v>
                </c:pt>
                <c:pt idx="6">
                  <c:v>198.74707857615221</c:v>
                </c:pt>
                <c:pt idx="7">
                  <c:v>198.74707857615221</c:v>
                </c:pt>
                <c:pt idx="8">
                  <c:v>198.74707857615221</c:v>
                </c:pt>
                <c:pt idx="9">
                  <c:v>198.74707857615221</c:v>
                </c:pt>
                <c:pt idx="10">
                  <c:v>198.74707857615221</c:v>
                </c:pt>
                <c:pt idx="11">
                  <c:v>198.74707857615221</c:v>
                </c:pt>
                <c:pt idx="12">
                  <c:v>198.74707857615221</c:v>
                </c:pt>
                <c:pt idx="13">
                  <c:v>198.74707857615221</c:v>
                </c:pt>
                <c:pt idx="14">
                  <c:v>198.74707857615221</c:v>
                </c:pt>
                <c:pt idx="15">
                  <c:v>198.74707857615221</c:v>
                </c:pt>
                <c:pt idx="16">
                  <c:v>198.74707857615221</c:v>
                </c:pt>
                <c:pt idx="17">
                  <c:v>198.74707857615221</c:v>
                </c:pt>
                <c:pt idx="18">
                  <c:v>198.74707857615221</c:v>
                </c:pt>
                <c:pt idx="19">
                  <c:v>198.74707857615221</c:v>
                </c:pt>
                <c:pt idx="20">
                  <c:v>198.74707857615221</c:v>
                </c:pt>
                <c:pt idx="21">
                  <c:v>198.74707857615221</c:v>
                </c:pt>
                <c:pt idx="22">
                  <c:v>198.74707857615221</c:v>
                </c:pt>
                <c:pt idx="23">
                  <c:v>198.74707857615221</c:v>
                </c:pt>
                <c:pt idx="24">
                  <c:v>198.74707857615221</c:v>
                </c:pt>
                <c:pt idx="25">
                  <c:v>198.74707857615221</c:v>
                </c:pt>
                <c:pt idx="26">
                  <c:v>198.74707857615221</c:v>
                </c:pt>
                <c:pt idx="27">
                  <c:v>198.74707857615221</c:v>
                </c:pt>
                <c:pt idx="28">
                  <c:v>198.74707857615221</c:v>
                </c:pt>
                <c:pt idx="29">
                  <c:v>198.74707857615221</c:v>
                </c:pt>
                <c:pt idx="30">
                  <c:v>198.74707857615221</c:v>
                </c:pt>
                <c:pt idx="31">
                  <c:v>212.35419522641482</c:v>
                </c:pt>
                <c:pt idx="32">
                  <c:v>212.35419522641482</c:v>
                </c:pt>
                <c:pt idx="33">
                  <c:v>212.35419522641482</c:v>
                </c:pt>
                <c:pt idx="34">
                  <c:v>212.35419522641482</c:v>
                </c:pt>
                <c:pt idx="35">
                  <c:v>212.35419522641482</c:v>
                </c:pt>
                <c:pt idx="36">
                  <c:v>212.35419522641482</c:v>
                </c:pt>
                <c:pt idx="37">
                  <c:v>212.35419522641482</c:v>
                </c:pt>
                <c:pt idx="38">
                  <c:v>212.35419522641482</c:v>
                </c:pt>
                <c:pt idx="39">
                  <c:v>212.35419522641482</c:v>
                </c:pt>
                <c:pt idx="40">
                  <c:v>212.35419522641482</c:v>
                </c:pt>
                <c:pt idx="41">
                  <c:v>212.35419522641482</c:v>
                </c:pt>
                <c:pt idx="42">
                  <c:v>212.35419522641482</c:v>
                </c:pt>
                <c:pt idx="43">
                  <c:v>212.35419522641482</c:v>
                </c:pt>
                <c:pt idx="44">
                  <c:v>212.35419522641482</c:v>
                </c:pt>
                <c:pt idx="45">
                  <c:v>212.35419522641482</c:v>
                </c:pt>
                <c:pt idx="46">
                  <c:v>212.35419522641482</c:v>
                </c:pt>
                <c:pt idx="47">
                  <c:v>212.35419522641482</c:v>
                </c:pt>
                <c:pt idx="48">
                  <c:v>212.35419522641482</c:v>
                </c:pt>
                <c:pt idx="49">
                  <c:v>212.35419522641482</c:v>
                </c:pt>
                <c:pt idx="50">
                  <c:v>212.35419522641482</c:v>
                </c:pt>
                <c:pt idx="51">
                  <c:v>212.35419522641482</c:v>
                </c:pt>
                <c:pt idx="52">
                  <c:v>212.35419522641482</c:v>
                </c:pt>
                <c:pt idx="53">
                  <c:v>212.35419522641482</c:v>
                </c:pt>
                <c:pt idx="54">
                  <c:v>212.35419522641482</c:v>
                </c:pt>
                <c:pt idx="55">
                  <c:v>212.35419522641482</c:v>
                </c:pt>
                <c:pt idx="56">
                  <c:v>212.35419522641482</c:v>
                </c:pt>
                <c:pt idx="57">
                  <c:v>212.35419522641482</c:v>
                </c:pt>
                <c:pt idx="58">
                  <c:v>212.35419522641482</c:v>
                </c:pt>
                <c:pt idx="59">
                  <c:v>201.75844362998288</c:v>
                </c:pt>
                <c:pt idx="60">
                  <c:v>201.75844362998288</c:v>
                </c:pt>
                <c:pt idx="61">
                  <c:v>201.75844362998288</c:v>
                </c:pt>
                <c:pt idx="62">
                  <c:v>201.75844362998288</c:v>
                </c:pt>
                <c:pt idx="63">
                  <c:v>201.75844362998288</c:v>
                </c:pt>
                <c:pt idx="64">
                  <c:v>201.75844362998288</c:v>
                </c:pt>
                <c:pt idx="65">
                  <c:v>201.75844362998288</c:v>
                </c:pt>
                <c:pt idx="66">
                  <c:v>201.75844362998288</c:v>
                </c:pt>
                <c:pt idx="67">
                  <c:v>201.75844362998288</c:v>
                </c:pt>
                <c:pt idx="68">
                  <c:v>201.75844362998288</c:v>
                </c:pt>
                <c:pt idx="69">
                  <c:v>201.75844362998288</c:v>
                </c:pt>
                <c:pt idx="70">
                  <c:v>201.75844362998288</c:v>
                </c:pt>
                <c:pt idx="71">
                  <c:v>201.75844362998288</c:v>
                </c:pt>
                <c:pt idx="72">
                  <c:v>201.75844362998288</c:v>
                </c:pt>
                <c:pt idx="73">
                  <c:v>201.75844362998288</c:v>
                </c:pt>
                <c:pt idx="74">
                  <c:v>201.75844362998288</c:v>
                </c:pt>
                <c:pt idx="75">
                  <c:v>201.75844362998288</c:v>
                </c:pt>
                <c:pt idx="76">
                  <c:v>201.75844362998288</c:v>
                </c:pt>
                <c:pt idx="77">
                  <c:v>201.75844362998288</c:v>
                </c:pt>
                <c:pt idx="78">
                  <c:v>201.75844362998288</c:v>
                </c:pt>
                <c:pt idx="79">
                  <c:v>201.75844362998288</c:v>
                </c:pt>
                <c:pt idx="80">
                  <c:v>201.75844362998288</c:v>
                </c:pt>
                <c:pt idx="81">
                  <c:v>201.75844362998288</c:v>
                </c:pt>
                <c:pt idx="82">
                  <c:v>201.75844362998288</c:v>
                </c:pt>
                <c:pt idx="83">
                  <c:v>201.75844362998288</c:v>
                </c:pt>
                <c:pt idx="84">
                  <c:v>201.75844362998288</c:v>
                </c:pt>
                <c:pt idx="85">
                  <c:v>201.75844362998288</c:v>
                </c:pt>
                <c:pt idx="86">
                  <c:v>201.75844362998288</c:v>
                </c:pt>
                <c:pt idx="87">
                  <c:v>201.75844362998288</c:v>
                </c:pt>
                <c:pt idx="88">
                  <c:v>201.75844362998288</c:v>
                </c:pt>
                <c:pt idx="89">
                  <c:v>201.75844362998288</c:v>
                </c:pt>
                <c:pt idx="90">
                  <c:v>168.57246605046646</c:v>
                </c:pt>
                <c:pt idx="91">
                  <c:v>168.57246605046646</c:v>
                </c:pt>
                <c:pt idx="92">
                  <c:v>168.57246605046646</c:v>
                </c:pt>
                <c:pt idx="93">
                  <c:v>168.57246605046646</c:v>
                </c:pt>
                <c:pt idx="94">
                  <c:v>168.57246605046646</c:v>
                </c:pt>
                <c:pt idx="95">
                  <c:v>168.57246605046646</c:v>
                </c:pt>
                <c:pt idx="96">
                  <c:v>168.57246605046646</c:v>
                </c:pt>
                <c:pt idx="97">
                  <c:v>168.57246605046646</c:v>
                </c:pt>
                <c:pt idx="98">
                  <c:v>168.57246605046646</c:v>
                </c:pt>
                <c:pt idx="99">
                  <c:v>168.57246605046646</c:v>
                </c:pt>
                <c:pt idx="100">
                  <c:v>168.57246605046646</c:v>
                </c:pt>
                <c:pt idx="101">
                  <c:v>168.57246605046646</c:v>
                </c:pt>
                <c:pt idx="102">
                  <c:v>168.57246605046646</c:v>
                </c:pt>
                <c:pt idx="103">
                  <c:v>168.57246605046646</c:v>
                </c:pt>
                <c:pt idx="104">
                  <c:v>168.57246605046646</c:v>
                </c:pt>
                <c:pt idx="105">
                  <c:v>168.57246605046646</c:v>
                </c:pt>
                <c:pt idx="106">
                  <c:v>168.57246605046646</c:v>
                </c:pt>
                <c:pt idx="107">
                  <c:v>168.57246605046646</c:v>
                </c:pt>
                <c:pt idx="108">
                  <c:v>168.57246605046646</c:v>
                </c:pt>
                <c:pt idx="109">
                  <c:v>168.57246605046646</c:v>
                </c:pt>
                <c:pt idx="110">
                  <c:v>168.57246605046646</c:v>
                </c:pt>
                <c:pt idx="111">
                  <c:v>168.57246605046646</c:v>
                </c:pt>
                <c:pt idx="112">
                  <c:v>168.57246605046646</c:v>
                </c:pt>
                <c:pt idx="113">
                  <c:v>168.57246605046646</c:v>
                </c:pt>
                <c:pt idx="114">
                  <c:v>168.57246605046646</c:v>
                </c:pt>
                <c:pt idx="115">
                  <c:v>168.57246605046646</c:v>
                </c:pt>
                <c:pt idx="116">
                  <c:v>168.57246605046646</c:v>
                </c:pt>
                <c:pt idx="117">
                  <c:v>168.57246605046646</c:v>
                </c:pt>
                <c:pt idx="118">
                  <c:v>168.57246605046646</c:v>
                </c:pt>
                <c:pt idx="119">
                  <c:v>168.57246605046646</c:v>
                </c:pt>
                <c:pt idx="120">
                  <c:v>148.21549125060824</c:v>
                </c:pt>
                <c:pt idx="121">
                  <c:v>148.21549125060824</c:v>
                </c:pt>
                <c:pt idx="122">
                  <c:v>148.21549125060824</c:v>
                </c:pt>
                <c:pt idx="123">
                  <c:v>148.21549125060824</c:v>
                </c:pt>
                <c:pt idx="124">
                  <c:v>148.21549125060824</c:v>
                </c:pt>
                <c:pt idx="125">
                  <c:v>148.21549125060824</c:v>
                </c:pt>
                <c:pt idx="126">
                  <c:v>148.21549125060824</c:v>
                </c:pt>
                <c:pt idx="127">
                  <c:v>148.21549125060824</c:v>
                </c:pt>
                <c:pt idx="128">
                  <c:v>148.21549125060824</c:v>
                </c:pt>
                <c:pt idx="129">
                  <c:v>148.21549125060824</c:v>
                </c:pt>
                <c:pt idx="130">
                  <c:v>148.21549125060824</c:v>
                </c:pt>
                <c:pt idx="131">
                  <c:v>148.21549125060824</c:v>
                </c:pt>
                <c:pt idx="132">
                  <c:v>148.21549125060824</c:v>
                </c:pt>
                <c:pt idx="133">
                  <c:v>148.21549125060824</c:v>
                </c:pt>
                <c:pt idx="134">
                  <c:v>148.21549125060824</c:v>
                </c:pt>
                <c:pt idx="135">
                  <c:v>148.21549125060824</c:v>
                </c:pt>
                <c:pt idx="136">
                  <c:v>148.21549125060824</c:v>
                </c:pt>
                <c:pt idx="137">
                  <c:v>148.21549125060824</c:v>
                </c:pt>
                <c:pt idx="138">
                  <c:v>148.21549125060824</c:v>
                </c:pt>
                <c:pt idx="139">
                  <c:v>148.21549125060824</c:v>
                </c:pt>
                <c:pt idx="140">
                  <c:v>148.21549125060824</c:v>
                </c:pt>
                <c:pt idx="141">
                  <c:v>148.21549125060824</c:v>
                </c:pt>
                <c:pt idx="142">
                  <c:v>148.21549125060824</c:v>
                </c:pt>
                <c:pt idx="143">
                  <c:v>148.21549125060824</c:v>
                </c:pt>
                <c:pt idx="144">
                  <c:v>148.21549125060824</c:v>
                </c:pt>
                <c:pt idx="145">
                  <c:v>148.21549125060824</c:v>
                </c:pt>
                <c:pt idx="146">
                  <c:v>148.21549125060824</c:v>
                </c:pt>
                <c:pt idx="147">
                  <c:v>148.21549125060824</c:v>
                </c:pt>
                <c:pt idx="148">
                  <c:v>148.21549125060824</c:v>
                </c:pt>
                <c:pt idx="149">
                  <c:v>148.21549125060824</c:v>
                </c:pt>
                <c:pt idx="150">
                  <c:v>148.21549125060824</c:v>
                </c:pt>
                <c:pt idx="151">
                  <c:v>125.351537048962</c:v>
                </c:pt>
                <c:pt idx="152">
                  <c:v>125.351537048962</c:v>
                </c:pt>
                <c:pt idx="153">
                  <c:v>125.351537048962</c:v>
                </c:pt>
                <c:pt idx="154">
                  <c:v>125.351537048962</c:v>
                </c:pt>
                <c:pt idx="155">
                  <c:v>125.351537048962</c:v>
                </c:pt>
                <c:pt idx="156">
                  <c:v>125.351537048962</c:v>
                </c:pt>
                <c:pt idx="157">
                  <c:v>125.351537048962</c:v>
                </c:pt>
                <c:pt idx="158">
                  <c:v>125.351537048962</c:v>
                </c:pt>
                <c:pt idx="159">
                  <c:v>125.351537048962</c:v>
                </c:pt>
                <c:pt idx="160">
                  <c:v>125.351537048962</c:v>
                </c:pt>
                <c:pt idx="161">
                  <c:v>125.351537048962</c:v>
                </c:pt>
                <c:pt idx="162">
                  <c:v>125.351537048962</c:v>
                </c:pt>
                <c:pt idx="163">
                  <c:v>125.351537048962</c:v>
                </c:pt>
                <c:pt idx="164">
                  <c:v>125.351537048962</c:v>
                </c:pt>
                <c:pt idx="165">
                  <c:v>125.351537048962</c:v>
                </c:pt>
                <c:pt idx="166">
                  <c:v>125.351537048962</c:v>
                </c:pt>
                <c:pt idx="167">
                  <c:v>125.351537048962</c:v>
                </c:pt>
                <c:pt idx="168">
                  <c:v>125.351537048962</c:v>
                </c:pt>
                <c:pt idx="169">
                  <c:v>125.351537048962</c:v>
                </c:pt>
                <c:pt idx="170">
                  <c:v>125.351537048962</c:v>
                </c:pt>
                <c:pt idx="171">
                  <c:v>125.351537048962</c:v>
                </c:pt>
                <c:pt idx="172">
                  <c:v>125.351537048962</c:v>
                </c:pt>
                <c:pt idx="173">
                  <c:v>125.351537048962</c:v>
                </c:pt>
                <c:pt idx="174">
                  <c:v>125.351537048962</c:v>
                </c:pt>
                <c:pt idx="175">
                  <c:v>125.351537048962</c:v>
                </c:pt>
                <c:pt idx="176">
                  <c:v>125.351537048962</c:v>
                </c:pt>
                <c:pt idx="177">
                  <c:v>125.351537048962</c:v>
                </c:pt>
                <c:pt idx="178">
                  <c:v>125.351537048962</c:v>
                </c:pt>
                <c:pt idx="179">
                  <c:v>125.351537048962</c:v>
                </c:pt>
                <c:pt idx="180">
                  <c:v>125.351537048962</c:v>
                </c:pt>
                <c:pt idx="181">
                  <c:v>123.29855563491931</c:v>
                </c:pt>
                <c:pt idx="182">
                  <c:v>123.29855563491931</c:v>
                </c:pt>
                <c:pt idx="183">
                  <c:v>123.29855563491931</c:v>
                </c:pt>
                <c:pt idx="184">
                  <c:v>123.29855563491931</c:v>
                </c:pt>
                <c:pt idx="185">
                  <c:v>123.29855563491931</c:v>
                </c:pt>
                <c:pt idx="186">
                  <c:v>123.29855563491931</c:v>
                </c:pt>
                <c:pt idx="187">
                  <c:v>123.29855563491931</c:v>
                </c:pt>
                <c:pt idx="188">
                  <c:v>123.29855563491931</c:v>
                </c:pt>
                <c:pt idx="189">
                  <c:v>123.29855563491931</c:v>
                </c:pt>
                <c:pt idx="190">
                  <c:v>123.29855563491931</c:v>
                </c:pt>
                <c:pt idx="191">
                  <c:v>123.29855563491931</c:v>
                </c:pt>
                <c:pt idx="192">
                  <c:v>123.29855563491931</c:v>
                </c:pt>
                <c:pt idx="193">
                  <c:v>123.29855563491931</c:v>
                </c:pt>
                <c:pt idx="194">
                  <c:v>123.29855563491931</c:v>
                </c:pt>
                <c:pt idx="195">
                  <c:v>123.29855563491931</c:v>
                </c:pt>
                <c:pt idx="196">
                  <c:v>123.29855563491931</c:v>
                </c:pt>
                <c:pt idx="197">
                  <c:v>123.29855563491931</c:v>
                </c:pt>
                <c:pt idx="198">
                  <c:v>123.29855563491931</c:v>
                </c:pt>
                <c:pt idx="199">
                  <c:v>123.29855563491931</c:v>
                </c:pt>
                <c:pt idx="200">
                  <c:v>123.29855563491931</c:v>
                </c:pt>
                <c:pt idx="201">
                  <c:v>123.29855563491931</c:v>
                </c:pt>
                <c:pt idx="202">
                  <c:v>123.29855563491931</c:v>
                </c:pt>
                <c:pt idx="203">
                  <c:v>123.29855563491931</c:v>
                </c:pt>
                <c:pt idx="204">
                  <c:v>123.29855563491931</c:v>
                </c:pt>
                <c:pt idx="205">
                  <c:v>123.29855563491931</c:v>
                </c:pt>
                <c:pt idx="206">
                  <c:v>123.29855563491931</c:v>
                </c:pt>
                <c:pt idx="207">
                  <c:v>123.29855563491931</c:v>
                </c:pt>
                <c:pt idx="208">
                  <c:v>123.29855563491931</c:v>
                </c:pt>
                <c:pt idx="209">
                  <c:v>123.29855563491931</c:v>
                </c:pt>
                <c:pt idx="210">
                  <c:v>123.29855563491931</c:v>
                </c:pt>
                <c:pt idx="211">
                  <c:v>123.29855563491931</c:v>
                </c:pt>
                <c:pt idx="212">
                  <c:v>119.88224746277839</c:v>
                </c:pt>
                <c:pt idx="213">
                  <c:v>119.88224746277839</c:v>
                </c:pt>
                <c:pt idx="214">
                  <c:v>119.88224746277839</c:v>
                </c:pt>
                <c:pt idx="215">
                  <c:v>119.88224746277839</c:v>
                </c:pt>
                <c:pt idx="216">
                  <c:v>119.88224746277839</c:v>
                </c:pt>
                <c:pt idx="217">
                  <c:v>119.88224746277839</c:v>
                </c:pt>
                <c:pt idx="218">
                  <c:v>119.88224746277839</c:v>
                </c:pt>
                <c:pt idx="219">
                  <c:v>119.88224746277839</c:v>
                </c:pt>
                <c:pt idx="220">
                  <c:v>119.88224746277839</c:v>
                </c:pt>
                <c:pt idx="221">
                  <c:v>119.88224746277839</c:v>
                </c:pt>
                <c:pt idx="222">
                  <c:v>119.88224746277839</c:v>
                </c:pt>
                <c:pt idx="223">
                  <c:v>119.88224746277839</c:v>
                </c:pt>
                <c:pt idx="224">
                  <c:v>119.88224746277839</c:v>
                </c:pt>
                <c:pt idx="225">
                  <c:v>119.88224746277839</c:v>
                </c:pt>
                <c:pt idx="226">
                  <c:v>119.88224746277839</c:v>
                </c:pt>
                <c:pt idx="227">
                  <c:v>119.88224746277839</c:v>
                </c:pt>
                <c:pt idx="228">
                  <c:v>119.88224746277839</c:v>
                </c:pt>
                <c:pt idx="229">
                  <c:v>119.88224746277839</c:v>
                </c:pt>
                <c:pt idx="230">
                  <c:v>119.88224746277839</c:v>
                </c:pt>
                <c:pt idx="231">
                  <c:v>119.88224746277839</c:v>
                </c:pt>
                <c:pt idx="232">
                  <c:v>119.88224746277839</c:v>
                </c:pt>
                <c:pt idx="233">
                  <c:v>119.88224746277839</c:v>
                </c:pt>
                <c:pt idx="234">
                  <c:v>119.88224746277839</c:v>
                </c:pt>
                <c:pt idx="235">
                  <c:v>119.88224746277839</c:v>
                </c:pt>
                <c:pt idx="236">
                  <c:v>119.88224746277839</c:v>
                </c:pt>
                <c:pt idx="237">
                  <c:v>119.88224746277839</c:v>
                </c:pt>
                <c:pt idx="238">
                  <c:v>119.88224746277839</c:v>
                </c:pt>
                <c:pt idx="239">
                  <c:v>119.88224746277839</c:v>
                </c:pt>
                <c:pt idx="240">
                  <c:v>119.88224746277839</c:v>
                </c:pt>
                <c:pt idx="241">
                  <c:v>119.88224746277839</c:v>
                </c:pt>
                <c:pt idx="242">
                  <c:v>119.88224746277839</c:v>
                </c:pt>
                <c:pt idx="243">
                  <c:v>117.97446350125541</c:v>
                </c:pt>
                <c:pt idx="244">
                  <c:v>117.97446350125541</c:v>
                </c:pt>
                <c:pt idx="245">
                  <c:v>117.97446350125541</c:v>
                </c:pt>
                <c:pt idx="246">
                  <c:v>117.97446350125541</c:v>
                </c:pt>
                <c:pt idx="247">
                  <c:v>117.97446350125541</c:v>
                </c:pt>
                <c:pt idx="248">
                  <c:v>117.97446350125541</c:v>
                </c:pt>
                <c:pt idx="249">
                  <c:v>117.97446350125541</c:v>
                </c:pt>
                <c:pt idx="250">
                  <c:v>117.97446350125541</c:v>
                </c:pt>
                <c:pt idx="251">
                  <c:v>117.97446350125541</c:v>
                </c:pt>
                <c:pt idx="252">
                  <c:v>117.97446350125541</c:v>
                </c:pt>
                <c:pt idx="253">
                  <c:v>117.97446350125541</c:v>
                </c:pt>
                <c:pt idx="254">
                  <c:v>117.97446350125541</c:v>
                </c:pt>
                <c:pt idx="255">
                  <c:v>117.97446350125541</c:v>
                </c:pt>
                <c:pt idx="256">
                  <c:v>117.97446350125541</c:v>
                </c:pt>
                <c:pt idx="257">
                  <c:v>117.97446350125541</c:v>
                </c:pt>
                <c:pt idx="258">
                  <c:v>117.97446350125541</c:v>
                </c:pt>
                <c:pt idx="259">
                  <c:v>117.97446350125541</c:v>
                </c:pt>
                <c:pt idx="260">
                  <c:v>117.97446350125541</c:v>
                </c:pt>
                <c:pt idx="261">
                  <c:v>117.97446350125541</c:v>
                </c:pt>
                <c:pt idx="262">
                  <c:v>117.97446350125541</c:v>
                </c:pt>
                <c:pt idx="263">
                  <c:v>117.97446350125541</c:v>
                </c:pt>
                <c:pt idx="264">
                  <c:v>117.97446350125541</c:v>
                </c:pt>
                <c:pt idx="265">
                  <c:v>117.97446350125541</c:v>
                </c:pt>
                <c:pt idx="266">
                  <c:v>117.97446350125541</c:v>
                </c:pt>
                <c:pt idx="267">
                  <c:v>117.97446350125541</c:v>
                </c:pt>
                <c:pt idx="268">
                  <c:v>117.97446350125541</c:v>
                </c:pt>
                <c:pt idx="269">
                  <c:v>117.97446350125541</c:v>
                </c:pt>
                <c:pt idx="270">
                  <c:v>117.97446350125541</c:v>
                </c:pt>
                <c:pt idx="271">
                  <c:v>117.97446350125541</c:v>
                </c:pt>
                <c:pt idx="272">
                  <c:v>117.97446350125541</c:v>
                </c:pt>
                <c:pt idx="273">
                  <c:v>137.65287575629179</c:v>
                </c:pt>
                <c:pt idx="274">
                  <c:v>137.65287575629179</c:v>
                </c:pt>
                <c:pt idx="275">
                  <c:v>137.65287575629179</c:v>
                </c:pt>
                <c:pt idx="276">
                  <c:v>137.65287575629179</c:v>
                </c:pt>
                <c:pt idx="277">
                  <c:v>137.65287575629179</c:v>
                </c:pt>
                <c:pt idx="278">
                  <c:v>137.65287575629179</c:v>
                </c:pt>
                <c:pt idx="279">
                  <c:v>137.65287575629179</c:v>
                </c:pt>
                <c:pt idx="280">
                  <c:v>137.65287575629179</c:v>
                </c:pt>
                <c:pt idx="281">
                  <c:v>137.65287575629179</c:v>
                </c:pt>
                <c:pt idx="282">
                  <c:v>137.65287575629179</c:v>
                </c:pt>
                <c:pt idx="283">
                  <c:v>137.65287575629179</c:v>
                </c:pt>
                <c:pt idx="284">
                  <c:v>137.65287575629179</c:v>
                </c:pt>
                <c:pt idx="285">
                  <c:v>137.65287575629179</c:v>
                </c:pt>
                <c:pt idx="286">
                  <c:v>137.65287575629179</c:v>
                </c:pt>
                <c:pt idx="287">
                  <c:v>137.65287575629179</c:v>
                </c:pt>
                <c:pt idx="288">
                  <c:v>137.65287575629179</c:v>
                </c:pt>
                <c:pt idx="289">
                  <c:v>137.65287575629179</c:v>
                </c:pt>
                <c:pt idx="290">
                  <c:v>137.65287575629179</c:v>
                </c:pt>
                <c:pt idx="291">
                  <c:v>137.65287575629179</c:v>
                </c:pt>
                <c:pt idx="292">
                  <c:v>137.65287575629179</c:v>
                </c:pt>
                <c:pt idx="293">
                  <c:v>137.65287575629179</c:v>
                </c:pt>
                <c:pt idx="294">
                  <c:v>137.65287575629179</c:v>
                </c:pt>
                <c:pt idx="295">
                  <c:v>137.65287575629179</c:v>
                </c:pt>
                <c:pt idx="296">
                  <c:v>137.65287575629179</c:v>
                </c:pt>
                <c:pt idx="297">
                  <c:v>137.65287575629179</c:v>
                </c:pt>
                <c:pt idx="298">
                  <c:v>137.65287575629179</c:v>
                </c:pt>
                <c:pt idx="299">
                  <c:v>137.65287575629179</c:v>
                </c:pt>
                <c:pt idx="300">
                  <c:v>137.65287575629179</c:v>
                </c:pt>
                <c:pt idx="301">
                  <c:v>137.65287575629179</c:v>
                </c:pt>
                <c:pt idx="302">
                  <c:v>137.65287575629179</c:v>
                </c:pt>
                <c:pt idx="303">
                  <c:v>137.65287575629179</c:v>
                </c:pt>
                <c:pt idx="304">
                  <c:v>183.91599168072182</c:v>
                </c:pt>
                <c:pt idx="305">
                  <c:v>183.91599168072182</c:v>
                </c:pt>
                <c:pt idx="306">
                  <c:v>183.91599168072182</c:v>
                </c:pt>
                <c:pt idx="307">
                  <c:v>183.91599168072182</c:v>
                </c:pt>
                <c:pt idx="308">
                  <c:v>183.91599168072182</c:v>
                </c:pt>
                <c:pt idx="309">
                  <c:v>183.91599168072182</c:v>
                </c:pt>
                <c:pt idx="310">
                  <c:v>183.91599168072182</c:v>
                </c:pt>
                <c:pt idx="311">
                  <c:v>183.91599168072182</c:v>
                </c:pt>
                <c:pt idx="312">
                  <c:v>183.91599168072182</c:v>
                </c:pt>
                <c:pt idx="313">
                  <c:v>183.91599168072182</c:v>
                </c:pt>
                <c:pt idx="314">
                  <c:v>183.91599168072182</c:v>
                </c:pt>
                <c:pt idx="315">
                  <c:v>183.91599168072182</c:v>
                </c:pt>
                <c:pt idx="316">
                  <c:v>183.91599168072182</c:v>
                </c:pt>
                <c:pt idx="317">
                  <c:v>183.91599168072182</c:v>
                </c:pt>
                <c:pt idx="318">
                  <c:v>183.91599168072182</c:v>
                </c:pt>
                <c:pt idx="319">
                  <c:v>183.91599168072182</c:v>
                </c:pt>
                <c:pt idx="320">
                  <c:v>183.91599168072182</c:v>
                </c:pt>
                <c:pt idx="321">
                  <c:v>183.91599168072182</c:v>
                </c:pt>
                <c:pt idx="322">
                  <c:v>183.91599168072182</c:v>
                </c:pt>
                <c:pt idx="323">
                  <c:v>183.91599168072182</c:v>
                </c:pt>
                <c:pt idx="324">
                  <c:v>183.91599168072182</c:v>
                </c:pt>
                <c:pt idx="325">
                  <c:v>183.91599168072182</c:v>
                </c:pt>
                <c:pt idx="326">
                  <c:v>183.91599168072182</c:v>
                </c:pt>
                <c:pt idx="327">
                  <c:v>183.91599168072182</c:v>
                </c:pt>
                <c:pt idx="328">
                  <c:v>183.91599168072182</c:v>
                </c:pt>
                <c:pt idx="329">
                  <c:v>183.91599168072182</c:v>
                </c:pt>
                <c:pt idx="330">
                  <c:v>183.91599168072182</c:v>
                </c:pt>
                <c:pt idx="331">
                  <c:v>183.91599168072182</c:v>
                </c:pt>
                <c:pt idx="332">
                  <c:v>183.91599168072182</c:v>
                </c:pt>
                <c:pt idx="333">
                  <c:v>183.91599168072182</c:v>
                </c:pt>
                <c:pt idx="334">
                  <c:v>181.48844898808721</c:v>
                </c:pt>
                <c:pt idx="335">
                  <c:v>181.48844898808721</c:v>
                </c:pt>
                <c:pt idx="336">
                  <c:v>181.48844898808721</c:v>
                </c:pt>
                <c:pt idx="337">
                  <c:v>181.48844898808721</c:v>
                </c:pt>
                <c:pt idx="338">
                  <c:v>181.48844898808721</c:v>
                </c:pt>
                <c:pt idx="339">
                  <c:v>181.48844898808721</c:v>
                </c:pt>
                <c:pt idx="340">
                  <c:v>181.48844898808721</c:v>
                </c:pt>
                <c:pt idx="341">
                  <c:v>181.48844898808721</c:v>
                </c:pt>
                <c:pt idx="342">
                  <c:v>181.48844898808721</c:v>
                </c:pt>
                <c:pt idx="343">
                  <c:v>181.48844898808721</c:v>
                </c:pt>
                <c:pt idx="344">
                  <c:v>181.48844898808721</c:v>
                </c:pt>
                <c:pt idx="345">
                  <c:v>181.48844898808721</c:v>
                </c:pt>
                <c:pt idx="346">
                  <c:v>181.48844898808721</c:v>
                </c:pt>
                <c:pt idx="347">
                  <c:v>181.48844898808721</c:v>
                </c:pt>
                <c:pt idx="348">
                  <c:v>181.48844898808721</c:v>
                </c:pt>
                <c:pt idx="349">
                  <c:v>181.48844898808721</c:v>
                </c:pt>
                <c:pt idx="350">
                  <c:v>181.48844898808721</c:v>
                </c:pt>
                <c:pt idx="351">
                  <c:v>181.48844898808721</c:v>
                </c:pt>
                <c:pt idx="352">
                  <c:v>181.48844898808721</c:v>
                </c:pt>
                <c:pt idx="353">
                  <c:v>181.48844898808721</c:v>
                </c:pt>
                <c:pt idx="354">
                  <c:v>181.48844898808721</c:v>
                </c:pt>
                <c:pt idx="355">
                  <c:v>181.48844898808721</c:v>
                </c:pt>
                <c:pt idx="356">
                  <c:v>181.48844898808721</c:v>
                </c:pt>
                <c:pt idx="357">
                  <c:v>181.48844898808721</c:v>
                </c:pt>
                <c:pt idx="358">
                  <c:v>181.48844898808721</c:v>
                </c:pt>
                <c:pt idx="359">
                  <c:v>181.48844898808721</c:v>
                </c:pt>
                <c:pt idx="360">
                  <c:v>181.48844898808721</c:v>
                </c:pt>
                <c:pt idx="361">
                  <c:v>181.48844898808721</c:v>
                </c:pt>
                <c:pt idx="362">
                  <c:v>181.48844898808721</c:v>
                </c:pt>
                <c:pt idx="363">
                  <c:v>181.48844898808721</c:v>
                </c:pt>
                <c:pt idx="364">
                  <c:v>181.48844898808721</c:v>
                </c:pt>
                <c:pt idx="365">
                  <c:v>208.83536998292288</c:v>
                </c:pt>
                <c:pt idx="366">
                  <c:v>208.83536998292288</c:v>
                </c:pt>
                <c:pt idx="367">
                  <c:v>208.83536998292288</c:v>
                </c:pt>
                <c:pt idx="368">
                  <c:v>208.83536998292288</c:v>
                </c:pt>
                <c:pt idx="369">
                  <c:v>208.83536998292288</c:v>
                </c:pt>
                <c:pt idx="370">
                  <c:v>208.83536998292288</c:v>
                </c:pt>
                <c:pt idx="371">
                  <c:v>208.83536998292288</c:v>
                </c:pt>
                <c:pt idx="372">
                  <c:v>208.83536998292288</c:v>
                </c:pt>
                <c:pt idx="373">
                  <c:v>208.83536998292288</c:v>
                </c:pt>
                <c:pt idx="374">
                  <c:v>208.83536998292288</c:v>
                </c:pt>
                <c:pt idx="375">
                  <c:v>208.83536998292288</c:v>
                </c:pt>
                <c:pt idx="376">
                  <c:v>208.83536998292288</c:v>
                </c:pt>
                <c:pt idx="377">
                  <c:v>208.83536998292288</c:v>
                </c:pt>
                <c:pt idx="378">
                  <c:v>208.83536998292288</c:v>
                </c:pt>
                <c:pt idx="379">
                  <c:v>208.83536998292288</c:v>
                </c:pt>
                <c:pt idx="380">
                  <c:v>208.83536998292288</c:v>
                </c:pt>
                <c:pt idx="381">
                  <c:v>208.83536998292288</c:v>
                </c:pt>
                <c:pt idx="382">
                  <c:v>208.83536998292288</c:v>
                </c:pt>
                <c:pt idx="383">
                  <c:v>208.83536998292288</c:v>
                </c:pt>
                <c:pt idx="384">
                  <c:v>208.83536998292288</c:v>
                </c:pt>
                <c:pt idx="385">
                  <c:v>208.83536998292288</c:v>
                </c:pt>
                <c:pt idx="386">
                  <c:v>208.83536998292288</c:v>
                </c:pt>
                <c:pt idx="387">
                  <c:v>208.83536998292288</c:v>
                </c:pt>
                <c:pt idx="388">
                  <c:v>208.83536998292288</c:v>
                </c:pt>
                <c:pt idx="389">
                  <c:v>208.83536998292288</c:v>
                </c:pt>
                <c:pt idx="390">
                  <c:v>208.83536998292288</c:v>
                </c:pt>
                <c:pt idx="391">
                  <c:v>208.83536998292288</c:v>
                </c:pt>
                <c:pt idx="392">
                  <c:v>208.83536998292288</c:v>
                </c:pt>
                <c:pt idx="393">
                  <c:v>208.83536998292288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198.74707857615221</c:v>
                </c:pt>
                <c:pt idx="1">
                  <c:v>198.74707857615221</c:v>
                </c:pt>
                <c:pt idx="2">
                  <c:v>198.74707857615221</c:v>
                </c:pt>
                <c:pt idx="3">
                  <c:v>127.92596</c:v>
                </c:pt>
                <c:pt idx="4">
                  <c:v>68.985138000000006</c:v>
                </c:pt>
                <c:pt idx="5">
                  <c:v>67.590626</c:v>
                </c:pt>
                <c:pt idx="6">
                  <c:v>99.150615999999999</c:v>
                </c:pt>
                <c:pt idx="7">
                  <c:v>198.74707857615221</c:v>
                </c:pt>
                <c:pt idx="8">
                  <c:v>198.74707857615221</c:v>
                </c:pt>
                <c:pt idx="9">
                  <c:v>198.74707857615221</c:v>
                </c:pt>
                <c:pt idx="10">
                  <c:v>198.74707857615221</c:v>
                </c:pt>
                <c:pt idx="11">
                  <c:v>164.969347</c:v>
                </c:pt>
                <c:pt idx="12">
                  <c:v>170.91346600000003</c:v>
                </c:pt>
                <c:pt idx="13">
                  <c:v>198.74707857615221</c:v>
                </c:pt>
                <c:pt idx="14">
                  <c:v>198.74707857615221</c:v>
                </c:pt>
                <c:pt idx="15">
                  <c:v>170.35610800000001</c:v>
                </c:pt>
                <c:pt idx="16">
                  <c:v>155.22302999999999</c:v>
                </c:pt>
                <c:pt idx="17">
                  <c:v>56.478533000000006</c:v>
                </c:pt>
                <c:pt idx="18">
                  <c:v>144.09847200000002</c:v>
                </c:pt>
                <c:pt idx="19">
                  <c:v>198.74707857615221</c:v>
                </c:pt>
                <c:pt idx="20">
                  <c:v>198.74707857615221</c:v>
                </c:pt>
                <c:pt idx="21">
                  <c:v>198.74707857615221</c:v>
                </c:pt>
                <c:pt idx="22">
                  <c:v>198.74707857615221</c:v>
                </c:pt>
                <c:pt idx="23">
                  <c:v>198.74707857615221</c:v>
                </c:pt>
                <c:pt idx="24">
                  <c:v>198.74707857615221</c:v>
                </c:pt>
                <c:pt idx="25">
                  <c:v>151.71598999999998</c:v>
                </c:pt>
                <c:pt idx="26">
                  <c:v>198.74707857615221</c:v>
                </c:pt>
                <c:pt idx="27">
                  <c:v>198.74707857615221</c:v>
                </c:pt>
                <c:pt idx="28">
                  <c:v>198.74707857615221</c:v>
                </c:pt>
                <c:pt idx="29">
                  <c:v>198.74707857615221</c:v>
                </c:pt>
                <c:pt idx="30">
                  <c:v>198.74707857615221</c:v>
                </c:pt>
                <c:pt idx="31">
                  <c:v>212.35419522641482</c:v>
                </c:pt>
                <c:pt idx="32">
                  <c:v>212.35419522641482</c:v>
                </c:pt>
                <c:pt idx="33">
                  <c:v>212.35419522641482</c:v>
                </c:pt>
                <c:pt idx="34">
                  <c:v>108.021727</c:v>
                </c:pt>
                <c:pt idx="35">
                  <c:v>168.37157099999999</c:v>
                </c:pt>
                <c:pt idx="36">
                  <c:v>198.89263399999999</c:v>
                </c:pt>
                <c:pt idx="37">
                  <c:v>212.35419522641482</c:v>
                </c:pt>
                <c:pt idx="38">
                  <c:v>212.35419522641482</c:v>
                </c:pt>
                <c:pt idx="39">
                  <c:v>212.35419522641482</c:v>
                </c:pt>
                <c:pt idx="40">
                  <c:v>212.35419522641482</c:v>
                </c:pt>
                <c:pt idx="41">
                  <c:v>194.203328</c:v>
                </c:pt>
                <c:pt idx="42">
                  <c:v>212.35419522641482</c:v>
                </c:pt>
                <c:pt idx="43">
                  <c:v>188.31830600000001</c:v>
                </c:pt>
                <c:pt idx="44">
                  <c:v>166.18098000000001</c:v>
                </c:pt>
                <c:pt idx="45">
                  <c:v>212.35419522641482</c:v>
                </c:pt>
                <c:pt idx="46">
                  <c:v>193.89823699999999</c:v>
                </c:pt>
                <c:pt idx="47">
                  <c:v>150.38876199999999</c:v>
                </c:pt>
                <c:pt idx="48">
                  <c:v>206.499844</c:v>
                </c:pt>
                <c:pt idx="49">
                  <c:v>212.35419522641482</c:v>
                </c:pt>
                <c:pt idx="50">
                  <c:v>212.35419522641482</c:v>
                </c:pt>
                <c:pt idx="51">
                  <c:v>212.35419522641482</c:v>
                </c:pt>
                <c:pt idx="52">
                  <c:v>175.445042</c:v>
                </c:pt>
                <c:pt idx="53">
                  <c:v>163.82067800000002</c:v>
                </c:pt>
                <c:pt idx="54">
                  <c:v>212.35419522641482</c:v>
                </c:pt>
                <c:pt idx="55">
                  <c:v>138.19744</c:v>
                </c:pt>
                <c:pt idx="56">
                  <c:v>142.21107699999999</c:v>
                </c:pt>
                <c:pt idx="57">
                  <c:v>208.045571</c:v>
                </c:pt>
                <c:pt idx="58">
                  <c:v>212.35419522641482</c:v>
                </c:pt>
                <c:pt idx="59">
                  <c:v>201.75844362998288</c:v>
                </c:pt>
                <c:pt idx="60">
                  <c:v>116.65366299999999</c:v>
                </c:pt>
                <c:pt idx="61">
                  <c:v>59.233159000000001</c:v>
                </c:pt>
                <c:pt idx="62">
                  <c:v>85.570998000000003</c:v>
                </c:pt>
                <c:pt idx="63">
                  <c:v>146.74572899999998</c:v>
                </c:pt>
                <c:pt idx="64">
                  <c:v>136.76976400000001</c:v>
                </c:pt>
                <c:pt idx="65">
                  <c:v>69.506714000000002</c:v>
                </c:pt>
                <c:pt idx="66">
                  <c:v>162.11311200000003</c:v>
                </c:pt>
                <c:pt idx="67">
                  <c:v>139.32670400000001</c:v>
                </c:pt>
                <c:pt idx="68">
                  <c:v>117.505933</c:v>
                </c:pt>
                <c:pt idx="69">
                  <c:v>201.75844362998288</c:v>
                </c:pt>
                <c:pt idx="70">
                  <c:v>177.23169000000001</c:v>
                </c:pt>
                <c:pt idx="71">
                  <c:v>142.902986</c:v>
                </c:pt>
                <c:pt idx="72">
                  <c:v>198.94388500000002</c:v>
                </c:pt>
                <c:pt idx="73">
                  <c:v>201.75844362998288</c:v>
                </c:pt>
                <c:pt idx="74">
                  <c:v>201.75844362998288</c:v>
                </c:pt>
                <c:pt idx="75">
                  <c:v>201.75844362998288</c:v>
                </c:pt>
                <c:pt idx="76">
                  <c:v>201.75844362998288</c:v>
                </c:pt>
                <c:pt idx="77">
                  <c:v>201.75844362998288</c:v>
                </c:pt>
                <c:pt idx="78">
                  <c:v>201.75844362998288</c:v>
                </c:pt>
                <c:pt idx="79">
                  <c:v>201.75844362998288</c:v>
                </c:pt>
                <c:pt idx="80">
                  <c:v>201.75844362998288</c:v>
                </c:pt>
                <c:pt idx="81">
                  <c:v>68.061356000000004</c:v>
                </c:pt>
                <c:pt idx="82">
                  <c:v>23.369688999999997</c:v>
                </c:pt>
                <c:pt idx="83">
                  <c:v>46.521746999999998</c:v>
                </c:pt>
                <c:pt idx="84">
                  <c:v>101.47027600000001</c:v>
                </c:pt>
                <c:pt idx="85">
                  <c:v>138.59802299999998</c:v>
                </c:pt>
                <c:pt idx="86">
                  <c:v>125.51275699999999</c:v>
                </c:pt>
                <c:pt idx="87">
                  <c:v>201.75844362998288</c:v>
                </c:pt>
                <c:pt idx="88">
                  <c:v>198.45922300000001</c:v>
                </c:pt>
                <c:pt idx="89">
                  <c:v>201.75844362998288</c:v>
                </c:pt>
                <c:pt idx="90">
                  <c:v>168.57246605046646</c:v>
                </c:pt>
                <c:pt idx="91">
                  <c:v>76.236854999999991</c:v>
                </c:pt>
                <c:pt idx="92">
                  <c:v>168.57246605046646</c:v>
                </c:pt>
                <c:pt idx="93">
                  <c:v>168.57246605046646</c:v>
                </c:pt>
                <c:pt idx="94">
                  <c:v>111.212755</c:v>
                </c:pt>
                <c:pt idx="95">
                  <c:v>168.57246605046646</c:v>
                </c:pt>
                <c:pt idx="96">
                  <c:v>168.57246605046646</c:v>
                </c:pt>
                <c:pt idx="97">
                  <c:v>143.10141399999998</c:v>
                </c:pt>
                <c:pt idx="98">
                  <c:v>125.65358500000001</c:v>
                </c:pt>
                <c:pt idx="99">
                  <c:v>84.318590999999998</c:v>
                </c:pt>
                <c:pt idx="100">
                  <c:v>168.57246605046646</c:v>
                </c:pt>
                <c:pt idx="101">
                  <c:v>168.57246605046646</c:v>
                </c:pt>
                <c:pt idx="102">
                  <c:v>78.330179000000001</c:v>
                </c:pt>
                <c:pt idx="103">
                  <c:v>117.664731</c:v>
                </c:pt>
                <c:pt idx="104">
                  <c:v>168.57246605046646</c:v>
                </c:pt>
                <c:pt idx="105">
                  <c:v>168.57246605046646</c:v>
                </c:pt>
                <c:pt idx="106">
                  <c:v>168.57246605046646</c:v>
                </c:pt>
                <c:pt idx="107">
                  <c:v>122.06965699999999</c:v>
                </c:pt>
                <c:pt idx="108">
                  <c:v>63.650571999999997</c:v>
                </c:pt>
                <c:pt idx="109">
                  <c:v>47.180656999999997</c:v>
                </c:pt>
                <c:pt idx="110">
                  <c:v>40.098292000000001</c:v>
                </c:pt>
                <c:pt idx="111">
                  <c:v>63.853379999999994</c:v>
                </c:pt>
                <c:pt idx="112">
                  <c:v>168.57246605046646</c:v>
                </c:pt>
                <c:pt idx="113">
                  <c:v>168.57246605046646</c:v>
                </c:pt>
                <c:pt idx="114">
                  <c:v>138.57859400000001</c:v>
                </c:pt>
                <c:pt idx="115">
                  <c:v>52.446192000000003</c:v>
                </c:pt>
                <c:pt idx="116">
                  <c:v>55.059716999999999</c:v>
                </c:pt>
                <c:pt idx="117">
                  <c:v>64.012263000000004</c:v>
                </c:pt>
                <c:pt idx="118">
                  <c:v>87.662492</c:v>
                </c:pt>
                <c:pt idx="119">
                  <c:v>73.165069000000003</c:v>
                </c:pt>
                <c:pt idx="120">
                  <c:v>148.21549125060824</c:v>
                </c:pt>
                <c:pt idx="121">
                  <c:v>90.772222999999997</c:v>
                </c:pt>
                <c:pt idx="122">
                  <c:v>108.662935</c:v>
                </c:pt>
                <c:pt idx="123">
                  <c:v>61.359756999999995</c:v>
                </c:pt>
                <c:pt idx="124">
                  <c:v>77.207909000000001</c:v>
                </c:pt>
                <c:pt idx="125">
                  <c:v>120.717904</c:v>
                </c:pt>
                <c:pt idx="126">
                  <c:v>91.632914</c:v>
                </c:pt>
                <c:pt idx="127">
                  <c:v>148.21549125060824</c:v>
                </c:pt>
                <c:pt idx="128">
                  <c:v>148.21549125060824</c:v>
                </c:pt>
                <c:pt idx="129">
                  <c:v>148.21549125060824</c:v>
                </c:pt>
                <c:pt idx="130">
                  <c:v>148.21549125060824</c:v>
                </c:pt>
                <c:pt idx="131">
                  <c:v>148.21549125060824</c:v>
                </c:pt>
                <c:pt idx="132">
                  <c:v>148.21549125060824</c:v>
                </c:pt>
                <c:pt idx="133">
                  <c:v>148.21549125060824</c:v>
                </c:pt>
                <c:pt idx="134">
                  <c:v>148.21549125060824</c:v>
                </c:pt>
                <c:pt idx="135">
                  <c:v>148.21549125060824</c:v>
                </c:pt>
                <c:pt idx="136">
                  <c:v>106.187793</c:v>
                </c:pt>
                <c:pt idx="137">
                  <c:v>148.21549125060824</c:v>
                </c:pt>
                <c:pt idx="138">
                  <c:v>148.21549125060824</c:v>
                </c:pt>
                <c:pt idx="139">
                  <c:v>87.604952000000011</c:v>
                </c:pt>
                <c:pt idx="140">
                  <c:v>147.67504</c:v>
                </c:pt>
                <c:pt idx="141">
                  <c:v>119.544276</c:v>
                </c:pt>
                <c:pt idx="142">
                  <c:v>120.53874999999999</c:v>
                </c:pt>
                <c:pt idx="143">
                  <c:v>148.21549125060824</c:v>
                </c:pt>
                <c:pt idx="144">
                  <c:v>133.723097</c:v>
                </c:pt>
                <c:pt idx="145">
                  <c:v>88.333927000000003</c:v>
                </c:pt>
                <c:pt idx="146">
                  <c:v>52.269663999999999</c:v>
                </c:pt>
                <c:pt idx="147">
                  <c:v>48.856330999999997</c:v>
                </c:pt>
                <c:pt idx="148">
                  <c:v>81.927820999999994</c:v>
                </c:pt>
                <c:pt idx="149">
                  <c:v>117.86642999999999</c:v>
                </c:pt>
                <c:pt idx="150">
                  <c:v>107.58640800000001</c:v>
                </c:pt>
                <c:pt idx="151">
                  <c:v>104.232579</c:v>
                </c:pt>
                <c:pt idx="152">
                  <c:v>60.776597000000002</c:v>
                </c:pt>
                <c:pt idx="153">
                  <c:v>124.33419000000001</c:v>
                </c:pt>
                <c:pt idx="154">
                  <c:v>102.70423299999999</c:v>
                </c:pt>
                <c:pt idx="155">
                  <c:v>87.227254000000002</c:v>
                </c:pt>
                <c:pt idx="156">
                  <c:v>124.34590300000001</c:v>
                </c:pt>
                <c:pt idx="157">
                  <c:v>101.430752</c:v>
                </c:pt>
                <c:pt idx="158">
                  <c:v>72.184073999999995</c:v>
                </c:pt>
                <c:pt idx="159">
                  <c:v>96.907132000000004</c:v>
                </c:pt>
                <c:pt idx="160">
                  <c:v>108.53663200000001</c:v>
                </c:pt>
                <c:pt idx="161">
                  <c:v>125.351537048962</c:v>
                </c:pt>
                <c:pt idx="162">
                  <c:v>125.351537048962</c:v>
                </c:pt>
                <c:pt idx="163">
                  <c:v>97.811784000000003</c:v>
                </c:pt>
                <c:pt idx="164">
                  <c:v>73.399113999999997</c:v>
                </c:pt>
                <c:pt idx="165">
                  <c:v>113.459914</c:v>
                </c:pt>
                <c:pt idx="166">
                  <c:v>105.002115</c:v>
                </c:pt>
                <c:pt idx="167">
                  <c:v>96.281922999999992</c:v>
                </c:pt>
                <c:pt idx="168">
                  <c:v>119.670856</c:v>
                </c:pt>
                <c:pt idx="169">
                  <c:v>91.510205999999997</c:v>
                </c:pt>
                <c:pt idx="170">
                  <c:v>125.351537048962</c:v>
                </c:pt>
                <c:pt idx="171">
                  <c:v>125.351537048962</c:v>
                </c:pt>
                <c:pt idx="172">
                  <c:v>118.335488</c:v>
                </c:pt>
                <c:pt idx="173">
                  <c:v>125.351537048962</c:v>
                </c:pt>
                <c:pt idx="174">
                  <c:v>125.351537048962</c:v>
                </c:pt>
                <c:pt idx="175">
                  <c:v>113.49160999999999</c:v>
                </c:pt>
                <c:pt idx="176">
                  <c:v>125.351537048962</c:v>
                </c:pt>
                <c:pt idx="177">
                  <c:v>125.351537048962</c:v>
                </c:pt>
                <c:pt idx="178">
                  <c:v>125.351537048962</c:v>
                </c:pt>
                <c:pt idx="179">
                  <c:v>71.419916000000001</c:v>
                </c:pt>
                <c:pt idx="180">
                  <c:v>68.185704000000001</c:v>
                </c:pt>
                <c:pt idx="181">
                  <c:v>53.796086000000003</c:v>
                </c:pt>
                <c:pt idx="182">
                  <c:v>81.503188999999992</c:v>
                </c:pt>
                <c:pt idx="183">
                  <c:v>108.56993399999999</c:v>
                </c:pt>
                <c:pt idx="184">
                  <c:v>123.29855563491931</c:v>
                </c:pt>
                <c:pt idx="185">
                  <c:v>123.29855563491931</c:v>
                </c:pt>
                <c:pt idx="186">
                  <c:v>123.29855563491931</c:v>
                </c:pt>
                <c:pt idx="187">
                  <c:v>99.963304000000008</c:v>
                </c:pt>
                <c:pt idx="188">
                  <c:v>118.725815</c:v>
                </c:pt>
                <c:pt idx="189">
                  <c:v>106.795575</c:v>
                </c:pt>
                <c:pt idx="190">
                  <c:v>101.932551</c:v>
                </c:pt>
                <c:pt idx="191">
                  <c:v>123.29855563491931</c:v>
                </c:pt>
                <c:pt idx="192">
                  <c:v>123.29855563491931</c:v>
                </c:pt>
                <c:pt idx="193">
                  <c:v>123.29855563491931</c:v>
                </c:pt>
                <c:pt idx="194">
                  <c:v>123.29855563491931</c:v>
                </c:pt>
                <c:pt idx="195">
                  <c:v>123.29855563491931</c:v>
                </c:pt>
                <c:pt idx="196">
                  <c:v>123.29855563491931</c:v>
                </c:pt>
                <c:pt idx="197">
                  <c:v>110.35884300000001</c:v>
                </c:pt>
                <c:pt idx="198">
                  <c:v>123.29855563491931</c:v>
                </c:pt>
                <c:pt idx="199">
                  <c:v>90.316018999999997</c:v>
                </c:pt>
                <c:pt idx="200">
                  <c:v>60.917413000000003</c:v>
                </c:pt>
                <c:pt idx="201">
                  <c:v>54.755584000000006</c:v>
                </c:pt>
                <c:pt idx="202">
                  <c:v>107.60022900000001</c:v>
                </c:pt>
                <c:pt idx="203">
                  <c:v>123.29855563491931</c:v>
                </c:pt>
                <c:pt idx="204">
                  <c:v>123.29855563491931</c:v>
                </c:pt>
                <c:pt idx="205">
                  <c:v>99.542224000000004</c:v>
                </c:pt>
                <c:pt idx="206">
                  <c:v>96.480999999999995</c:v>
                </c:pt>
                <c:pt idx="207">
                  <c:v>97.773696000000001</c:v>
                </c:pt>
                <c:pt idx="208">
                  <c:v>123.29855563491931</c:v>
                </c:pt>
                <c:pt idx="209">
                  <c:v>123.29855563491931</c:v>
                </c:pt>
                <c:pt idx="210">
                  <c:v>123.29855563491931</c:v>
                </c:pt>
                <c:pt idx="211">
                  <c:v>123.29855563491931</c:v>
                </c:pt>
                <c:pt idx="212">
                  <c:v>105.18641799999999</c:v>
                </c:pt>
                <c:pt idx="213">
                  <c:v>65.453483000000006</c:v>
                </c:pt>
                <c:pt idx="214">
                  <c:v>81.197506000000004</c:v>
                </c:pt>
                <c:pt idx="215">
                  <c:v>117.955557</c:v>
                </c:pt>
                <c:pt idx="216">
                  <c:v>119.88224746277839</c:v>
                </c:pt>
                <c:pt idx="217">
                  <c:v>119.88224746277839</c:v>
                </c:pt>
                <c:pt idx="218">
                  <c:v>119.88224746277839</c:v>
                </c:pt>
                <c:pt idx="219">
                  <c:v>90.907698999999994</c:v>
                </c:pt>
                <c:pt idx="220">
                  <c:v>83.164895000000001</c:v>
                </c:pt>
                <c:pt idx="221">
                  <c:v>63.678758999999999</c:v>
                </c:pt>
                <c:pt idx="222">
                  <c:v>70.815956999999997</c:v>
                </c:pt>
                <c:pt idx="223">
                  <c:v>105.14086700000001</c:v>
                </c:pt>
                <c:pt idx="224">
                  <c:v>77.892179999999996</c:v>
                </c:pt>
                <c:pt idx="225">
                  <c:v>88.148240000000001</c:v>
                </c:pt>
                <c:pt idx="226">
                  <c:v>119.88224746277839</c:v>
                </c:pt>
                <c:pt idx="227">
                  <c:v>119.88224746277839</c:v>
                </c:pt>
                <c:pt idx="228">
                  <c:v>119.88224746277839</c:v>
                </c:pt>
                <c:pt idx="229">
                  <c:v>119.88224746277839</c:v>
                </c:pt>
                <c:pt idx="230">
                  <c:v>100.684027</c:v>
                </c:pt>
                <c:pt idx="231">
                  <c:v>70.081975999999997</c:v>
                </c:pt>
                <c:pt idx="232">
                  <c:v>75.086092000000008</c:v>
                </c:pt>
                <c:pt idx="233">
                  <c:v>119.88224746277839</c:v>
                </c:pt>
                <c:pt idx="234">
                  <c:v>119.88224746277839</c:v>
                </c:pt>
                <c:pt idx="235">
                  <c:v>119.88224746277839</c:v>
                </c:pt>
                <c:pt idx="236">
                  <c:v>84.560342000000006</c:v>
                </c:pt>
                <c:pt idx="237">
                  <c:v>43.339019</c:v>
                </c:pt>
                <c:pt idx="238">
                  <c:v>80.722854999999996</c:v>
                </c:pt>
                <c:pt idx="239">
                  <c:v>119.88224746277839</c:v>
                </c:pt>
                <c:pt idx="240">
                  <c:v>107.65733099999999</c:v>
                </c:pt>
                <c:pt idx="241">
                  <c:v>70.595690000000005</c:v>
                </c:pt>
                <c:pt idx="242">
                  <c:v>79.50084600000001</c:v>
                </c:pt>
                <c:pt idx="243">
                  <c:v>106.17876099999999</c:v>
                </c:pt>
                <c:pt idx="244">
                  <c:v>31.283776000000003</c:v>
                </c:pt>
                <c:pt idx="245">
                  <c:v>18.009798</c:v>
                </c:pt>
                <c:pt idx="246">
                  <c:v>30.801286000000001</c:v>
                </c:pt>
                <c:pt idx="247">
                  <c:v>76.818422999999996</c:v>
                </c:pt>
                <c:pt idx="248">
                  <c:v>117.97446350125541</c:v>
                </c:pt>
                <c:pt idx="249">
                  <c:v>117.97446350125541</c:v>
                </c:pt>
                <c:pt idx="250">
                  <c:v>117.97446350125541</c:v>
                </c:pt>
                <c:pt idx="251">
                  <c:v>116.04786800000001</c:v>
                </c:pt>
                <c:pt idx="252">
                  <c:v>65.756388000000001</c:v>
                </c:pt>
                <c:pt idx="253">
                  <c:v>33.642375999999999</c:v>
                </c:pt>
                <c:pt idx="254">
                  <c:v>46.564877000000003</c:v>
                </c:pt>
                <c:pt idx="255">
                  <c:v>117.97446350125541</c:v>
                </c:pt>
                <c:pt idx="256">
                  <c:v>117.793465</c:v>
                </c:pt>
                <c:pt idx="257">
                  <c:v>45.131029000000005</c:v>
                </c:pt>
                <c:pt idx="258">
                  <c:v>82.342123000000001</c:v>
                </c:pt>
                <c:pt idx="259">
                  <c:v>51.168244000000008</c:v>
                </c:pt>
                <c:pt idx="260">
                  <c:v>108.26396200000001</c:v>
                </c:pt>
                <c:pt idx="261">
                  <c:v>91.990882999999997</c:v>
                </c:pt>
                <c:pt idx="262">
                  <c:v>117.97446350125541</c:v>
                </c:pt>
                <c:pt idx="263">
                  <c:v>117.97446350125541</c:v>
                </c:pt>
                <c:pt idx="264">
                  <c:v>117.97446350125541</c:v>
                </c:pt>
                <c:pt idx="265">
                  <c:v>117.97446350125541</c:v>
                </c:pt>
                <c:pt idx="266">
                  <c:v>117.97446350125541</c:v>
                </c:pt>
                <c:pt idx="267">
                  <c:v>117.97446350125541</c:v>
                </c:pt>
                <c:pt idx="268">
                  <c:v>100.70335300000001</c:v>
                </c:pt>
                <c:pt idx="269">
                  <c:v>77.789228000000008</c:v>
                </c:pt>
                <c:pt idx="270">
                  <c:v>58.146766000000007</c:v>
                </c:pt>
                <c:pt idx="271">
                  <c:v>117.97446350125541</c:v>
                </c:pt>
                <c:pt idx="272">
                  <c:v>83.121623999999997</c:v>
                </c:pt>
                <c:pt idx="273">
                  <c:v>38.951037999999997</c:v>
                </c:pt>
                <c:pt idx="274">
                  <c:v>137.65287575629179</c:v>
                </c:pt>
                <c:pt idx="275">
                  <c:v>137.65287575629179</c:v>
                </c:pt>
                <c:pt idx="276">
                  <c:v>137.65287575629179</c:v>
                </c:pt>
                <c:pt idx="277">
                  <c:v>137.65287575629179</c:v>
                </c:pt>
                <c:pt idx="278">
                  <c:v>125.546941</c:v>
                </c:pt>
                <c:pt idx="279">
                  <c:v>105.950447</c:v>
                </c:pt>
                <c:pt idx="280">
                  <c:v>90.928991999999994</c:v>
                </c:pt>
                <c:pt idx="281">
                  <c:v>122.182894</c:v>
                </c:pt>
                <c:pt idx="282">
                  <c:v>137.65287575629179</c:v>
                </c:pt>
                <c:pt idx="283">
                  <c:v>137.65287575629179</c:v>
                </c:pt>
                <c:pt idx="284">
                  <c:v>137.65287575629179</c:v>
                </c:pt>
                <c:pt idx="285">
                  <c:v>137.65287575629179</c:v>
                </c:pt>
                <c:pt idx="286">
                  <c:v>76.062578999999999</c:v>
                </c:pt>
                <c:pt idx="287">
                  <c:v>59.871079999999999</c:v>
                </c:pt>
                <c:pt idx="288">
                  <c:v>51.861211000000004</c:v>
                </c:pt>
                <c:pt idx="289">
                  <c:v>54.082636000000001</c:v>
                </c:pt>
                <c:pt idx="290">
                  <c:v>68.709242000000003</c:v>
                </c:pt>
                <c:pt idx="291">
                  <c:v>137.65287575629179</c:v>
                </c:pt>
                <c:pt idx="292">
                  <c:v>137.65287575629179</c:v>
                </c:pt>
                <c:pt idx="293">
                  <c:v>113.226527</c:v>
                </c:pt>
                <c:pt idx="294">
                  <c:v>137.65287575629179</c:v>
                </c:pt>
                <c:pt idx="295">
                  <c:v>77.004344000000003</c:v>
                </c:pt>
                <c:pt idx="296">
                  <c:v>53.182631999999998</c:v>
                </c:pt>
                <c:pt idx="297">
                  <c:v>37.105714999999996</c:v>
                </c:pt>
                <c:pt idx="298">
                  <c:v>77.953000000000003</c:v>
                </c:pt>
                <c:pt idx="299">
                  <c:v>43.982450999999998</c:v>
                </c:pt>
                <c:pt idx="300">
                  <c:v>137.65287575629179</c:v>
                </c:pt>
                <c:pt idx="301">
                  <c:v>137.65287575629179</c:v>
                </c:pt>
                <c:pt idx="302">
                  <c:v>137.65287575629179</c:v>
                </c:pt>
                <c:pt idx="303">
                  <c:v>137.65287575629179</c:v>
                </c:pt>
                <c:pt idx="304">
                  <c:v>183.91599168072182</c:v>
                </c:pt>
                <c:pt idx="305">
                  <c:v>183.91599168072182</c:v>
                </c:pt>
                <c:pt idx="306">
                  <c:v>183.91599168072182</c:v>
                </c:pt>
                <c:pt idx="307">
                  <c:v>168.53924499999999</c:v>
                </c:pt>
                <c:pt idx="308">
                  <c:v>183.91599168072182</c:v>
                </c:pt>
                <c:pt idx="309">
                  <c:v>183.91599168072182</c:v>
                </c:pt>
                <c:pt idx="310">
                  <c:v>183.91599168072182</c:v>
                </c:pt>
                <c:pt idx="311">
                  <c:v>183.91599168072182</c:v>
                </c:pt>
                <c:pt idx="312">
                  <c:v>183.91599168072182</c:v>
                </c:pt>
                <c:pt idx="313">
                  <c:v>90.312099000000003</c:v>
                </c:pt>
                <c:pt idx="314">
                  <c:v>58.269220999999995</c:v>
                </c:pt>
                <c:pt idx="315">
                  <c:v>80.060960999999992</c:v>
                </c:pt>
                <c:pt idx="316">
                  <c:v>127.323469</c:v>
                </c:pt>
                <c:pt idx="317">
                  <c:v>183.91599168072182</c:v>
                </c:pt>
                <c:pt idx="318">
                  <c:v>183.91599168072182</c:v>
                </c:pt>
                <c:pt idx="319">
                  <c:v>183.91599168072182</c:v>
                </c:pt>
                <c:pt idx="320">
                  <c:v>183.91599168072182</c:v>
                </c:pt>
                <c:pt idx="321">
                  <c:v>183.91599168072182</c:v>
                </c:pt>
                <c:pt idx="322">
                  <c:v>154.32178400000001</c:v>
                </c:pt>
                <c:pt idx="323">
                  <c:v>82.706244999999996</c:v>
                </c:pt>
                <c:pt idx="324">
                  <c:v>82.870231000000004</c:v>
                </c:pt>
                <c:pt idx="325">
                  <c:v>165.635772</c:v>
                </c:pt>
                <c:pt idx="326">
                  <c:v>183.91599168072182</c:v>
                </c:pt>
                <c:pt idx="327">
                  <c:v>183.91599168072182</c:v>
                </c:pt>
                <c:pt idx="328">
                  <c:v>183.91599168072182</c:v>
                </c:pt>
                <c:pt idx="329">
                  <c:v>183.91599168072182</c:v>
                </c:pt>
                <c:pt idx="330">
                  <c:v>183.91599168072182</c:v>
                </c:pt>
                <c:pt idx="331">
                  <c:v>183.91599168072182</c:v>
                </c:pt>
                <c:pt idx="332">
                  <c:v>183.91599168072182</c:v>
                </c:pt>
                <c:pt idx="333">
                  <c:v>81.179220000000001</c:v>
                </c:pt>
                <c:pt idx="334">
                  <c:v>181.48844898808721</c:v>
                </c:pt>
                <c:pt idx="335">
                  <c:v>181.48844898808721</c:v>
                </c:pt>
                <c:pt idx="336">
                  <c:v>181.48844898808721</c:v>
                </c:pt>
                <c:pt idx="337">
                  <c:v>181.48844898808721</c:v>
                </c:pt>
                <c:pt idx="338">
                  <c:v>181.48844898808721</c:v>
                </c:pt>
                <c:pt idx="339">
                  <c:v>181.48844898808721</c:v>
                </c:pt>
                <c:pt idx="340">
                  <c:v>181.48844898808721</c:v>
                </c:pt>
                <c:pt idx="341">
                  <c:v>181.48844898808721</c:v>
                </c:pt>
                <c:pt idx="342">
                  <c:v>181.48844898808721</c:v>
                </c:pt>
                <c:pt idx="343">
                  <c:v>181.48844898808721</c:v>
                </c:pt>
                <c:pt idx="344">
                  <c:v>181.48844898808721</c:v>
                </c:pt>
                <c:pt idx="345">
                  <c:v>99.339613</c:v>
                </c:pt>
                <c:pt idx="346">
                  <c:v>92.522605999999996</c:v>
                </c:pt>
                <c:pt idx="347">
                  <c:v>60.134847999999998</c:v>
                </c:pt>
                <c:pt idx="348">
                  <c:v>107.19634500000001</c:v>
                </c:pt>
                <c:pt idx="349">
                  <c:v>147.83759000000001</c:v>
                </c:pt>
                <c:pt idx="350">
                  <c:v>113.43557700000001</c:v>
                </c:pt>
                <c:pt idx="351">
                  <c:v>83.44778500000001</c:v>
                </c:pt>
                <c:pt idx="352">
                  <c:v>122.511708</c:v>
                </c:pt>
                <c:pt idx="353">
                  <c:v>119.95667200000001</c:v>
                </c:pt>
                <c:pt idx="354">
                  <c:v>131.44721999999999</c:v>
                </c:pt>
                <c:pt idx="355">
                  <c:v>141.58955900000001</c:v>
                </c:pt>
                <c:pt idx="356">
                  <c:v>162.02903400000002</c:v>
                </c:pt>
                <c:pt idx="357">
                  <c:v>181.48844898808721</c:v>
                </c:pt>
                <c:pt idx="358">
                  <c:v>160.13652400000001</c:v>
                </c:pt>
                <c:pt idx="359">
                  <c:v>181.48844898808721</c:v>
                </c:pt>
                <c:pt idx="360">
                  <c:v>181.48844898808721</c:v>
                </c:pt>
                <c:pt idx="361">
                  <c:v>181.48844898808721</c:v>
                </c:pt>
                <c:pt idx="362">
                  <c:v>181.48844898808721</c:v>
                </c:pt>
                <c:pt idx="363">
                  <c:v>93.661178000000007</c:v>
                </c:pt>
                <c:pt idx="364">
                  <c:v>120.17953900000001</c:v>
                </c:pt>
                <c:pt idx="365">
                  <c:v>139.46703399999998</c:v>
                </c:pt>
                <c:pt idx="366">
                  <c:v>103.22410799999999</c:v>
                </c:pt>
                <c:pt idx="367">
                  <c:v>151.54837499999999</c:v>
                </c:pt>
                <c:pt idx="368">
                  <c:v>208.83536998292288</c:v>
                </c:pt>
                <c:pt idx="369">
                  <c:v>208.83536998292288</c:v>
                </c:pt>
                <c:pt idx="370">
                  <c:v>206.09111899999996</c:v>
                </c:pt>
                <c:pt idx="371">
                  <c:v>208.52585300000001</c:v>
                </c:pt>
                <c:pt idx="372">
                  <c:v>208.83536998292288</c:v>
                </c:pt>
                <c:pt idx="373">
                  <c:v>208.83536998292288</c:v>
                </c:pt>
                <c:pt idx="374">
                  <c:v>208.83536998292288</c:v>
                </c:pt>
                <c:pt idx="375">
                  <c:v>208.83536998292288</c:v>
                </c:pt>
                <c:pt idx="376">
                  <c:v>208.83536998292288</c:v>
                </c:pt>
                <c:pt idx="377">
                  <c:v>128.97747000000001</c:v>
                </c:pt>
                <c:pt idx="378">
                  <c:v>84.028486999999998</c:v>
                </c:pt>
                <c:pt idx="379">
                  <c:v>62.010108000000002</c:v>
                </c:pt>
                <c:pt idx="380">
                  <c:v>64.099561000000008</c:v>
                </c:pt>
                <c:pt idx="381">
                  <c:v>76.092447000000007</c:v>
                </c:pt>
                <c:pt idx="382">
                  <c:v>50.593656000000003</c:v>
                </c:pt>
                <c:pt idx="383">
                  <c:v>95.962306999999996</c:v>
                </c:pt>
                <c:pt idx="384">
                  <c:v>208.83536998292288</c:v>
                </c:pt>
                <c:pt idx="385">
                  <c:v>208.83536998292288</c:v>
                </c:pt>
                <c:pt idx="386">
                  <c:v>174.685461</c:v>
                </c:pt>
                <c:pt idx="387">
                  <c:v>95.040397999999996</c:v>
                </c:pt>
                <c:pt idx="388">
                  <c:v>82.144214000000005</c:v>
                </c:pt>
                <c:pt idx="389">
                  <c:v>99.789788000000001</c:v>
                </c:pt>
                <c:pt idx="390">
                  <c:v>122.86361100000001</c:v>
                </c:pt>
                <c:pt idx="391">
                  <c:v>134.06142199999999</c:v>
                </c:pt>
                <c:pt idx="392">
                  <c:v>208.83536998292288</c:v>
                </c:pt>
                <c:pt idx="393">
                  <c:v>114.510508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Dat_02!$C$3:$C$398</c:f>
              <c:numCache>
                <c:formatCode>#,##0.0</c:formatCode>
                <c:ptCount val="396"/>
                <c:pt idx="0">
                  <c:v>121.65851347889853</c:v>
                </c:pt>
                <c:pt idx="1">
                  <c:v>122.79226157089855</c:v>
                </c:pt>
                <c:pt idx="2">
                  <c:v>127.5509066309004</c:v>
                </c:pt>
                <c:pt idx="3">
                  <c:v>176.54740736089855</c:v>
                </c:pt>
                <c:pt idx="4">
                  <c:v>186.76678542089851</c:v>
                </c:pt>
                <c:pt idx="5">
                  <c:v>122.4508974280194</c:v>
                </c:pt>
                <c:pt idx="6">
                  <c:v>113.50098375602127</c:v>
                </c:pt>
                <c:pt idx="7">
                  <c:v>108.17419805602127</c:v>
                </c:pt>
                <c:pt idx="8">
                  <c:v>79.63141345601754</c:v>
                </c:pt>
                <c:pt idx="9">
                  <c:v>78.27291295402128</c:v>
                </c:pt>
                <c:pt idx="10">
                  <c:v>89.291085424019414</c:v>
                </c:pt>
                <c:pt idx="11">
                  <c:v>103.80750175601942</c:v>
                </c:pt>
                <c:pt idx="12">
                  <c:v>65.07410711507066</c:v>
                </c:pt>
                <c:pt idx="13">
                  <c:v>63.240659711070649</c:v>
                </c:pt>
                <c:pt idx="14">
                  <c:v>62.816474647068794</c:v>
                </c:pt>
                <c:pt idx="15">
                  <c:v>56.416824859072513</c:v>
                </c:pt>
                <c:pt idx="16">
                  <c:v>39.007617675068786</c:v>
                </c:pt>
                <c:pt idx="17">
                  <c:v>71.566471235070637</c:v>
                </c:pt>
                <c:pt idx="18">
                  <c:v>56.21605761507066</c:v>
                </c:pt>
                <c:pt idx="19">
                  <c:v>180.65407095807191</c:v>
                </c:pt>
                <c:pt idx="20">
                  <c:v>170.05959577406819</c:v>
                </c:pt>
                <c:pt idx="21">
                  <c:v>170.92545026807005</c:v>
                </c:pt>
                <c:pt idx="22">
                  <c:v>143.75904223607003</c:v>
                </c:pt>
                <c:pt idx="23">
                  <c:v>146.19796674007003</c:v>
                </c:pt>
                <c:pt idx="24">
                  <c:v>197.6827134820719</c:v>
                </c:pt>
                <c:pt idx="25">
                  <c:v>215.54117273807006</c:v>
                </c:pt>
                <c:pt idx="26">
                  <c:v>272.82631553889729</c:v>
                </c:pt>
                <c:pt idx="27">
                  <c:v>274.95323513289543</c:v>
                </c:pt>
                <c:pt idx="28">
                  <c:v>270.03186463489726</c:v>
                </c:pt>
                <c:pt idx="29">
                  <c:v>254.74857380889728</c:v>
                </c:pt>
                <c:pt idx="30">
                  <c:v>254.47139566889541</c:v>
                </c:pt>
                <c:pt idx="31">
                  <c:v>264.21452582089734</c:v>
                </c:pt>
                <c:pt idx="32">
                  <c:v>271.8883815768973</c:v>
                </c:pt>
                <c:pt idx="33">
                  <c:v>264.77750888939914</c:v>
                </c:pt>
                <c:pt idx="34">
                  <c:v>286.24832100740286</c:v>
                </c:pt>
                <c:pt idx="35">
                  <c:v>289.68583658139733</c:v>
                </c:pt>
                <c:pt idx="36">
                  <c:v>278.84053050739914</c:v>
                </c:pt>
                <c:pt idx="37">
                  <c:v>257.86934344740104</c:v>
                </c:pt>
                <c:pt idx="38">
                  <c:v>268.03851418739919</c:v>
                </c:pt>
                <c:pt idx="39">
                  <c:v>273.13360594139914</c:v>
                </c:pt>
                <c:pt idx="40">
                  <c:v>328.44078269002193</c:v>
                </c:pt>
                <c:pt idx="41">
                  <c:v>338.51009790801822</c:v>
                </c:pt>
                <c:pt idx="42">
                  <c:v>330.25560903802005</c:v>
                </c:pt>
                <c:pt idx="43">
                  <c:v>329.28507639802189</c:v>
                </c:pt>
                <c:pt idx="44">
                  <c:v>318.35546310201823</c:v>
                </c:pt>
                <c:pt idx="45">
                  <c:v>312.81087380202382</c:v>
                </c:pt>
                <c:pt idx="46">
                  <c:v>324.41229373601823</c:v>
                </c:pt>
                <c:pt idx="47">
                  <c:v>252.2720333414799</c:v>
                </c:pt>
                <c:pt idx="48">
                  <c:v>250.65055446548178</c:v>
                </c:pt>
                <c:pt idx="49">
                  <c:v>245.1453820234799</c:v>
                </c:pt>
                <c:pt idx="50">
                  <c:v>229.51409113947807</c:v>
                </c:pt>
                <c:pt idx="51">
                  <c:v>231.68638140947991</c:v>
                </c:pt>
                <c:pt idx="52">
                  <c:v>256.02700607347992</c:v>
                </c:pt>
                <c:pt idx="53">
                  <c:v>251.39888980148362</c:v>
                </c:pt>
                <c:pt idx="54">
                  <c:v>198.81831994217782</c:v>
                </c:pt>
                <c:pt idx="55">
                  <c:v>215.0682341041834</c:v>
                </c:pt>
                <c:pt idx="56">
                  <c:v>213.26360656817971</c:v>
                </c:pt>
                <c:pt idx="57">
                  <c:v>180.82028814617971</c:v>
                </c:pt>
                <c:pt idx="58">
                  <c:v>158.90246914818343</c:v>
                </c:pt>
                <c:pt idx="59">
                  <c:v>180.44046921617971</c:v>
                </c:pt>
                <c:pt idx="60">
                  <c:v>201.88812913417783</c:v>
                </c:pt>
                <c:pt idx="61">
                  <c:v>170.96450658492193</c:v>
                </c:pt>
                <c:pt idx="62">
                  <c:v>157.95344540092009</c:v>
                </c:pt>
                <c:pt idx="63">
                  <c:v>146.90218992091823</c:v>
                </c:pt>
                <c:pt idx="64">
                  <c:v>129.03140171292009</c:v>
                </c:pt>
                <c:pt idx="65">
                  <c:v>122.20862098892007</c:v>
                </c:pt>
                <c:pt idx="66">
                  <c:v>153.32061997692009</c:v>
                </c:pt>
                <c:pt idx="67">
                  <c:v>149.23340450492009</c:v>
                </c:pt>
                <c:pt idx="68">
                  <c:v>129.11765964011255</c:v>
                </c:pt>
                <c:pt idx="69">
                  <c:v>101.24274598610882</c:v>
                </c:pt>
                <c:pt idx="70">
                  <c:v>100.59386583211254</c:v>
                </c:pt>
                <c:pt idx="71">
                  <c:v>72.327119336108822</c:v>
                </c:pt>
                <c:pt idx="72">
                  <c:v>68.551170946110673</c:v>
                </c:pt>
                <c:pt idx="73">
                  <c:v>105.40515978611255</c:v>
                </c:pt>
                <c:pt idx="74">
                  <c:v>84.462778064108818</c:v>
                </c:pt>
                <c:pt idx="75">
                  <c:v>78.694627249169685</c:v>
                </c:pt>
                <c:pt idx="76">
                  <c:v>91.903880105165968</c:v>
                </c:pt>
                <c:pt idx="77">
                  <c:v>86.793806863165969</c:v>
                </c:pt>
                <c:pt idx="78">
                  <c:v>43.181008023169689</c:v>
                </c:pt>
                <c:pt idx="79">
                  <c:v>48.583970891164107</c:v>
                </c:pt>
                <c:pt idx="80">
                  <c:v>100.21419246116783</c:v>
                </c:pt>
                <c:pt idx="81">
                  <c:v>123.68496788916784</c:v>
                </c:pt>
                <c:pt idx="82">
                  <c:v>101.77382673701705</c:v>
                </c:pt>
                <c:pt idx="83">
                  <c:v>101.07529431301704</c:v>
                </c:pt>
                <c:pt idx="84">
                  <c:v>86.702990501018917</c:v>
                </c:pt>
                <c:pt idx="85">
                  <c:v>52.272516185018915</c:v>
                </c:pt>
                <c:pt idx="86">
                  <c:v>22.482826741017053</c:v>
                </c:pt>
                <c:pt idx="87">
                  <c:v>50.266185601017057</c:v>
                </c:pt>
                <c:pt idx="88">
                  <c:v>60.653618513017051</c:v>
                </c:pt>
                <c:pt idx="89">
                  <c:v>75.173001266482387</c:v>
                </c:pt>
                <c:pt idx="90">
                  <c:v>63.751534450480527</c:v>
                </c:pt>
                <c:pt idx="91">
                  <c:v>65.469556810482388</c:v>
                </c:pt>
                <c:pt idx="92">
                  <c:v>42.394872066480531</c:v>
                </c:pt>
                <c:pt idx="93">
                  <c:v>41.921852302478669</c:v>
                </c:pt>
                <c:pt idx="94">
                  <c:v>57.354918402480529</c:v>
                </c:pt>
                <c:pt idx="95">
                  <c:v>72.645776494480529</c:v>
                </c:pt>
                <c:pt idx="96">
                  <c:v>73.096940716146577</c:v>
                </c:pt>
                <c:pt idx="97">
                  <c:v>97.066670200148423</c:v>
                </c:pt>
                <c:pt idx="98">
                  <c:v>89.110312520142855</c:v>
                </c:pt>
                <c:pt idx="99">
                  <c:v>59.675219168146576</c:v>
                </c:pt>
                <c:pt idx="100">
                  <c:v>36.012027652150294</c:v>
                </c:pt>
                <c:pt idx="101">
                  <c:v>71.971308904144706</c:v>
                </c:pt>
                <c:pt idx="102">
                  <c:v>87.947210396146573</c:v>
                </c:pt>
                <c:pt idx="103">
                  <c:v>74.086402859665498</c:v>
                </c:pt>
                <c:pt idx="104">
                  <c:v>65.578525103665498</c:v>
                </c:pt>
                <c:pt idx="105">
                  <c:v>52.699597831667354</c:v>
                </c:pt>
                <c:pt idx="106">
                  <c:v>28.046403551661772</c:v>
                </c:pt>
                <c:pt idx="107">
                  <c:v>25.635951475665497</c:v>
                </c:pt>
                <c:pt idx="108">
                  <c:v>67.719343807665496</c:v>
                </c:pt>
                <c:pt idx="109">
                  <c:v>64.315226755665492</c:v>
                </c:pt>
                <c:pt idx="110">
                  <c:v>77.320690818515956</c:v>
                </c:pt>
                <c:pt idx="111">
                  <c:v>70.427260162521549</c:v>
                </c:pt>
                <c:pt idx="112">
                  <c:v>33.338680286519683</c:v>
                </c:pt>
                <c:pt idx="113">
                  <c:v>20.936699170515961</c:v>
                </c:pt>
                <c:pt idx="114">
                  <c:v>29.937314190521544</c:v>
                </c:pt>
                <c:pt idx="115">
                  <c:v>70.087260902517826</c:v>
                </c:pt>
                <c:pt idx="116">
                  <c:v>69.586048770521543</c:v>
                </c:pt>
                <c:pt idx="117">
                  <c:v>94.811123895477394</c:v>
                </c:pt>
                <c:pt idx="118">
                  <c:v>98.495314667479249</c:v>
                </c:pt>
                <c:pt idx="119">
                  <c:v>95.389489947479262</c:v>
                </c:pt>
                <c:pt idx="120">
                  <c:v>42.14744966347925</c:v>
                </c:pt>
                <c:pt idx="121">
                  <c:v>37.57853361947739</c:v>
                </c:pt>
                <c:pt idx="122">
                  <c:v>62.326994219481115</c:v>
                </c:pt>
                <c:pt idx="123">
                  <c:v>72.05960744347739</c:v>
                </c:pt>
                <c:pt idx="124">
                  <c:v>64.887411791812966</c:v>
                </c:pt>
                <c:pt idx="125">
                  <c:v>60.964489771811103</c:v>
                </c:pt>
                <c:pt idx="126">
                  <c:v>70.575137851807369</c:v>
                </c:pt>
                <c:pt idx="127">
                  <c:v>41.411219935811111</c:v>
                </c:pt>
                <c:pt idx="128">
                  <c:v>41.354351751809247</c:v>
                </c:pt>
                <c:pt idx="129">
                  <c:v>60.270329379809247</c:v>
                </c:pt>
                <c:pt idx="130">
                  <c:v>56.167001323812975</c:v>
                </c:pt>
                <c:pt idx="131">
                  <c:v>64.955905773205401</c:v>
                </c:pt>
                <c:pt idx="132">
                  <c:v>70.251595309207261</c:v>
                </c:pt>
                <c:pt idx="133">
                  <c:v>73.453813457207261</c:v>
                </c:pt>
                <c:pt idx="134">
                  <c:v>61.41329723721099</c:v>
                </c:pt>
                <c:pt idx="135">
                  <c:v>62.940818797205402</c:v>
                </c:pt>
                <c:pt idx="136">
                  <c:v>84.709564105210987</c:v>
                </c:pt>
                <c:pt idx="137">
                  <c:v>82.972954585209123</c:v>
                </c:pt>
                <c:pt idx="138">
                  <c:v>88.427482961818527</c:v>
                </c:pt>
                <c:pt idx="139">
                  <c:v>87.490739521816664</c:v>
                </c:pt>
                <c:pt idx="140">
                  <c:v>81.839326337818534</c:v>
                </c:pt>
                <c:pt idx="141">
                  <c:v>85.388859121820389</c:v>
                </c:pt>
                <c:pt idx="142">
                  <c:v>63.71166492181667</c:v>
                </c:pt>
                <c:pt idx="143">
                  <c:v>71.876081133820392</c:v>
                </c:pt>
                <c:pt idx="144">
                  <c:v>76.705485453822263</c:v>
                </c:pt>
                <c:pt idx="145">
                  <c:v>44.956101361653779</c:v>
                </c:pt>
                <c:pt idx="146">
                  <c:v>84.572710257655629</c:v>
                </c:pt>
                <c:pt idx="147">
                  <c:v>51.348431629655636</c:v>
                </c:pt>
                <c:pt idx="148">
                  <c:v>47.238694169655645</c:v>
                </c:pt>
                <c:pt idx="149">
                  <c:v>30.961489121657504</c:v>
                </c:pt>
                <c:pt idx="150">
                  <c:v>46.410529833651921</c:v>
                </c:pt>
                <c:pt idx="151">
                  <c:v>49.7390358816575</c:v>
                </c:pt>
                <c:pt idx="152">
                  <c:v>59.622137735076741</c:v>
                </c:pt>
                <c:pt idx="153">
                  <c:v>43.383433879082332</c:v>
                </c:pt>
                <c:pt idx="154">
                  <c:v>51.377849187080471</c:v>
                </c:pt>
                <c:pt idx="155">
                  <c:v>46.978688771082325</c:v>
                </c:pt>
                <c:pt idx="156">
                  <c:v>38.849053715080466</c:v>
                </c:pt>
                <c:pt idx="157">
                  <c:v>42.251729895078604</c:v>
                </c:pt>
                <c:pt idx="158">
                  <c:v>48.831029183082336</c:v>
                </c:pt>
                <c:pt idx="159">
                  <c:v>39.655213428078106</c:v>
                </c:pt>
                <c:pt idx="160">
                  <c:v>56.533653168078104</c:v>
                </c:pt>
                <c:pt idx="161">
                  <c:v>35.848084328079977</c:v>
                </c:pt>
                <c:pt idx="162">
                  <c:v>39.187553216074392</c:v>
                </c:pt>
                <c:pt idx="163">
                  <c:v>34.758196140078105</c:v>
                </c:pt>
                <c:pt idx="164">
                  <c:v>71.697258952078101</c:v>
                </c:pt>
                <c:pt idx="165">
                  <c:v>67.650048800076235</c:v>
                </c:pt>
                <c:pt idx="166">
                  <c:v>62.759781339110461</c:v>
                </c:pt>
                <c:pt idx="167">
                  <c:v>64.330589743110465</c:v>
                </c:pt>
                <c:pt idx="168">
                  <c:v>51.741532331110456</c:v>
                </c:pt>
                <c:pt idx="169">
                  <c:v>42.602421635112314</c:v>
                </c:pt>
                <c:pt idx="170">
                  <c:v>30.117633127108594</c:v>
                </c:pt>
                <c:pt idx="171">
                  <c:v>41.492384483112325</c:v>
                </c:pt>
                <c:pt idx="172">
                  <c:v>51.60537784311046</c:v>
                </c:pt>
                <c:pt idx="173">
                  <c:v>56.123723707417419</c:v>
                </c:pt>
                <c:pt idx="174">
                  <c:v>62.085323663419288</c:v>
                </c:pt>
                <c:pt idx="175">
                  <c:v>59.580692003419287</c:v>
                </c:pt>
                <c:pt idx="176">
                  <c:v>44.02805007541928</c:v>
                </c:pt>
                <c:pt idx="177">
                  <c:v>35.421572939419292</c:v>
                </c:pt>
                <c:pt idx="178">
                  <c:v>57.747371875419283</c:v>
                </c:pt>
                <c:pt idx="179">
                  <c:v>56.617720343419293</c:v>
                </c:pt>
                <c:pt idx="180">
                  <c:v>38.670632130302387</c:v>
                </c:pt>
                <c:pt idx="181">
                  <c:v>44.623334314304259</c:v>
                </c:pt>
                <c:pt idx="182">
                  <c:v>42.427835178304257</c:v>
                </c:pt>
                <c:pt idx="183">
                  <c:v>38.561034278302394</c:v>
                </c:pt>
                <c:pt idx="184">
                  <c:v>4.5919972943023968</c:v>
                </c:pt>
                <c:pt idx="185">
                  <c:v>37.482896742304263</c:v>
                </c:pt>
                <c:pt idx="186">
                  <c:v>40.491079394304251</c:v>
                </c:pt>
                <c:pt idx="187">
                  <c:v>37.486758876303213</c:v>
                </c:pt>
                <c:pt idx="188">
                  <c:v>25.244979888306947</c:v>
                </c:pt>
                <c:pt idx="189">
                  <c:v>24.840714244305083</c:v>
                </c:pt>
                <c:pt idx="190">
                  <c:v>24.870762528305072</c:v>
                </c:pt>
                <c:pt idx="191">
                  <c:v>24.551447760305077</c:v>
                </c:pt>
                <c:pt idx="192">
                  <c:v>14.562916316305083</c:v>
                </c:pt>
                <c:pt idx="193">
                  <c:v>17.441116352305077</c:v>
                </c:pt>
                <c:pt idx="194">
                  <c:v>3.2754083586414198</c:v>
                </c:pt>
                <c:pt idx="195">
                  <c:v>3.6945645986414166</c:v>
                </c:pt>
                <c:pt idx="196">
                  <c:v>3.4268584426414161</c:v>
                </c:pt>
                <c:pt idx="197">
                  <c:v>4.1824974026414132</c:v>
                </c:pt>
                <c:pt idx="198">
                  <c:v>4.8783048986432842</c:v>
                </c:pt>
                <c:pt idx="199">
                  <c:v>3.8029007226414251</c:v>
                </c:pt>
                <c:pt idx="200">
                  <c:v>0.74183819064328416</c:v>
                </c:pt>
                <c:pt idx="201">
                  <c:v>19.400675297499554</c:v>
                </c:pt>
                <c:pt idx="202">
                  <c:v>16.547869301501422</c:v>
                </c:pt>
                <c:pt idx="203">
                  <c:v>13.253901153499559</c:v>
                </c:pt>
                <c:pt idx="204">
                  <c:v>11.600976877501417</c:v>
                </c:pt>
                <c:pt idx="205">
                  <c:v>7.0930074214995544</c:v>
                </c:pt>
                <c:pt idx="206">
                  <c:v>10.135140933501418</c:v>
                </c:pt>
                <c:pt idx="207">
                  <c:v>9.3445790974995546</c:v>
                </c:pt>
                <c:pt idx="208">
                  <c:v>6.3715039010995751</c:v>
                </c:pt>
                <c:pt idx="209">
                  <c:v>18.602762529097717</c:v>
                </c:pt>
                <c:pt idx="210">
                  <c:v>18.106815577097716</c:v>
                </c:pt>
                <c:pt idx="211">
                  <c:v>3.8845743750977126</c:v>
                </c:pt>
                <c:pt idx="212">
                  <c:v>4.4793895870995764</c:v>
                </c:pt>
                <c:pt idx="213">
                  <c:v>24.126066195101433</c:v>
                </c:pt>
                <c:pt idx="214">
                  <c:v>22.844926373095849</c:v>
                </c:pt>
                <c:pt idx="215">
                  <c:v>20.832162048340773</c:v>
                </c:pt>
                <c:pt idx="216">
                  <c:v>20.410571116342631</c:v>
                </c:pt>
                <c:pt idx="217">
                  <c:v>5.423779910340774</c:v>
                </c:pt>
                <c:pt idx="218">
                  <c:v>3.9983903463426325</c:v>
                </c:pt>
                <c:pt idx="219">
                  <c:v>2.8788622423407721</c:v>
                </c:pt>
                <c:pt idx="220">
                  <c:v>16.043749728340771</c:v>
                </c:pt>
                <c:pt idx="221">
                  <c:v>12.268163616340768</c:v>
                </c:pt>
                <c:pt idx="222">
                  <c:v>12.80672435372902</c:v>
                </c:pt>
                <c:pt idx="223">
                  <c:v>11.791758197727148</c:v>
                </c:pt>
                <c:pt idx="224">
                  <c:v>10.618293341727156</c:v>
                </c:pt>
                <c:pt idx="225">
                  <c:v>8.296624413727157</c:v>
                </c:pt>
                <c:pt idx="226">
                  <c:v>2.8303781297280803</c:v>
                </c:pt>
                <c:pt idx="227">
                  <c:v>2.5184554617262185</c:v>
                </c:pt>
                <c:pt idx="228">
                  <c:v>1.6434941217280865</c:v>
                </c:pt>
                <c:pt idx="229">
                  <c:v>1.1219695109318855</c:v>
                </c:pt>
                <c:pt idx="230">
                  <c:v>12.315969820931882</c:v>
                </c:pt>
                <c:pt idx="231">
                  <c:v>10.072871832931879</c:v>
                </c:pt>
                <c:pt idx="232">
                  <c:v>3.852570796932814</c:v>
                </c:pt>
                <c:pt idx="233">
                  <c:v>0.51405824493095131</c:v>
                </c:pt>
                <c:pt idx="234">
                  <c:v>1.0592070569318821</c:v>
                </c:pt>
                <c:pt idx="235">
                  <c:v>0.95501198293281053</c:v>
                </c:pt>
                <c:pt idx="236">
                  <c:v>7.152762117668142</c:v>
                </c:pt>
                <c:pt idx="237">
                  <c:v>9.1935223616690713</c:v>
                </c:pt>
                <c:pt idx="238">
                  <c:v>4.1368342336709318</c:v>
                </c:pt>
                <c:pt idx="239">
                  <c:v>0.77167649366813562</c:v>
                </c:pt>
                <c:pt idx="240">
                  <c:v>1.0640124536700022</c:v>
                </c:pt>
                <c:pt idx="241">
                  <c:v>10.140156249667205</c:v>
                </c:pt>
                <c:pt idx="242">
                  <c:v>13.884612205670935</c:v>
                </c:pt>
                <c:pt idx="243">
                  <c:v>24.232942552924062</c:v>
                </c:pt>
                <c:pt idx="244">
                  <c:v>23.923948540925927</c:v>
                </c:pt>
                <c:pt idx="245">
                  <c:v>22.820461948923132</c:v>
                </c:pt>
                <c:pt idx="246">
                  <c:v>16.785473316926858</c:v>
                </c:pt>
                <c:pt idx="247">
                  <c:v>10.244637292924068</c:v>
                </c:pt>
                <c:pt idx="248">
                  <c:v>15.825120408925926</c:v>
                </c:pt>
                <c:pt idx="249">
                  <c:v>6.2947448249249938</c:v>
                </c:pt>
                <c:pt idx="250">
                  <c:v>20.115420491951163</c:v>
                </c:pt>
                <c:pt idx="251">
                  <c:v>20.943244847952091</c:v>
                </c:pt>
                <c:pt idx="252">
                  <c:v>20.22736524795209</c:v>
                </c:pt>
                <c:pt idx="253">
                  <c:v>15.135667991953021</c:v>
                </c:pt>
                <c:pt idx="254">
                  <c:v>20.061154527952095</c:v>
                </c:pt>
                <c:pt idx="255">
                  <c:v>12.823799795953025</c:v>
                </c:pt>
                <c:pt idx="256">
                  <c:v>25.974186331951163</c:v>
                </c:pt>
                <c:pt idx="257">
                  <c:v>38.31835680787313</c:v>
                </c:pt>
                <c:pt idx="258">
                  <c:v>21.487675855873132</c:v>
                </c:pt>
                <c:pt idx="259">
                  <c:v>16.394569441872203</c:v>
                </c:pt>
                <c:pt idx="260">
                  <c:v>11.821708425872202</c:v>
                </c:pt>
                <c:pt idx="261">
                  <c:v>11.033212529874065</c:v>
                </c:pt>
                <c:pt idx="262">
                  <c:v>12.408188627872201</c:v>
                </c:pt>
                <c:pt idx="263">
                  <c:v>11.887315421872204</c:v>
                </c:pt>
                <c:pt idx="264">
                  <c:v>24.565719547283638</c:v>
                </c:pt>
                <c:pt idx="265">
                  <c:v>18.78037494927991</c:v>
                </c:pt>
                <c:pt idx="266">
                  <c:v>28.647999827281776</c:v>
                </c:pt>
                <c:pt idx="267">
                  <c:v>21.776072683282706</c:v>
                </c:pt>
                <c:pt idx="268">
                  <c:v>15.501655585280846</c:v>
                </c:pt>
                <c:pt idx="269">
                  <c:v>22.111520435282706</c:v>
                </c:pt>
                <c:pt idx="270">
                  <c:v>31.315857271280844</c:v>
                </c:pt>
                <c:pt idx="271">
                  <c:v>21.160280351840992</c:v>
                </c:pt>
                <c:pt idx="272">
                  <c:v>20.742861095840059</c:v>
                </c:pt>
                <c:pt idx="273">
                  <c:v>26.484012107839131</c:v>
                </c:pt>
                <c:pt idx="274">
                  <c:v>11.422333385840993</c:v>
                </c:pt>
                <c:pt idx="275">
                  <c:v>7.014401093840064</c:v>
                </c:pt>
                <c:pt idx="276">
                  <c:v>20.050433471840066</c:v>
                </c:pt>
                <c:pt idx="277">
                  <c:v>20.381699117839133</c:v>
                </c:pt>
                <c:pt idx="278">
                  <c:v>34.52539895779509</c:v>
                </c:pt>
                <c:pt idx="279">
                  <c:v>32.413288555796015</c:v>
                </c:pt>
                <c:pt idx="280">
                  <c:v>28.821596095796021</c:v>
                </c:pt>
                <c:pt idx="281">
                  <c:v>26.066840315795091</c:v>
                </c:pt>
                <c:pt idx="282">
                  <c:v>14.96657990579509</c:v>
                </c:pt>
                <c:pt idx="283">
                  <c:v>18.981357715795088</c:v>
                </c:pt>
                <c:pt idx="284">
                  <c:v>16.802798215795089</c:v>
                </c:pt>
                <c:pt idx="285">
                  <c:v>9.6846070946646687</c:v>
                </c:pt>
                <c:pt idx="286">
                  <c:v>21.032429324664669</c:v>
                </c:pt>
                <c:pt idx="287">
                  <c:v>22.649003934664666</c:v>
                </c:pt>
                <c:pt idx="288">
                  <c:v>22.74705282466374</c:v>
                </c:pt>
                <c:pt idx="289">
                  <c:v>20.389109104664669</c:v>
                </c:pt>
                <c:pt idx="290">
                  <c:v>19.91802019466374</c:v>
                </c:pt>
                <c:pt idx="291">
                  <c:v>13.611966614663739</c:v>
                </c:pt>
                <c:pt idx="292">
                  <c:v>15.358722254522178</c:v>
                </c:pt>
                <c:pt idx="293">
                  <c:v>22.043631314521249</c:v>
                </c:pt>
                <c:pt idx="294">
                  <c:v>15.948809024523111</c:v>
                </c:pt>
                <c:pt idx="295">
                  <c:v>16.075023874521243</c:v>
                </c:pt>
                <c:pt idx="296">
                  <c:v>16.832100644522178</c:v>
                </c:pt>
                <c:pt idx="297">
                  <c:v>28.021523204521248</c:v>
                </c:pt>
                <c:pt idx="298">
                  <c:v>20.54823370452311</c:v>
                </c:pt>
                <c:pt idx="299">
                  <c:v>38.624622912769432</c:v>
                </c:pt>
                <c:pt idx="300">
                  <c:v>29.89881810277129</c:v>
                </c:pt>
                <c:pt idx="301">
                  <c:v>25.749093082769427</c:v>
                </c:pt>
                <c:pt idx="302">
                  <c:v>27.014702642770359</c:v>
                </c:pt>
                <c:pt idx="303">
                  <c:v>14.624562322768497</c:v>
                </c:pt>
                <c:pt idx="304">
                  <c:v>22.308230842770357</c:v>
                </c:pt>
                <c:pt idx="305">
                  <c:v>28.861979306771289</c:v>
                </c:pt>
                <c:pt idx="306">
                  <c:v>55.962576198660777</c:v>
                </c:pt>
                <c:pt idx="307">
                  <c:v>53.423324498659845</c:v>
                </c:pt>
                <c:pt idx="308">
                  <c:v>54.768987696662641</c:v>
                </c:pt>
                <c:pt idx="309">
                  <c:v>51.567977068661712</c:v>
                </c:pt>
                <c:pt idx="310">
                  <c:v>44.701077378660777</c:v>
                </c:pt>
                <c:pt idx="311">
                  <c:v>58.140543336660777</c:v>
                </c:pt>
                <c:pt idx="312">
                  <c:v>60.352147998661714</c:v>
                </c:pt>
                <c:pt idx="313">
                  <c:v>40.642748824205341</c:v>
                </c:pt>
                <c:pt idx="314">
                  <c:v>42.387206774205346</c:v>
                </c:pt>
                <c:pt idx="315">
                  <c:v>41.148877884206271</c:v>
                </c:pt>
                <c:pt idx="316">
                  <c:v>23.362326284206276</c:v>
                </c:pt>
                <c:pt idx="317">
                  <c:v>24.407600184204412</c:v>
                </c:pt>
                <c:pt idx="318">
                  <c:v>34.030043696206278</c:v>
                </c:pt>
                <c:pt idx="319">
                  <c:v>28.109943584206274</c:v>
                </c:pt>
                <c:pt idx="320">
                  <c:v>16.007058459577522</c:v>
                </c:pt>
                <c:pt idx="321">
                  <c:v>19.80991207957566</c:v>
                </c:pt>
                <c:pt idx="322">
                  <c:v>29.004762949575657</c:v>
                </c:pt>
                <c:pt idx="323">
                  <c:v>25.17667563157752</c:v>
                </c:pt>
                <c:pt idx="324">
                  <c:v>27.447862815575661</c:v>
                </c:pt>
                <c:pt idx="325">
                  <c:v>27.954714831577519</c:v>
                </c:pt>
                <c:pt idx="326">
                  <c:v>26.71150298357659</c:v>
                </c:pt>
                <c:pt idx="327">
                  <c:v>45.498446717377334</c:v>
                </c:pt>
                <c:pt idx="328">
                  <c:v>47.59839343537827</c:v>
                </c:pt>
                <c:pt idx="329">
                  <c:v>47.584021095378269</c:v>
                </c:pt>
                <c:pt idx="330">
                  <c:v>51.494670423378267</c:v>
                </c:pt>
                <c:pt idx="331">
                  <c:v>44.40616921137827</c:v>
                </c:pt>
                <c:pt idx="332">
                  <c:v>53.894276795377337</c:v>
                </c:pt>
                <c:pt idx="333">
                  <c:v>68.752722995378264</c:v>
                </c:pt>
                <c:pt idx="334">
                  <c:v>67.821475788547204</c:v>
                </c:pt>
                <c:pt idx="335">
                  <c:v>67.541189772550936</c:v>
                </c:pt>
                <c:pt idx="336">
                  <c:v>79.672016052547221</c:v>
                </c:pt>
                <c:pt idx="337">
                  <c:v>73.734586612549066</c:v>
                </c:pt>
                <c:pt idx="338">
                  <c:v>67.759518322548132</c:v>
                </c:pt>
                <c:pt idx="339">
                  <c:v>75.270274524549066</c:v>
                </c:pt>
                <c:pt idx="340">
                  <c:v>74.976928570549077</c:v>
                </c:pt>
                <c:pt idx="341">
                  <c:v>133.73023399479681</c:v>
                </c:pt>
                <c:pt idx="342">
                  <c:v>149.43799316679775</c:v>
                </c:pt>
                <c:pt idx="343">
                  <c:v>150.48674337479682</c:v>
                </c:pt>
                <c:pt idx="344">
                  <c:v>155.61882204879871</c:v>
                </c:pt>
                <c:pt idx="345">
                  <c:v>165.63521909679775</c:v>
                </c:pt>
                <c:pt idx="346">
                  <c:v>168.57384704479682</c:v>
                </c:pt>
                <c:pt idx="347">
                  <c:v>163.20609151079776</c:v>
                </c:pt>
                <c:pt idx="348">
                  <c:v>99.13559776305857</c:v>
                </c:pt>
                <c:pt idx="349">
                  <c:v>94.248035811056724</c:v>
                </c:pt>
                <c:pt idx="350">
                  <c:v>100.64211291105764</c:v>
                </c:pt>
                <c:pt idx="351">
                  <c:v>107.58767906705765</c:v>
                </c:pt>
                <c:pt idx="352">
                  <c:v>94.093302843058567</c:v>
                </c:pt>
                <c:pt idx="353">
                  <c:v>108.89402023105858</c:v>
                </c:pt>
                <c:pt idx="354">
                  <c:v>115.81913627105858</c:v>
                </c:pt>
                <c:pt idx="355">
                  <c:v>109.44060140971068</c:v>
                </c:pt>
                <c:pt idx="356">
                  <c:v>100.41240194570881</c:v>
                </c:pt>
                <c:pt idx="357">
                  <c:v>73.025348019711615</c:v>
                </c:pt>
                <c:pt idx="358">
                  <c:v>62.822974397708819</c:v>
                </c:pt>
                <c:pt idx="359">
                  <c:v>66.78294229771069</c:v>
                </c:pt>
                <c:pt idx="360">
                  <c:v>70.057535739709749</c:v>
                </c:pt>
                <c:pt idx="361">
                  <c:v>73.891913097710685</c:v>
                </c:pt>
                <c:pt idx="362">
                  <c:v>126.16605471740441</c:v>
                </c:pt>
                <c:pt idx="363">
                  <c:v>127.13486850740441</c:v>
                </c:pt>
                <c:pt idx="364">
                  <c:v>118.23414151740441</c:v>
                </c:pt>
                <c:pt idx="365">
                  <c:v>100.42625551940533</c:v>
                </c:pt>
                <c:pt idx="366">
                  <c:v>103.12638681740533</c:v>
                </c:pt>
                <c:pt idx="367">
                  <c:v>103.40858254740439</c:v>
                </c:pt>
                <c:pt idx="368">
                  <c:v>101.8772165114044</c:v>
                </c:pt>
                <c:pt idx="369">
                  <c:v>90.682511495153449</c:v>
                </c:pt>
                <c:pt idx="370">
                  <c:v>94.195708353151588</c:v>
                </c:pt>
                <c:pt idx="371">
                  <c:v>95.23217975915253</c:v>
                </c:pt>
                <c:pt idx="372">
                  <c:v>89.885470789151583</c:v>
                </c:pt>
                <c:pt idx="373">
                  <c:v>81.45797707315252</c:v>
                </c:pt>
                <c:pt idx="374">
                  <c:v>104.94837715515158</c:v>
                </c:pt>
                <c:pt idx="375">
                  <c:v>105.82474258715251</c:v>
                </c:pt>
                <c:pt idx="376">
                  <c:v>79.67926047363234</c:v>
                </c:pt>
                <c:pt idx="377">
                  <c:v>108.68345302363421</c:v>
                </c:pt>
                <c:pt idx="378">
                  <c:v>109.89147631363421</c:v>
                </c:pt>
                <c:pt idx="379">
                  <c:v>107.80683500363328</c:v>
                </c:pt>
                <c:pt idx="380">
                  <c:v>93.87015517163421</c:v>
                </c:pt>
                <c:pt idx="381">
                  <c:v>102.60832404363421</c:v>
                </c:pt>
                <c:pt idx="382">
                  <c:v>104.11270260363328</c:v>
                </c:pt>
                <c:pt idx="383">
                  <c:v>68.637734574516927</c:v>
                </c:pt>
                <c:pt idx="384">
                  <c:v>58.737492274517862</c:v>
                </c:pt>
                <c:pt idx="385">
                  <c:v>44.506729246516002</c:v>
                </c:pt>
                <c:pt idx="386">
                  <c:v>42.409446336516936</c:v>
                </c:pt>
                <c:pt idx="387">
                  <c:v>55.31095297451693</c:v>
                </c:pt>
                <c:pt idx="388">
                  <c:v>82.659946634515066</c:v>
                </c:pt>
                <c:pt idx="389">
                  <c:v>64.998238462519737</c:v>
                </c:pt>
                <c:pt idx="390">
                  <c:v>60.119786710062165</c:v>
                </c:pt>
                <c:pt idx="391">
                  <c:v>44.462734002061232</c:v>
                </c:pt>
                <c:pt idx="392">
                  <c:v>32.407838530062165</c:v>
                </c:pt>
                <c:pt idx="393">
                  <c:v>31.709124514064964</c:v>
                </c:pt>
                <c:pt idx="394">
                  <c:v>30.548921818062169</c:v>
                </c:pt>
                <c:pt idx="395">
                  <c:v>27.763922656061236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Dat_02!$D$3:$D$398</c:f>
              <c:numCache>
                <c:formatCode>#,##0.0</c:formatCode>
                <c:ptCount val="396"/>
                <c:pt idx="0">
                  <c:v>124.46511188199077</c:v>
                </c:pt>
                <c:pt idx="1">
                  <c:v>124.46511188199077</c:v>
                </c:pt>
                <c:pt idx="2">
                  <c:v>124.46511188199077</c:v>
                </c:pt>
                <c:pt idx="3">
                  <c:v>124.46511188199077</c:v>
                </c:pt>
                <c:pt idx="4">
                  <c:v>124.46511188199077</c:v>
                </c:pt>
                <c:pt idx="5">
                  <c:v>124.46511188199077</c:v>
                </c:pt>
                <c:pt idx="6">
                  <c:v>124.46511188199077</c:v>
                </c:pt>
                <c:pt idx="7">
                  <c:v>124.46511188199077</c:v>
                </c:pt>
                <c:pt idx="8">
                  <c:v>124.46511188199077</c:v>
                </c:pt>
                <c:pt idx="9">
                  <c:v>124.46511188199077</c:v>
                </c:pt>
                <c:pt idx="10">
                  <c:v>124.46511188199077</c:v>
                </c:pt>
                <c:pt idx="11">
                  <c:v>124.46511188199077</c:v>
                </c:pt>
                <c:pt idx="12">
                  <c:v>124.46511188199077</c:v>
                </c:pt>
                <c:pt idx="13">
                  <c:v>124.46511188199077</c:v>
                </c:pt>
                <c:pt idx="14">
                  <c:v>124.46511188199077</c:v>
                </c:pt>
                <c:pt idx="15">
                  <c:v>124.46511188199077</c:v>
                </c:pt>
                <c:pt idx="16">
                  <c:v>124.46511188199077</c:v>
                </c:pt>
                <c:pt idx="17">
                  <c:v>124.46511188199077</c:v>
                </c:pt>
                <c:pt idx="18">
                  <c:v>124.46511188199077</c:v>
                </c:pt>
                <c:pt idx="19">
                  <c:v>124.46511188199077</c:v>
                </c:pt>
                <c:pt idx="20">
                  <c:v>124.46511188199077</c:v>
                </c:pt>
                <c:pt idx="21">
                  <c:v>124.46511188199077</c:v>
                </c:pt>
                <c:pt idx="22">
                  <c:v>124.46511188199077</c:v>
                </c:pt>
                <c:pt idx="23">
                  <c:v>124.46511188199077</c:v>
                </c:pt>
                <c:pt idx="24">
                  <c:v>124.46511188199077</c:v>
                </c:pt>
                <c:pt idx="25">
                  <c:v>124.46511188199077</c:v>
                </c:pt>
                <c:pt idx="26">
                  <c:v>124.46511188199077</c:v>
                </c:pt>
                <c:pt idx="27">
                  <c:v>124.46511188199077</c:v>
                </c:pt>
                <c:pt idx="28">
                  <c:v>124.46511188199077</c:v>
                </c:pt>
                <c:pt idx="29">
                  <c:v>124.46511188199077</c:v>
                </c:pt>
                <c:pt idx="30">
                  <c:v>124.46511188199077</c:v>
                </c:pt>
                <c:pt idx="31">
                  <c:v>125.57183874706618</c:v>
                </c:pt>
                <c:pt idx="32">
                  <c:v>125.57183874706618</c:v>
                </c:pt>
                <c:pt idx="33">
                  <c:v>125.57183874706618</c:v>
                </c:pt>
                <c:pt idx="34">
                  <c:v>125.57183874706618</c:v>
                </c:pt>
                <c:pt idx="35">
                  <c:v>125.57183874706618</c:v>
                </c:pt>
                <c:pt idx="36">
                  <c:v>125.57183874706618</c:v>
                </c:pt>
                <c:pt idx="37">
                  <c:v>125.57183874706618</c:v>
                </c:pt>
                <c:pt idx="38">
                  <c:v>125.57183874706618</c:v>
                </c:pt>
                <c:pt idx="39">
                  <c:v>125.57183874706618</c:v>
                </c:pt>
                <c:pt idx="40">
                  <c:v>125.57183874706618</c:v>
                </c:pt>
                <c:pt idx="41">
                  <c:v>125.57183874706618</c:v>
                </c:pt>
                <c:pt idx="42">
                  <c:v>125.57183874706618</c:v>
                </c:pt>
                <c:pt idx="43">
                  <c:v>125.57183874706618</c:v>
                </c:pt>
                <c:pt idx="44">
                  <c:v>125.57183874706618</c:v>
                </c:pt>
                <c:pt idx="45">
                  <c:v>125.57183874706618</c:v>
                </c:pt>
                <c:pt idx="46">
                  <c:v>125.57183874706618</c:v>
                </c:pt>
                <c:pt idx="47">
                  <c:v>125.57183874706618</c:v>
                </c:pt>
                <c:pt idx="48">
                  <c:v>125.57183874706618</c:v>
                </c:pt>
                <c:pt idx="49">
                  <c:v>125.57183874706618</c:v>
                </c:pt>
                <c:pt idx="50">
                  <c:v>125.57183874706618</c:v>
                </c:pt>
                <c:pt idx="51">
                  <c:v>125.57183874706618</c:v>
                </c:pt>
                <c:pt idx="52">
                  <c:v>125.57183874706618</c:v>
                </c:pt>
                <c:pt idx="53">
                  <c:v>125.57183874706618</c:v>
                </c:pt>
                <c:pt idx="54">
                  <c:v>125.57183874706618</c:v>
                </c:pt>
                <c:pt idx="55">
                  <c:v>125.57183874706618</c:v>
                </c:pt>
                <c:pt idx="56">
                  <c:v>125.57183874706618</c:v>
                </c:pt>
                <c:pt idx="57">
                  <c:v>125.57183874706618</c:v>
                </c:pt>
                <c:pt idx="58">
                  <c:v>125.57183874706618</c:v>
                </c:pt>
                <c:pt idx="59">
                  <c:v>136.7399554485423</c:v>
                </c:pt>
                <c:pt idx="60">
                  <c:v>136.7399554485423</c:v>
                </c:pt>
                <c:pt idx="61">
                  <c:v>136.7399554485423</c:v>
                </c:pt>
                <c:pt idx="62">
                  <c:v>136.7399554485423</c:v>
                </c:pt>
                <c:pt idx="63">
                  <c:v>136.7399554485423</c:v>
                </c:pt>
                <c:pt idx="64">
                  <c:v>136.7399554485423</c:v>
                </c:pt>
                <c:pt idx="65">
                  <c:v>136.7399554485423</c:v>
                </c:pt>
                <c:pt idx="66">
                  <c:v>136.7399554485423</c:v>
                </c:pt>
                <c:pt idx="67">
                  <c:v>136.7399554485423</c:v>
                </c:pt>
                <c:pt idx="68">
                  <c:v>136.7399554485423</c:v>
                </c:pt>
                <c:pt idx="69">
                  <c:v>136.7399554485423</c:v>
                </c:pt>
                <c:pt idx="70">
                  <c:v>136.7399554485423</c:v>
                </c:pt>
                <c:pt idx="71">
                  <c:v>136.7399554485423</c:v>
                </c:pt>
                <c:pt idx="72">
                  <c:v>136.7399554485423</c:v>
                </c:pt>
                <c:pt idx="73">
                  <c:v>136.7399554485423</c:v>
                </c:pt>
                <c:pt idx="74">
                  <c:v>136.7399554485423</c:v>
                </c:pt>
                <c:pt idx="75">
                  <c:v>136.7399554485423</c:v>
                </c:pt>
                <c:pt idx="76">
                  <c:v>136.7399554485423</c:v>
                </c:pt>
                <c:pt idx="77">
                  <c:v>136.7399554485423</c:v>
                </c:pt>
                <c:pt idx="78">
                  <c:v>136.7399554485423</c:v>
                </c:pt>
                <c:pt idx="79">
                  <c:v>136.7399554485423</c:v>
                </c:pt>
                <c:pt idx="80">
                  <c:v>136.7399554485423</c:v>
                </c:pt>
                <c:pt idx="81">
                  <c:v>136.7399554485423</c:v>
                </c:pt>
                <c:pt idx="82">
                  <c:v>136.7399554485423</c:v>
                </c:pt>
                <c:pt idx="83">
                  <c:v>136.7399554485423</c:v>
                </c:pt>
                <c:pt idx="84">
                  <c:v>136.7399554485423</c:v>
                </c:pt>
                <c:pt idx="85">
                  <c:v>136.7399554485423</c:v>
                </c:pt>
                <c:pt idx="86">
                  <c:v>136.7399554485423</c:v>
                </c:pt>
                <c:pt idx="87">
                  <c:v>136.7399554485423</c:v>
                </c:pt>
                <c:pt idx="88">
                  <c:v>136.7399554485423</c:v>
                </c:pt>
                <c:pt idx="89">
                  <c:v>136.7399554485423</c:v>
                </c:pt>
                <c:pt idx="90">
                  <c:v>128.52573371940508</c:v>
                </c:pt>
                <c:pt idx="91">
                  <c:v>128.52573371940508</c:v>
                </c:pt>
                <c:pt idx="92">
                  <c:v>128.52573371940508</c:v>
                </c:pt>
                <c:pt idx="93">
                  <c:v>128.52573371940508</c:v>
                </c:pt>
                <c:pt idx="94">
                  <c:v>128.52573371940508</c:v>
                </c:pt>
                <c:pt idx="95">
                  <c:v>128.52573371940508</c:v>
                </c:pt>
                <c:pt idx="96">
                  <c:v>128.52573371940508</c:v>
                </c:pt>
                <c:pt idx="97">
                  <c:v>128.52573371940508</c:v>
                </c:pt>
                <c:pt idx="98">
                  <c:v>128.52573371940508</c:v>
                </c:pt>
                <c:pt idx="99">
                  <c:v>128.52573371940508</c:v>
                </c:pt>
                <c:pt idx="100">
                  <c:v>128.52573371940508</c:v>
                </c:pt>
                <c:pt idx="101">
                  <c:v>128.52573371940508</c:v>
                </c:pt>
                <c:pt idx="102">
                  <c:v>128.52573371940508</c:v>
                </c:pt>
                <c:pt idx="103">
                  <c:v>128.52573371940508</c:v>
                </c:pt>
                <c:pt idx="104">
                  <c:v>128.52573371940508</c:v>
                </c:pt>
                <c:pt idx="105">
                  <c:v>128.52573371940508</c:v>
                </c:pt>
                <c:pt idx="106">
                  <c:v>128.52573371940508</c:v>
                </c:pt>
                <c:pt idx="107">
                  <c:v>128.52573371940508</c:v>
                </c:pt>
                <c:pt idx="108">
                  <c:v>128.52573371940508</c:v>
                </c:pt>
                <c:pt idx="109">
                  <c:v>128.52573371940508</c:v>
                </c:pt>
                <c:pt idx="110">
                  <c:v>128.52573371940508</c:v>
                </c:pt>
                <c:pt idx="111">
                  <c:v>128.52573371940508</c:v>
                </c:pt>
                <c:pt idx="112">
                  <c:v>128.52573371940508</c:v>
                </c:pt>
                <c:pt idx="113">
                  <c:v>128.52573371940508</c:v>
                </c:pt>
                <c:pt idx="114">
                  <c:v>128.52573371940508</c:v>
                </c:pt>
                <c:pt idx="115">
                  <c:v>128.52573371940508</c:v>
                </c:pt>
                <c:pt idx="116">
                  <c:v>128.52573371940508</c:v>
                </c:pt>
                <c:pt idx="117">
                  <c:v>128.52573371940508</c:v>
                </c:pt>
                <c:pt idx="118">
                  <c:v>128.52573371940508</c:v>
                </c:pt>
                <c:pt idx="119">
                  <c:v>128.52573371940508</c:v>
                </c:pt>
                <c:pt idx="120">
                  <c:v>101.55332277089387</c:v>
                </c:pt>
                <c:pt idx="121">
                  <c:v>101.55332277089387</c:v>
                </c:pt>
                <c:pt idx="122">
                  <c:v>101.55332277089387</c:v>
                </c:pt>
                <c:pt idx="123">
                  <c:v>101.55332277089387</c:v>
                </c:pt>
                <c:pt idx="124">
                  <c:v>101.55332277089387</c:v>
                </c:pt>
                <c:pt idx="125">
                  <c:v>101.55332277089387</c:v>
                </c:pt>
                <c:pt idx="126">
                  <c:v>101.55332277089387</c:v>
                </c:pt>
                <c:pt idx="127">
                  <c:v>101.55332277089387</c:v>
                </c:pt>
                <c:pt idx="128">
                  <c:v>101.55332277089387</c:v>
                </c:pt>
                <c:pt idx="129">
                  <c:v>101.55332277089387</c:v>
                </c:pt>
                <c:pt idx="130">
                  <c:v>101.55332277089387</c:v>
                </c:pt>
                <c:pt idx="131">
                  <c:v>101.55332277089387</c:v>
                </c:pt>
                <c:pt idx="132">
                  <c:v>101.55332277089387</c:v>
                </c:pt>
                <c:pt idx="133">
                  <c:v>101.55332277089387</c:v>
                </c:pt>
                <c:pt idx="134">
                  <c:v>101.55332277089387</c:v>
                </c:pt>
                <c:pt idx="135">
                  <c:v>101.55332277089387</c:v>
                </c:pt>
                <c:pt idx="136">
                  <c:v>101.55332277089387</c:v>
                </c:pt>
                <c:pt idx="137">
                  <c:v>101.55332277089387</c:v>
                </c:pt>
                <c:pt idx="138">
                  <c:v>101.55332277089387</c:v>
                </c:pt>
                <c:pt idx="139">
                  <c:v>101.55332277089387</c:v>
                </c:pt>
                <c:pt idx="140">
                  <c:v>101.55332277089387</c:v>
                </c:pt>
                <c:pt idx="141">
                  <c:v>101.55332277089387</c:v>
                </c:pt>
                <c:pt idx="142">
                  <c:v>101.55332277089387</c:v>
                </c:pt>
                <c:pt idx="143">
                  <c:v>101.55332277089387</c:v>
                </c:pt>
                <c:pt idx="144">
                  <c:v>101.55332277089387</c:v>
                </c:pt>
                <c:pt idx="145">
                  <c:v>101.55332277089387</c:v>
                </c:pt>
                <c:pt idx="146">
                  <c:v>101.55332277089387</c:v>
                </c:pt>
                <c:pt idx="147">
                  <c:v>101.55332277089387</c:v>
                </c:pt>
                <c:pt idx="148">
                  <c:v>101.55332277089387</c:v>
                </c:pt>
                <c:pt idx="149">
                  <c:v>101.55332277089387</c:v>
                </c:pt>
                <c:pt idx="150">
                  <c:v>101.55332277089387</c:v>
                </c:pt>
                <c:pt idx="151">
                  <c:v>64.00894044961241</c:v>
                </c:pt>
                <c:pt idx="152">
                  <c:v>64.00894044961241</c:v>
                </c:pt>
                <c:pt idx="153">
                  <c:v>64.00894044961241</c:v>
                </c:pt>
                <c:pt idx="154">
                  <c:v>64.00894044961241</c:v>
                </c:pt>
                <c:pt idx="155">
                  <c:v>64.00894044961241</c:v>
                </c:pt>
                <c:pt idx="156">
                  <c:v>64.00894044961241</c:v>
                </c:pt>
                <c:pt idx="157">
                  <c:v>64.00894044961241</c:v>
                </c:pt>
                <c:pt idx="158">
                  <c:v>64.00894044961241</c:v>
                </c:pt>
                <c:pt idx="159">
                  <c:v>64.00894044961241</c:v>
                </c:pt>
                <c:pt idx="160">
                  <c:v>64.00894044961241</c:v>
                </c:pt>
                <c:pt idx="161">
                  <c:v>64.00894044961241</c:v>
                </c:pt>
                <c:pt idx="162">
                  <c:v>64.00894044961241</c:v>
                </c:pt>
                <c:pt idx="163">
                  <c:v>64.00894044961241</c:v>
                </c:pt>
                <c:pt idx="164">
                  <c:v>64.00894044961241</c:v>
                </c:pt>
                <c:pt idx="165">
                  <c:v>64.00894044961241</c:v>
                </c:pt>
                <c:pt idx="166">
                  <c:v>64.00894044961241</c:v>
                </c:pt>
                <c:pt idx="167">
                  <c:v>64.00894044961241</c:v>
                </c:pt>
                <c:pt idx="168">
                  <c:v>64.00894044961241</c:v>
                </c:pt>
                <c:pt idx="169">
                  <c:v>64.00894044961241</c:v>
                </c:pt>
                <c:pt idx="170">
                  <c:v>64.00894044961241</c:v>
                </c:pt>
                <c:pt idx="171">
                  <c:v>64.00894044961241</c:v>
                </c:pt>
                <c:pt idx="172">
                  <c:v>64.00894044961241</c:v>
                </c:pt>
                <c:pt idx="173">
                  <c:v>64.00894044961241</c:v>
                </c:pt>
                <c:pt idx="174">
                  <c:v>64.00894044961241</c:v>
                </c:pt>
                <c:pt idx="175">
                  <c:v>64.00894044961241</c:v>
                </c:pt>
                <c:pt idx="176">
                  <c:v>64.00894044961241</c:v>
                </c:pt>
                <c:pt idx="177">
                  <c:v>64.00894044961241</c:v>
                </c:pt>
                <c:pt idx="178">
                  <c:v>64.00894044961241</c:v>
                </c:pt>
                <c:pt idx="179">
                  <c:v>64.00894044961241</c:v>
                </c:pt>
                <c:pt idx="180">
                  <c:v>64.00894044961241</c:v>
                </c:pt>
                <c:pt idx="181">
                  <c:v>28.26541708637771</c:v>
                </c:pt>
                <c:pt idx="182">
                  <c:v>28.26541708637771</c:v>
                </c:pt>
                <c:pt idx="183">
                  <c:v>28.26541708637771</c:v>
                </c:pt>
                <c:pt idx="184">
                  <c:v>28.26541708637771</c:v>
                </c:pt>
                <c:pt idx="185">
                  <c:v>28.26541708637771</c:v>
                </c:pt>
                <c:pt idx="186">
                  <c:v>28.26541708637771</c:v>
                </c:pt>
                <c:pt idx="187">
                  <c:v>28.26541708637771</c:v>
                </c:pt>
                <c:pt idx="188">
                  <c:v>28.26541708637771</c:v>
                </c:pt>
                <c:pt idx="189">
                  <c:v>28.26541708637771</c:v>
                </c:pt>
                <c:pt idx="190">
                  <c:v>28.26541708637771</c:v>
                </c:pt>
                <c:pt idx="191">
                  <c:v>28.26541708637771</c:v>
                </c:pt>
                <c:pt idx="192">
                  <c:v>28.26541708637771</c:v>
                </c:pt>
                <c:pt idx="193">
                  <c:v>28.26541708637771</c:v>
                </c:pt>
                <c:pt idx="194">
                  <c:v>28.26541708637771</c:v>
                </c:pt>
                <c:pt idx="195">
                  <c:v>28.26541708637771</c:v>
                </c:pt>
                <c:pt idx="196">
                  <c:v>28.26541708637771</c:v>
                </c:pt>
                <c:pt idx="197">
                  <c:v>28.26541708637771</c:v>
                </c:pt>
                <c:pt idx="198">
                  <c:v>28.26541708637771</c:v>
                </c:pt>
                <c:pt idx="199">
                  <c:v>28.26541708637771</c:v>
                </c:pt>
                <c:pt idx="200">
                  <c:v>28.26541708637771</c:v>
                </c:pt>
                <c:pt idx="201">
                  <c:v>28.26541708637771</c:v>
                </c:pt>
                <c:pt idx="202">
                  <c:v>28.26541708637771</c:v>
                </c:pt>
                <c:pt idx="203">
                  <c:v>28.26541708637771</c:v>
                </c:pt>
                <c:pt idx="204">
                  <c:v>28.26541708637771</c:v>
                </c:pt>
                <c:pt idx="205">
                  <c:v>28.26541708637771</c:v>
                </c:pt>
                <c:pt idx="206">
                  <c:v>28.26541708637771</c:v>
                </c:pt>
                <c:pt idx="207">
                  <c:v>28.26541708637771</c:v>
                </c:pt>
                <c:pt idx="208">
                  <c:v>28.26541708637771</c:v>
                </c:pt>
                <c:pt idx="209">
                  <c:v>28.26541708637771</c:v>
                </c:pt>
                <c:pt idx="210">
                  <c:v>28.26541708637771</c:v>
                </c:pt>
                <c:pt idx="211">
                  <c:v>28.26541708637771</c:v>
                </c:pt>
                <c:pt idx="212">
                  <c:v>17.065966880459293</c:v>
                </c:pt>
                <c:pt idx="213">
                  <c:v>17.065966880459293</c:v>
                </c:pt>
                <c:pt idx="214">
                  <c:v>17.065966880459293</c:v>
                </c:pt>
                <c:pt idx="215">
                  <c:v>17.065966880459293</c:v>
                </c:pt>
                <c:pt idx="216">
                  <c:v>17.065966880459293</c:v>
                </c:pt>
                <c:pt idx="217">
                  <c:v>17.065966880459293</c:v>
                </c:pt>
                <c:pt idx="218">
                  <c:v>17.065966880459293</c:v>
                </c:pt>
                <c:pt idx="219">
                  <c:v>17.065966880459293</c:v>
                </c:pt>
                <c:pt idx="220">
                  <c:v>17.065966880459293</c:v>
                </c:pt>
                <c:pt idx="221">
                  <c:v>17.065966880459293</c:v>
                </c:pt>
                <c:pt idx="222">
                  <c:v>17.065966880459293</c:v>
                </c:pt>
                <c:pt idx="223">
                  <c:v>17.065966880459293</c:v>
                </c:pt>
                <c:pt idx="224">
                  <c:v>17.065966880459293</c:v>
                </c:pt>
                <c:pt idx="225">
                  <c:v>17.065966880459293</c:v>
                </c:pt>
                <c:pt idx="226">
                  <c:v>17.065966880459293</c:v>
                </c:pt>
                <c:pt idx="227">
                  <c:v>17.065966880459293</c:v>
                </c:pt>
                <c:pt idx="228">
                  <c:v>17.065966880459293</c:v>
                </c:pt>
                <c:pt idx="229">
                  <c:v>17.065966880459293</c:v>
                </c:pt>
                <c:pt idx="230">
                  <c:v>17.065966880459293</c:v>
                </c:pt>
                <c:pt idx="231">
                  <c:v>17.065966880459293</c:v>
                </c:pt>
                <c:pt idx="232">
                  <c:v>17.065966880459293</c:v>
                </c:pt>
                <c:pt idx="233">
                  <c:v>17.065966880459293</c:v>
                </c:pt>
                <c:pt idx="234">
                  <c:v>17.065966880459293</c:v>
                </c:pt>
                <c:pt idx="235">
                  <c:v>17.065966880459293</c:v>
                </c:pt>
                <c:pt idx="236">
                  <c:v>17.065966880459293</c:v>
                </c:pt>
                <c:pt idx="237">
                  <c:v>17.065966880459293</c:v>
                </c:pt>
                <c:pt idx="238">
                  <c:v>17.065966880459293</c:v>
                </c:pt>
                <c:pt idx="239">
                  <c:v>17.065966880459293</c:v>
                </c:pt>
                <c:pt idx="240">
                  <c:v>17.065966880459293</c:v>
                </c:pt>
                <c:pt idx="241">
                  <c:v>17.065966880459293</c:v>
                </c:pt>
                <c:pt idx="242">
                  <c:v>17.065966880459293</c:v>
                </c:pt>
                <c:pt idx="243">
                  <c:v>21.014323006984561</c:v>
                </c:pt>
                <c:pt idx="244">
                  <c:v>21.014323006984561</c:v>
                </c:pt>
                <c:pt idx="245">
                  <c:v>21.014323006984561</c:v>
                </c:pt>
                <c:pt idx="246">
                  <c:v>21.014323006984561</c:v>
                </c:pt>
                <c:pt idx="247">
                  <c:v>21.014323006984561</c:v>
                </c:pt>
                <c:pt idx="248">
                  <c:v>21.014323006984561</c:v>
                </c:pt>
                <c:pt idx="249">
                  <c:v>21.014323006984561</c:v>
                </c:pt>
                <c:pt idx="250">
                  <c:v>21.014323006984561</c:v>
                </c:pt>
                <c:pt idx="251">
                  <c:v>21.014323006984561</c:v>
                </c:pt>
                <c:pt idx="252">
                  <c:v>21.014323006984561</c:v>
                </c:pt>
                <c:pt idx="253">
                  <c:v>21.014323006984561</c:v>
                </c:pt>
                <c:pt idx="254">
                  <c:v>21.014323006984561</c:v>
                </c:pt>
                <c:pt idx="255">
                  <c:v>21.014323006984561</c:v>
                </c:pt>
                <c:pt idx="256">
                  <c:v>21.014323006984561</c:v>
                </c:pt>
                <c:pt idx="257">
                  <c:v>21.014323006984561</c:v>
                </c:pt>
                <c:pt idx="258">
                  <c:v>21.014323006984561</c:v>
                </c:pt>
                <c:pt idx="259">
                  <c:v>21.014323006984561</c:v>
                </c:pt>
                <c:pt idx="260">
                  <c:v>21.014323006984561</c:v>
                </c:pt>
                <c:pt idx="261">
                  <c:v>21.014323006984561</c:v>
                </c:pt>
                <c:pt idx="262">
                  <c:v>21.014323006984561</c:v>
                </c:pt>
                <c:pt idx="263">
                  <c:v>21.014323006984561</c:v>
                </c:pt>
                <c:pt idx="264">
                  <c:v>21.014323006984561</c:v>
                </c:pt>
                <c:pt idx="265">
                  <c:v>21.014323006984561</c:v>
                </c:pt>
                <c:pt idx="266">
                  <c:v>21.014323006984561</c:v>
                </c:pt>
                <c:pt idx="267">
                  <c:v>21.014323006984561</c:v>
                </c:pt>
                <c:pt idx="268">
                  <c:v>21.014323006984561</c:v>
                </c:pt>
                <c:pt idx="269">
                  <c:v>21.014323006984561</c:v>
                </c:pt>
                <c:pt idx="270">
                  <c:v>21.014323006984561</c:v>
                </c:pt>
                <c:pt idx="271">
                  <c:v>21.014323006984561</c:v>
                </c:pt>
                <c:pt idx="272">
                  <c:v>21.014323006984561</c:v>
                </c:pt>
                <c:pt idx="273">
                  <c:v>42.895784539321873</c:v>
                </c:pt>
                <c:pt idx="274">
                  <c:v>42.895784539321873</c:v>
                </c:pt>
                <c:pt idx="275">
                  <c:v>42.895784539321873</c:v>
                </c:pt>
                <c:pt idx="276">
                  <c:v>42.895784539321873</c:v>
                </c:pt>
                <c:pt idx="277">
                  <c:v>42.895784539321873</c:v>
                </c:pt>
                <c:pt idx="278">
                  <c:v>42.895784539321873</c:v>
                </c:pt>
                <c:pt idx="279">
                  <c:v>42.895784539321873</c:v>
                </c:pt>
                <c:pt idx="280">
                  <c:v>42.895784539321873</c:v>
                </c:pt>
                <c:pt idx="281">
                  <c:v>42.895784539321873</c:v>
                </c:pt>
                <c:pt idx="282">
                  <c:v>42.895784539321873</c:v>
                </c:pt>
                <c:pt idx="283">
                  <c:v>42.895784539321873</c:v>
                </c:pt>
                <c:pt idx="284">
                  <c:v>42.895784539321873</c:v>
                </c:pt>
                <c:pt idx="285">
                  <c:v>42.895784539321873</c:v>
                </c:pt>
                <c:pt idx="286">
                  <c:v>42.895784539321873</c:v>
                </c:pt>
                <c:pt idx="287">
                  <c:v>42.895784539321873</c:v>
                </c:pt>
                <c:pt idx="288">
                  <c:v>42.895784539321873</c:v>
                </c:pt>
                <c:pt idx="289">
                  <c:v>42.895784539321873</c:v>
                </c:pt>
                <c:pt idx="290">
                  <c:v>42.895784539321873</c:v>
                </c:pt>
                <c:pt idx="291">
                  <c:v>42.895784539321873</c:v>
                </c:pt>
                <c:pt idx="292">
                  <c:v>42.895784539321873</c:v>
                </c:pt>
                <c:pt idx="293">
                  <c:v>42.895784539321873</c:v>
                </c:pt>
                <c:pt idx="294">
                  <c:v>42.895784539321873</c:v>
                </c:pt>
                <c:pt idx="295">
                  <c:v>42.895784539321873</c:v>
                </c:pt>
                <c:pt idx="296">
                  <c:v>42.895784539321873</c:v>
                </c:pt>
                <c:pt idx="297">
                  <c:v>42.895784539321873</c:v>
                </c:pt>
                <c:pt idx="298">
                  <c:v>42.895784539321873</c:v>
                </c:pt>
                <c:pt idx="299">
                  <c:v>42.895784539321873</c:v>
                </c:pt>
                <c:pt idx="300">
                  <c:v>42.895784539321873</c:v>
                </c:pt>
                <c:pt idx="301">
                  <c:v>42.895784539321873</c:v>
                </c:pt>
                <c:pt idx="302">
                  <c:v>42.895784539321873</c:v>
                </c:pt>
                <c:pt idx="303">
                  <c:v>42.895784539321873</c:v>
                </c:pt>
                <c:pt idx="304">
                  <c:v>83.114057360768328</c:v>
                </c:pt>
                <c:pt idx="305">
                  <c:v>83.114057360768328</c:v>
                </c:pt>
                <c:pt idx="306">
                  <c:v>83.114057360768328</c:v>
                </c:pt>
                <c:pt idx="307">
                  <c:v>83.114057360768328</c:v>
                </c:pt>
                <c:pt idx="308">
                  <c:v>83.114057360768328</c:v>
                </c:pt>
                <c:pt idx="309">
                  <c:v>83.114057360768328</c:v>
                </c:pt>
                <c:pt idx="310">
                  <c:v>83.114057360768328</c:v>
                </c:pt>
                <c:pt idx="311">
                  <c:v>83.114057360768328</c:v>
                </c:pt>
                <c:pt idx="312">
                  <c:v>83.114057360768328</c:v>
                </c:pt>
                <c:pt idx="313">
                  <c:v>83.114057360768328</c:v>
                </c:pt>
                <c:pt idx="314">
                  <c:v>83.114057360768328</c:v>
                </c:pt>
                <c:pt idx="315">
                  <c:v>83.114057360768328</c:v>
                </c:pt>
                <c:pt idx="316">
                  <c:v>83.114057360768328</c:v>
                </c:pt>
                <c:pt idx="317">
                  <c:v>83.114057360768328</c:v>
                </c:pt>
                <c:pt idx="318">
                  <c:v>83.114057360768328</c:v>
                </c:pt>
                <c:pt idx="319">
                  <c:v>83.114057360768328</c:v>
                </c:pt>
                <c:pt idx="320">
                  <c:v>83.114057360768328</c:v>
                </c:pt>
                <c:pt idx="321">
                  <c:v>83.114057360768328</c:v>
                </c:pt>
                <c:pt idx="322">
                  <c:v>83.114057360768328</c:v>
                </c:pt>
                <c:pt idx="323">
                  <c:v>83.114057360768328</c:v>
                </c:pt>
                <c:pt idx="324">
                  <c:v>83.114057360768328</c:v>
                </c:pt>
                <c:pt idx="325">
                  <c:v>83.114057360768328</c:v>
                </c:pt>
                <c:pt idx="326">
                  <c:v>83.114057360768328</c:v>
                </c:pt>
                <c:pt idx="327">
                  <c:v>83.114057360768328</c:v>
                </c:pt>
                <c:pt idx="328">
                  <c:v>83.114057360768328</c:v>
                </c:pt>
                <c:pt idx="329">
                  <c:v>83.114057360768328</c:v>
                </c:pt>
                <c:pt idx="330">
                  <c:v>83.114057360768328</c:v>
                </c:pt>
                <c:pt idx="331">
                  <c:v>83.114057360768328</c:v>
                </c:pt>
                <c:pt idx="332">
                  <c:v>83.114057360768328</c:v>
                </c:pt>
                <c:pt idx="333">
                  <c:v>83.114057360768328</c:v>
                </c:pt>
                <c:pt idx="334">
                  <c:v>104.11073943778104</c:v>
                </c:pt>
                <c:pt idx="335">
                  <c:v>104.11073943778104</c:v>
                </c:pt>
                <c:pt idx="336">
                  <c:v>104.11073943778104</c:v>
                </c:pt>
                <c:pt idx="337">
                  <c:v>104.11073943778104</c:v>
                </c:pt>
                <c:pt idx="338">
                  <c:v>104.11073943778104</c:v>
                </c:pt>
                <c:pt idx="339">
                  <c:v>104.11073943778104</c:v>
                </c:pt>
                <c:pt idx="340">
                  <c:v>104.11073943778104</c:v>
                </c:pt>
                <c:pt idx="341">
                  <c:v>104.11073943778104</c:v>
                </c:pt>
                <c:pt idx="342">
                  <c:v>104.11073943778104</c:v>
                </c:pt>
                <c:pt idx="343">
                  <c:v>104.11073943778104</c:v>
                </c:pt>
                <c:pt idx="344">
                  <c:v>104.11073943778104</c:v>
                </c:pt>
                <c:pt idx="345">
                  <c:v>104.11073943778104</c:v>
                </c:pt>
                <c:pt idx="346">
                  <c:v>104.11073943778104</c:v>
                </c:pt>
                <c:pt idx="347">
                  <c:v>104.11073943778104</c:v>
                </c:pt>
                <c:pt idx="348">
                  <c:v>104.11073943778104</c:v>
                </c:pt>
                <c:pt idx="349">
                  <c:v>104.11073943778104</c:v>
                </c:pt>
                <c:pt idx="350">
                  <c:v>104.11073943778104</c:v>
                </c:pt>
                <c:pt idx="351">
                  <c:v>104.11073943778104</c:v>
                </c:pt>
                <c:pt idx="352">
                  <c:v>104.11073943778104</c:v>
                </c:pt>
                <c:pt idx="353">
                  <c:v>104.11073943778104</c:v>
                </c:pt>
                <c:pt idx="354">
                  <c:v>104.11073943778104</c:v>
                </c:pt>
                <c:pt idx="355">
                  <c:v>104.11073943778104</c:v>
                </c:pt>
                <c:pt idx="356">
                  <c:v>104.11073943778104</c:v>
                </c:pt>
                <c:pt idx="357">
                  <c:v>104.11073943778104</c:v>
                </c:pt>
                <c:pt idx="358">
                  <c:v>104.11073943778104</c:v>
                </c:pt>
                <c:pt idx="359">
                  <c:v>104.11073943778104</c:v>
                </c:pt>
                <c:pt idx="360">
                  <c:v>104.11073943778104</c:v>
                </c:pt>
                <c:pt idx="361">
                  <c:v>104.11073943778104</c:v>
                </c:pt>
                <c:pt idx="362">
                  <c:v>104.11073943778104</c:v>
                </c:pt>
                <c:pt idx="363">
                  <c:v>104.11073943778104</c:v>
                </c:pt>
                <c:pt idx="364">
                  <c:v>104.11073943778104</c:v>
                </c:pt>
                <c:pt idx="365">
                  <c:v>117.91214619510544</c:v>
                </c:pt>
                <c:pt idx="366">
                  <c:v>117.91214619510544</c:v>
                </c:pt>
                <c:pt idx="367">
                  <c:v>117.91214619510544</c:v>
                </c:pt>
                <c:pt idx="368">
                  <c:v>117.91214619510544</c:v>
                </c:pt>
                <c:pt idx="369">
                  <c:v>117.91214619510544</c:v>
                </c:pt>
                <c:pt idx="370">
                  <c:v>117.91214619510544</c:v>
                </c:pt>
                <c:pt idx="371">
                  <c:v>117.91214619510544</c:v>
                </c:pt>
                <c:pt idx="372">
                  <c:v>117.91214619510544</c:v>
                </c:pt>
                <c:pt idx="373">
                  <c:v>117.91214619510544</c:v>
                </c:pt>
                <c:pt idx="374">
                  <c:v>117.91214619510544</c:v>
                </c:pt>
                <c:pt idx="375">
                  <c:v>117.91214619510544</c:v>
                </c:pt>
                <c:pt idx="376">
                  <c:v>117.91214619510544</c:v>
                </c:pt>
                <c:pt idx="377">
                  <c:v>117.91214619510544</c:v>
                </c:pt>
                <c:pt idx="378">
                  <c:v>117.91214619510544</c:v>
                </c:pt>
                <c:pt idx="379">
                  <c:v>117.91214619510544</c:v>
                </c:pt>
                <c:pt idx="380">
                  <c:v>117.91214619510544</c:v>
                </c:pt>
                <c:pt idx="381">
                  <c:v>117.91214619510544</c:v>
                </c:pt>
                <c:pt idx="382">
                  <c:v>117.91214619510544</c:v>
                </c:pt>
                <c:pt idx="383">
                  <c:v>117.91214619510544</c:v>
                </c:pt>
                <c:pt idx="384">
                  <c:v>117.91214619510544</c:v>
                </c:pt>
                <c:pt idx="385">
                  <c:v>117.91214619510544</c:v>
                </c:pt>
                <c:pt idx="386">
                  <c:v>117.91214619510544</c:v>
                </c:pt>
                <c:pt idx="387">
                  <c:v>117.91214619510544</c:v>
                </c:pt>
                <c:pt idx="388">
                  <c:v>117.91214619510544</c:v>
                </c:pt>
                <c:pt idx="389">
                  <c:v>117.91214619510544</c:v>
                </c:pt>
                <c:pt idx="390">
                  <c:v>117.91214619510544</c:v>
                </c:pt>
                <c:pt idx="391">
                  <c:v>117.91214619510544</c:v>
                </c:pt>
                <c:pt idx="392">
                  <c:v>117.91214619510544</c:v>
                </c:pt>
                <c:pt idx="393">
                  <c:v>117.91214619510544</c:v>
                </c:pt>
                <c:pt idx="394">
                  <c:v>117.91214619510544</c:v>
                </c:pt>
                <c:pt idx="395">
                  <c:v>117.91214619510544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Dat_02!$E$3:$E$398</c:f>
              <c:numCache>
                <c:formatCode>#,##0.0</c:formatCode>
                <c:ptCount val="396"/>
                <c:pt idx="0">
                  <c:v>121.65851347889853</c:v>
                </c:pt>
                <c:pt idx="1">
                  <c:v>122.79226157089855</c:v>
                </c:pt>
                <c:pt idx="2">
                  <c:v>124.46511188199077</c:v>
                </c:pt>
                <c:pt idx="3">
                  <c:v>124.46511188199077</c:v>
                </c:pt>
                <c:pt idx="4">
                  <c:v>124.46511188199077</c:v>
                </c:pt>
                <c:pt idx="5">
                  <c:v>122.4508974280194</c:v>
                </c:pt>
                <c:pt idx="6">
                  <c:v>113.50098375602127</c:v>
                </c:pt>
                <c:pt idx="7">
                  <c:v>108.17419805602127</c:v>
                </c:pt>
                <c:pt idx="8">
                  <c:v>79.63141345601754</c:v>
                </c:pt>
                <c:pt idx="9">
                  <c:v>78.27291295402128</c:v>
                </c:pt>
                <c:pt idx="10">
                  <c:v>89.291085424019414</c:v>
                </c:pt>
                <c:pt idx="11">
                  <c:v>103.80750175601942</c:v>
                </c:pt>
                <c:pt idx="12">
                  <c:v>65.07410711507066</c:v>
                </c:pt>
                <c:pt idx="13">
                  <c:v>63.240659711070649</c:v>
                </c:pt>
                <c:pt idx="14">
                  <c:v>62.816474647068794</c:v>
                </c:pt>
                <c:pt idx="15">
                  <c:v>56.416824859072513</c:v>
                </c:pt>
                <c:pt idx="16">
                  <c:v>39.007617675068786</c:v>
                </c:pt>
                <c:pt idx="17">
                  <c:v>71.566471235070637</c:v>
                </c:pt>
                <c:pt idx="18">
                  <c:v>56.21605761507066</c:v>
                </c:pt>
                <c:pt idx="19">
                  <c:v>124.46511188199077</c:v>
                </c:pt>
                <c:pt idx="20">
                  <c:v>124.46511188199077</c:v>
                </c:pt>
                <c:pt idx="21">
                  <c:v>124.46511188199077</c:v>
                </c:pt>
                <c:pt idx="22">
                  <c:v>124.46511188199077</c:v>
                </c:pt>
                <c:pt idx="23">
                  <c:v>124.46511188199077</c:v>
                </c:pt>
                <c:pt idx="24">
                  <c:v>124.46511188199077</c:v>
                </c:pt>
                <c:pt idx="25">
                  <c:v>124.46511188199077</c:v>
                </c:pt>
                <c:pt idx="26">
                  <c:v>124.46511188199077</c:v>
                </c:pt>
                <c:pt idx="27">
                  <c:v>124.46511188199077</c:v>
                </c:pt>
                <c:pt idx="28">
                  <c:v>124.46511188199077</c:v>
                </c:pt>
                <c:pt idx="29">
                  <c:v>124.46511188199077</c:v>
                </c:pt>
                <c:pt idx="30">
                  <c:v>124.46511188199077</c:v>
                </c:pt>
                <c:pt idx="31">
                  <c:v>125.57183874706618</c:v>
                </c:pt>
                <c:pt idx="32">
                  <c:v>125.57183874706618</c:v>
                </c:pt>
                <c:pt idx="33">
                  <c:v>125.57183874706618</c:v>
                </c:pt>
                <c:pt idx="34">
                  <c:v>125.57183874706618</c:v>
                </c:pt>
                <c:pt idx="35">
                  <c:v>125.57183874706618</c:v>
                </c:pt>
                <c:pt idx="36">
                  <c:v>125.57183874706618</c:v>
                </c:pt>
                <c:pt idx="37">
                  <c:v>125.57183874706618</c:v>
                </c:pt>
                <c:pt idx="38">
                  <c:v>125.57183874706618</c:v>
                </c:pt>
                <c:pt idx="39">
                  <c:v>125.57183874706618</c:v>
                </c:pt>
                <c:pt idx="40">
                  <c:v>125.57183874706618</c:v>
                </c:pt>
                <c:pt idx="41">
                  <c:v>125.57183874706618</c:v>
                </c:pt>
                <c:pt idx="42">
                  <c:v>125.57183874706618</c:v>
                </c:pt>
                <c:pt idx="43">
                  <c:v>125.57183874706618</c:v>
                </c:pt>
                <c:pt idx="44">
                  <c:v>125.57183874706618</c:v>
                </c:pt>
                <c:pt idx="45">
                  <c:v>125.57183874706618</c:v>
                </c:pt>
                <c:pt idx="46">
                  <c:v>125.57183874706618</c:v>
                </c:pt>
                <c:pt idx="47">
                  <c:v>125.57183874706618</c:v>
                </c:pt>
                <c:pt idx="48">
                  <c:v>125.57183874706618</c:v>
                </c:pt>
                <c:pt idx="49">
                  <c:v>125.57183874706618</c:v>
                </c:pt>
                <c:pt idx="50">
                  <c:v>125.57183874706618</c:v>
                </c:pt>
                <c:pt idx="51">
                  <c:v>125.57183874706618</c:v>
                </c:pt>
                <c:pt idx="52">
                  <c:v>125.57183874706618</c:v>
                </c:pt>
                <c:pt idx="53">
                  <c:v>125.57183874706618</c:v>
                </c:pt>
                <c:pt idx="54">
                  <c:v>125.57183874706618</c:v>
                </c:pt>
                <c:pt idx="55">
                  <c:v>125.57183874706618</c:v>
                </c:pt>
                <c:pt idx="56">
                  <c:v>125.57183874706618</c:v>
                </c:pt>
                <c:pt idx="57">
                  <c:v>125.57183874706618</c:v>
                </c:pt>
                <c:pt idx="58">
                  <c:v>125.57183874706618</c:v>
                </c:pt>
                <c:pt idx="59">
                  <c:v>136.7399554485423</c:v>
                </c:pt>
                <c:pt idx="60">
                  <c:v>136.7399554485423</c:v>
                </c:pt>
                <c:pt idx="61">
                  <c:v>136.7399554485423</c:v>
                </c:pt>
                <c:pt idx="62">
                  <c:v>136.7399554485423</c:v>
                </c:pt>
                <c:pt idx="63">
                  <c:v>136.7399554485423</c:v>
                </c:pt>
                <c:pt idx="64">
                  <c:v>129.03140171292009</c:v>
                </c:pt>
                <c:pt idx="65">
                  <c:v>122.20862098892007</c:v>
                </c:pt>
                <c:pt idx="66">
                  <c:v>136.7399554485423</c:v>
                </c:pt>
                <c:pt idx="67">
                  <c:v>136.7399554485423</c:v>
                </c:pt>
                <c:pt idx="68">
                  <c:v>129.11765964011255</c:v>
                </c:pt>
                <c:pt idx="69">
                  <c:v>101.24274598610882</c:v>
                </c:pt>
                <c:pt idx="70">
                  <c:v>100.59386583211254</c:v>
                </c:pt>
                <c:pt idx="71">
                  <c:v>72.327119336108822</c:v>
                </c:pt>
                <c:pt idx="72">
                  <c:v>68.551170946110673</c:v>
                </c:pt>
                <c:pt idx="73">
                  <c:v>105.40515978611255</c:v>
                </c:pt>
                <c:pt idx="74">
                  <c:v>84.462778064108818</c:v>
                </c:pt>
                <c:pt idx="75">
                  <c:v>78.694627249169685</c:v>
                </c:pt>
                <c:pt idx="76">
                  <c:v>91.903880105165968</c:v>
                </c:pt>
                <c:pt idx="77">
                  <c:v>86.793806863165969</c:v>
                </c:pt>
                <c:pt idx="78">
                  <c:v>43.181008023169689</c:v>
                </c:pt>
                <c:pt idx="79">
                  <c:v>48.583970891164107</c:v>
                </c:pt>
                <c:pt idx="80">
                  <c:v>100.21419246116783</c:v>
                </c:pt>
                <c:pt idx="81">
                  <c:v>123.68496788916784</c:v>
                </c:pt>
                <c:pt idx="82">
                  <c:v>101.77382673701705</c:v>
                </c:pt>
                <c:pt idx="83">
                  <c:v>101.07529431301704</c:v>
                </c:pt>
                <c:pt idx="84">
                  <c:v>86.702990501018917</c:v>
                </c:pt>
                <c:pt idx="85">
                  <c:v>52.272516185018915</c:v>
                </c:pt>
                <c:pt idx="86">
                  <c:v>22.482826741017053</c:v>
                </c:pt>
                <c:pt idx="87">
                  <c:v>50.266185601017057</c:v>
                </c:pt>
                <c:pt idx="88">
                  <c:v>60.653618513017051</c:v>
                </c:pt>
                <c:pt idx="89">
                  <c:v>75.173001266482387</c:v>
                </c:pt>
                <c:pt idx="90">
                  <c:v>63.751534450480527</c:v>
                </c:pt>
                <c:pt idx="91">
                  <c:v>65.469556810482388</c:v>
                </c:pt>
                <c:pt idx="92">
                  <c:v>42.394872066480531</c:v>
                </c:pt>
                <c:pt idx="93">
                  <c:v>41.921852302478669</c:v>
                </c:pt>
                <c:pt idx="94">
                  <c:v>57.354918402480529</c:v>
                </c:pt>
                <c:pt idx="95">
                  <c:v>72.645776494480529</c:v>
                </c:pt>
                <c:pt idx="96">
                  <c:v>73.096940716146577</c:v>
                </c:pt>
                <c:pt idx="97">
                  <c:v>97.066670200148423</c:v>
                </c:pt>
                <c:pt idx="98">
                  <c:v>89.110312520142855</c:v>
                </c:pt>
                <c:pt idx="99">
                  <c:v>59.675219168146576</c:v>
                </c:pt>
                <c:pt idx="100">
                  <c:v>36.012027652150294</c:v>
                </c:pt>
                <c:pt idx="101">
                  <c:v>71.971308904144706</c:v>
                </c:pt>
                <c:pt idx="102">
                  <c:v>87.947210396146573</c:v>
                </c:pt>
                <c:pt idx="103">
                  <c:v>74.086402859665498</c:v>
                </c:pt>
                <c:pt idx="104">
                  <c:v>65.578525103665498</c:v>
                </c:pt>
                <c:pt idx="105">
                  <c:v>52.699597831667354</c:v>
                </c:pt>
                <c:pt idx="106">
                  <c:v>28.046403551661772</c:v>
                </c:pt>
                <c:pt idx="107">
                  <c:v>25.635951475665497</c:v>
                </c:pt>
                <c:pt idx="108">
                  <c:v>67.719343807665496</c:v>
                </c:pt>
                <c:pt idx="109">
                  <c:v>64.315226755665492</c:v>
                </c:pt>
                <c:pt idx="110">
                  <c:v>77.320690818515956</c:v>
                </c:pt>
                <c:pt idx="111">
                  <c:v>70.427260162521549</c:v>
                </c:pt>
                <c:pt idx="112">
                  <c:v>33.338680286519683</c:v>
                </c:pt>
                <c:pt idx="113">
                  <c:v>20.936699170515961</c:v>
                </c:pt>
                <c:pt idx="114">
                  <c:v>29.937314190521544</c:v>
                </c:pt>
                <c:pt idx="115">
                  <c:v>70.087260902517826</c:v>
                </c:pt>
                <c:pt idx="116">
                  <c:v>69.586048770521543</c:v>
                </c:pt>
                <c:pt idx="117">
                  <c:v>94.811123895477394</c:v>
                </c:pt>
                <c:pt idx="118">
                  <c:v>98.495314667479249</c:v>
                </c:pt>
                <c:pt idx="119">
                  <c:v>95.389489947479262</c:v>
                </c:pt>
                <c:pt idx="120">
                  <c:v>42.14744966347925</c:v>
                </c:pt>
                <c:pt idx="121">
                  <c:v>37.57853361947739</c:v>
                </c:pt>
                <c:pt idx="122">
                  <c:v>62.326994219481115</c:v>
                </c:pt>
                <c:pt idx="123">
                  <c:v>72.05960744347739</c:v>
                </c:pt>
                <c:pt idx="124">
                  <c:v>64.887411791812966</c:v>
                </c:pt>
                <c:pt idx="125">
                  <c:v>60.964489771811103</c:v>
                </c:pt>
                <c:pt idx="126">
                  <c:v>70.575137851807369</c:v>
                </c:pt>
                <c:pt idx="127">
                  <c:v>41.411219935811111</c:v>
                </c:pt>
                <c:pt idx="128">
                  <c:v>41.354351751809247</c:v>
                </c:pt>
                <c:pt idx="129">
                  <c:v>60.270329379809247</c:v>
                </c:pt>
                <c:pt idx="130">
                  <c:v>56.167001323812975</c:v>
                </c:pt>
                <c:pt idx="131">
                  <c:v>64.955905773205401</c:v>
                </c:pt>
                <c:pt idx="132">
                  <c:v>70.251595309207261</c:v>
                </c:pt>
                <c:pt idx="133">
                  <c:v>73.453813457207261</c:v>
                </c:pt>
                <c:pt idx="134">
                  <c:v>61.41329723721099</c:v>
                </c:pt>
                <c:pt idx="135">
                  <c:v>62.940818797205402</c:v>
                </c:pt>
                <c:pt idx="136">
                  <c:v>84.709564105210987</c:v>
                </c:pt>
                <c:pt idx="137">
                  <c:v>82.972954585209123</c:v>
                </c:pt>
                <c:pt idx="138">
                  <c:v>88.427482961818527</c:v>
                </c:pt>
                <c:pt idx="139">
                  <c:v>87.490739521816664</c:v>
                </c:pt>
                <c:pt idx="140">
                  <c:v>81.839326337818534</c:v>
                </c:pt>
                <c:pt idx="141">
                  <c:v>85.388859121820389</c:v>
                </c:pt>
                <c:pt idx="142">
                  <c:v>63.71166492181667</c:v>
                </c:pt>
                <c:pt idx="143">
                  <c:v>71.876081133820392</c:v>
                </c:pt>
                <c:pt idx="144">
                  <c:v>76.705485453822263</c:v>
                </c:pt>
                <c:pt idx="145">
                  <c:v>44.956101361653779</c:v>
                </c:pt>
                <c:pt idx="146">
                  <c:v>84.572710257655629</c:v>
                </c:pt>
                <c:pt idx="147">
                  <c:v>51.348431629655636</c:v>
                </c:pt>
                <c:pt idx="148">
                  <c:v>47.238694169655645</c:v>
                </c:pt>
                <c:pt idx="149">
                  <c:v>30.961489121657504</c:v>
                </c:pt>
                <c:pt idx="150">
                  <c:v>46.410529833651921</c:v>
                </c:pt>
                <c:pt idx="151">
                  <c:v>49.7390358816575</c:v>
                </c:pt>
                <c:pt idx="152">
                  <c:v>59.622137735076741</c:v>
                </c:pt>
                <c:pt idx="153">
                  <c:v>43.383433879082332</c:v>
                </c:pt>
                <c:pt idx="154">
                  <c:v>51.377849187080471</c:v>
                </c:pt>
                <c:pt idx="155">
                  <c:v>46.978688771082325</c:v>
                </c:pt>
                <c:pt idx="156">
                  <c:v>38.849053715080466</c:v>
                </c:pt>
                <c:pt idx="157">
                  <c:v>42.251729895078604</c:v>
                </c:pt>
                <c:pt idx="158">
                  <c:v>48.831029183082336</c:v>
                </c:pt>
                <c:pt idx="159">
                  <c:v>39.655213428078106</c:v>
                </c:pt>
                <c:pt idx="160">
                  <c:v>56.533653168078104</c:v>
                </c:pt>
                <c:pt idx="161">
                  <c:v>35.848084328079977</c:v>
                </c:pt>
                <c:pt idx="162">
                  <c:v>39.187553216074392</c:v>
                </c:pt>
                <c:pt idx="163">
                  <c:v>34.758196140078105</c:v>
                </c:pt>
                <c:pt idx="164">
                  <c:v>64.00894044961241</c:v>
                </c:pt>
                <c:pt idx="165">
                  <c:v>64.00894044961241</c:v>
                </c:pt>
                <c:pt idx="166">
                  <c:v>62.759781339110461</c:v>
                </c:pt>
                <c:pt idx="167">
                  <c:v>64.00894044961241</c:v>
                </c:pt>
                <c:pt idx="168">
                  <c:v>51.741532331110456</c:v>
                </c:pt>
                <c:pt idx="169">
                  <c:v>42.602421635112314</c:v>
                </c:pt>
                <c:pt idx="170">
                  <c:v>30.117633127108594</c:v>
                </c:pt>
                <c:pt idx="171">
                  <c:v>41.492384483112325</c:v>
                </c:pt>
                <c:pt idx="172">
                  <c:v>51.60537784311046</c:v>
                </c:pt>
                <c:pt idx="173">
                  <c:v>56.123723707417419</c:v>
                </c:pt>
                <c:pt idx="174">
                  <c:v>62.085323663419288</c:v>
                </c:pt>
                <c:pt idx="175">
                  <c:v>59.580692003419287</c:v>
                </c:pt>
                <c:pt idx="176">
                  <c:v>44.02805007541928</c:v>
                </c:pt>
                <c:pt idx="177">
                  <c:v>35.421572939419292</c:v>
                </c:pt>
                <c:pt idx="178">
                  <c:v>57.747371875419283</c:v>
                </c:pt>
                <c:pt idx="179">
                  <c:v>56.617720343419293</c:v>
                </c:pt>
                <c:pt idx="180">
                  <c:v>38.670632130302387</c:v>
                </c:pt>
                <c:pt idx="181">
                  <c:v>28.26541708637771</c:v>
                </c:pt>
                <c:pt idx="182">
                  <c:v>28.26541708637771</c:v>
                </c:pt>
                <c:pt idx="183">
                  <c:v>28.26541708637771</c:v>
                </c:pt>
                <c:pt idx="184">
                  <c:v>4.5919972943023968</c:v>
                </c:pt>
                <c:pt idx="185">
                  <c:v>28.26541708637771</c:v>
                </c:pt>
                <c:pt idx="186">
                  <c:v>28.26541708637771</c:v>
                </c:pt>
                <c:pt idx="187">
                  <c:v>28.26541708637771</c:v>
                </c:pt>
                <c:pt idx="188">
                  <c:v>25.244979888306947</c:v>
                </c:pt>
                <c:pt idx="189">
                  <c:v>24.840714244305083</c:v>
                </c:pt>
                <c:pt idx="190">
                  <c:v>24.870762528305072</c:v>
                </c:pt>
                <c:pt idx="191">
                  <c:v>24.551447760305077</c:v>
                </c:pt>
                <c:pt idx="192">
                  <c:v>14.562916316305083</c:v>
                </c:pt>
                <c:pt idx="193">
                  <c:v>17.441116352305077</c:v>
                </c:pt>
                <c:pt idx="194">
                  <c:v>3.2754083586414198</c:v>
                </c:pt>
                <c:pt idx="195">
                  <c:v>3.6945645986414166</c:v>
                </c:pt>
                <c:pt idx="196">
                  <c:v>3.4268584426414161</c:v>
                </c:pt>
                <c:pt idx="197">
                  <c:v>4.1824974026414132</c:v>
                </c:pt>
                <c:pt idx="198">
                  <c:v>4.8783048986432842</c:v>
                </c:pt>
                <c:pt idx="199">
                  <c:v>3.8029007226414251</c:v>
                </c:pt>
                <c:pt idx="200">
                  <c:v>0.74183819064328416</c:v>
                </c:pt>
                <c:pt idx="201">
                  <c:v>19.400675297499554</c:v>
                </c:pt>
                <c:pt idx="202">
                  <c:v>16.547869301501422</c:v>
                </c:pt>
                <c:pt idx="203">
                  <c:v>13.253901153499559</c:v>
                </c:pt>
                <c:pt idx="204">
                  <c:v>11.600976877501417</c:v>
                </c:pt>
                <c:pt idx="205">
                  <c:v>7.0930074214995544</c:v>
                </c:pt>
                <c:pt idx="206">
                  <c:v>10.135140933501418</c:v>
                </c:pt>
                <c:pt idx="207">
                  <c:v>9.3445790974995546</c:v>
                </c:pt>
                <c:pt idx="208">
                  <c:v>6.3715039010995751</c:v>
                </c:pt>
                <c:pt idx="209">
                  <c:v>18.602762529097717</c:v>
                </c:pt>
                <c:pt idx="210">
                  <c:v>18.106815577097716</c:v>
                </c:pt>
                <c:pt idx="211">
                  <c:v>3.8845743750977126</c:v>
                </c:pt>
                <c:pt idx="212">
                  <c:v>4.4793895870995764</c:v>
                </c:pt>
                <c:pt idx="213">
                  <c:v>17.065966880459293</c:v>
                </c:pt>
                <c:pt idx="214">
                  <c:v>17.065966880459293</c:v>
                </c:pt>
                <c:pt idx="215">
                  <c:v>17.065966880459293</c:v>
                </c:pt>
                <c:pt idx="216">
                  <c:v>17.065966880459293</c:v>
                </c:pt>
                <c:pt idx="217">
                  <c:v>5.423779910340774</c:v>
                </c:pt>
                <c:pt idx="218">
                  <c:v>3.9983903463426325</c:v>
                </c:pt>
                <c:pt idx="219">
                  <c:v>2.8788622423407721</c:v>
                </c:pt>
                <c:pt idx="220">
                  <c:v>16.043749728340771</c:v>
                </c:pt>
                <c:pt idx="221">
                  <c:v>12.268163616340768</c:v>
                </c:pt>
                <c:pt idx="222">
                  <c:v>12.80672435372902</c:v>
                </c:pt>
                <c:pt idx="223">
                  <c:v>11.791758197727148</c:v>
                </c:pt>
                <c:pt idx="224">
                  <c:v>10.618293341727156</c:v>
                </c:pt>
                <c:pt idx="225">
                  <c:v>8.296624413727157</c:v>
                </c:pt>
                <c:pt idx="226">
                  <c:v>2.8303781297280803</c:v>
                </c:pt>
                <c:pt idx="227">
                  <c:v>2.5184554617262185</c:v>
                </c:pt>
                <c:pt idx="228">
                  <c:v>1.6434941217280865</c:v>
                </c:pt>
                <c:pt idx="229">
                  <c:v>1.1219695109318855</c:v>
                </c:pt>
                <c:pt idx="230">
                  <c:v>12.315969820931882</c:v>
                </c:pt>
                <c:pt idx="231">
                  <c:v>10.072871832931879</c:v>
                </c:pt>
                <c:pt idx="232">
                  <c:v>3.852570796932814</c:v>
                </c:pt>
                <c:pt idx="233">
                  <c:v>0.51405824493095131</c:v>
                </c:pt>
                <c:pt idx="234">
                  <c:v>1.0592070569318821</c:v>
                </c:pt>
                <c:pt idx="235">
                  <c:v>0.95501198293281053</c:v>
                </c:pt>
                <c:pt idx="236">
                  <c:v>7.152762117668142</c:v>
                </c:pt>
                <c:pt idx="237">
                  <c:v>9.1935223616690713</c:v>
                </c:pt>
                <c:pt idx="238">
                  <c:v>4.1368342336709318</c:v>
                </c:pt>
                <c:pt idx="239">
                  <c:v>0.77167649366813562</c:v>
                </c:pt>
                <c:pt idx="240">
                  <c:v>1.0640124536700022</c:v>
                </c:pt>
                <c:pt idx="241">
                  <c:v>10.140156249667205</c:v>
                </c:pt>
                <c:pt idx="242">
                  <c:v>13.884612205670935</c:v>
                </c:pt>
                <c:pt idx="243">
                  <c:v>21.014323006984561</c:v>
                </c:pt>
                <c:pt idx="244">
                  <c:v>21.014323006984561</c:v>
                </c:pt>
                <c:pt idx="245">
                  <c:v>21.014323006984561</c:v>
                </c:pt>
                <c:pt idx="246">
                  <c:v>16.785473316926858</c:v>
                </c:pt>
                <c:pt idx="247">
                  <c:v>10.244637292924068</c:v>
                </c:pt>
                <c:pt idx="248">
                  <c:v>15.825120408925926</c:v>
                </c:pt>
                <c:pt idx="249">
                  <c:v>6.2947448249249938</c:v>
                </c:pt>
                <c:pt idx="250">
                  <c:v>20.115420491951163</c:v>
                </c:pt>
                <c:pt idx="251">
                  <c:v>20.943244847952091</c:v>
                </c:pt>
                <c:pt idx="252">
                  <c:v>20.22736524795209</c:v>
                </c:pt>
                <c:pt idx="253">
                  <c:v>15.135667991953021</c:v>
                </c:pt>
                <c:pt idx="254">
                  <c:v>20.061154527952095</c:v>
                </c:pt>
                <c:pt idx="255">
                  <c:v>12.823799795953025</c:v>
                </c:pt>
                <c:pt idx="256">
                  <c:v>21.014323006984561</c:v>
                </c:pt>
                <c:pt idx="257">
                  <c:v>21.014323006984561</c:v>
                </c:pt>
                <c:pt idx="258">
                  <c:v>21.014323006984561</c:v>
                </c:pt>
                <c:pt idx="259">
                  <c:v>16.394569441872203</c:v>
                </c:pt>
                <c:pt idx="260">
                  <c:v>11.821708425872202</c:v>
                </c:pt>
                <c:pt idx="261">
                  <c:v>11.033212529874065</c:v>
                </c:pt>
                <c:pt idx="262">
                  <c:v>12.408188627872201</c:v>
                </c:pt>
                <c:pt idx="263">
                  <c:v>11.887315421872204</c:v>
                </c:pt>
                <c:pt idx="264">
                  <c:v>21.014323006984561</c:v>
                </c:pt>
                <c:pt idx="265">
                  <c:v>18.78037494927991</c:v>
                </c:pt>
                <c:pt idx="266">
                  <c:v>21.014323006984561</c:v>
                </c:pt>
                <c:pt idx="267">
                  <c:v>21.014323006984561</c:v>
                </c:pt>
                <c:pt idx="268">
                  <c:v>15.501655585280846</c:v>
                </c:pt>
                <c:pt idx="269">
                  <c:v>21.014323006984561</c:v>
                </c:pt>
                <c:pt idx="270">
                  <c:v>21.014323006984561</c:v>
                </c:pt>
                <c:pt idx="271">
                  <c:v>21.014323006984561</c:v>
                </c:pt>
                <c:pt idx="272">
                  <c:v>20.742861095840059</c:v>
                </c:pt>
                <c:pt idx="273">
                  <c:v>26.484012107839131</c:v>
                </c:pt>
                <c:pt idx="274">
                  <c:v>11.422333385840993</c:v>
                </c:pt>
                <c:pt idx="275">
                  <c:v>7.014401093840064</c:v>
                </c:pt>
                <c:pt idx="276">
                  <c:v>20.050433471840066</c:v>
                </c:pt>
                <c:pt idx="277">
                  <c:v>20.381699117839133</c:v>
                </c:pt>
                <c:pt idx="278">
                  <c:v>34.52539895779509</c:v>
                </c:pt>
                <c:pt idx="279">
                  <c:v>32.413288555796015</c:v>
                </c:pt>
                <c:pt idx="280">
                  <c:v>28.821596095796021</c:v>
                </c:pt>
                <c:pt idx="281">
                  <c:v>26.066840315795091</c:v>
                </c:pt>
                <c:pt idx="282">
                  <c:v>14.96657990579509</c:v>
                </c:pt>
                <c:pt idx="283">
                  <c:v>18.981357715795088</c:v>
                </c:pt>
                <c:pt idx="284">
                  <c:v>16.802798215795089</c:v>
                </c:pt>
                <c:pt idx="285">
                  <c:v>9.6846070946646687</c:v>
                </c:pt>
                <c:pt idx="286">
                  <c:v>21.032429324664669</c:v>
                </c:pt>
                <c:pt idx="287">
                  <c:v>22.649003934664666</c:v>
                </c:pt>
                <c:pt idx="288">
                  <c:v>22.74705282466374</c:v>
                </c:pt>
                <c:pt idx="289">
                  <c:v>20.389109104664669</c:v>
                </c:pt>
                <c:pt idx="290">
                  <c:v>19.91802019466374</c:v>
                </c:pt>
                <c:pt idx="291">
                  <c:v>13.611966614663739</c:v>
                </c:pt>
                <c:pt idx="292">
                  <c:v>15.358722254522178</c:v>
                </c:pt>
                <c:pt idx="293">
                  <c:v>22.043631314521249</c:v>
                </c:pt>
                <c:pt idx="294">
                  <c:v>15.948809024523111</c:v>
                </c:pt>
                <c:pt idx="295">
                  <c:v>16.075023874521243</c:v>
                </c:pt>
                <c:pt idx="296">
                  <c:v>16.832100644522178</c:v>
                </c:pt>
                <c:pt idx="297">
                  <c:v>28.021523204521248</c:v>
                </c:pt>
                <c:pt idx="298">
                  <c:v>20.54823370452311</c:v>
                </c:pt>
                <c:pt idx="299">
                  <c:v>38.624622912769432</c:v>
                </c:pt>
                <c:pt idx="300">
                  <c:v>29.89881810277129</c:v>
                </c:pt>
                <c:pt idx="301">
                  <c:v>25.749093082769427</c:v>
                </c:pt>
                <c:pt idx="302">
                  <c:v>27.014702642770359</c:v>
                </c:pt>
                <c:pt idx="303">
                  <c:v>14.624562322768497</c:v>
                </c:pt>
                <c:pt idx="304">
                  <c:v>22.308230842770357</c:v>
                </c:pt>
                <c:pt idx="305">
                  <c:v>28.861979306771289</c:v>
                </c:pt>
                <c:pt idx="306">
                  <c:v>55.962576198660777</c:v>
                </c:pt>
                <c:pt idx="307">
                  <c:v>53.423324498659845</c:v>
                </c:pt>
                <c:pt idx="308">
                  <c:v>54.768987696662641</c:v>
                </c:pt>
                <c:pt idx="309">
                  <c:v>51.567977068661712</c:v>
                </c:pt>
                <c:pt idx="310">
                  <c:v>44.701077378660777</c:v>
                </c:pt>
                <c:pt idx="311">
                  <c:v>58.140543336660777</c:v>
                </c:pt>
                <c:pt idx="312">
                  <c:v>60.352147998661714</c:v>
                </c:pt>
                <c:pt idx="313">
                  <c:v>40.642748824205341</c:v>
                </c:pt>
                <c:pt idx="314">
                  <c:v>42.387206774205346</c:v>
                </c:pt>
                <c:pt idx="315">
                  <c:v>41.148877884206271</c:v>
                </c:pt>
                <c:pt idx="316">
                  <c:v>23.362326284206276</c:v>
                </c:pt>
                <c:pt idx="317">
                  <c:v>24.407600184204412</c:v>
                </c:pt>
                <c:pt idx="318">
                  <c:v>34.030043696206278</c:v>
                </c:pt>
                <c:pt idx="319">
                  <c:v>28.109943584206274</c:v>
                </c:pt>
                <c:pt idx="320">
                  <c:v>16.007058459577522</c:v>
                </c:pt>
                <c:pt idx="321">
                  <c:v>19.80991207957566</c:v>
                </c:pt>
                <c:pt idx="322">
                  <c:v>29.004762949575657</c:v>
                </c:pt>
                <c:pt idx="323">
                  <c:v>25.17667563157752</c:v>
                </c:pt>
                <c:pt idx="324">
                  <c:v>27.447862815575661</c:v>
                </c:pt>
                <c:pt idx="325">
                  <c:v>27.954714831577519</c:v>
                </c:pt>
                <c:pt idx="326">
                  <c:v>26.71150298357659</c:v>
                </c:pt>
                <c:pt idx="327">
                  <c:v>45.498446717377334</c:v>
                </c:pt>
                <c:pt idx="328">
                  <c:v>47.59839343537827</c:v>
                </c:pt>
                <c:pt idx="329">
                  <c:v>47.584021095378269</c:v>
                </c:pt>
                <c:pt idx="330">
                  <c:v>51.494670423378267</c:v>
                </c:pt>
                <c:pt idx="331">
                  <c:v>44.40616921137827</c:v>
                </c:pt>
                <c:pt idx="332">
                  <c:v>53.894276795377337</c:v>
                </c:pt>
                <c:pt idx="333">
                  <c:v>68.752722995378264</c:v>
                </c:pt>
                <c:pt idx="334">
                  <c:v>67.821475788547204</c:v>
                </c:pt>
                <c:pt idx="335">
                  <c:v>67.541189772550936</c:v>
                </c:pt>
                <c:pt idx="336">
                  <c:v>79.672016052547221</c:v>
                </c:pt>
                <c:pt idx="337">
                  <c:v>73.734586612549066</c:v>
                </c:pt>
                <c:pt idx="338">
                  <c:v>67.759518322548132</c:v>
                </c:pt>
                <c:pt idx="339">
                  <c:v>75.270274524549066</c:v>
                </c:pt>
                <c:pt idx="340">
                  <c:v>74.976928570549077</c:v>
                </c:pt>
                <c:pt idx="341">
                  <c:v>104.11073943778104</c:v>
                </c:pt>
                <c:pt idx="342">
                  <c:v>104.11073943778104</c:v>
                </c:pt>
                <c:pt idx="343">
                  <c:v>104.11073943778104</c:v>
                </c:pt>
                <c:pt idx="344">
                  <c:v>104.11073943778104</c:v>
                </c:pt>
                <c:pt idx="345">
                  <c:v>104.11073943778104</c:v>
                </c:pt>
                <c:pt idx="346">
                  <c:v>104.11073943778104</c:v>
                </c:pt>
                <c:pt idx="347">
                  <c:v>104.11073943778104</c:v>
                </c:pt>
                <c:pt idx="348">
                  <c:v>99.13559776305857</c:v>
                </c:pt>
                <c:pt idx="349">
                  <c:v>94.248035811056724</c:v>
                </c:pt>
                <c:pt idx="350">
                  <c:v>100.64211291105764</c:v>
                </c:pt>
                <c:pt idx="351">
                  <c:v>104.11073943778104</c:v>
                </c:pt>
                <c:pt idx="352">
                  <c:v>94.093302843058567</c:v>
                </c:pt>
                <c:pt idx="353">
                  <c:v>104.11073943778104</c:v>
                </c:pt>
                <c:pt idx="354">
                  <c:v>104.11073943778104</c:v>
                </c:pt>
                <c:pt idx="355">
                  <c:v>104.11073943778104</c:v>
                </c:pt>
                <c:pt idx="356">
                  <c:v>100.41240194570881</c:v>
                </c:pt>
                <c:pt idx="357">
                  <c:v>73.025348019711615</c:v>
                </c:pt>
                <c:pt idx="358">
                  <c:v>62.822974397708819</c:v>
                </c:pt>
                <c:pt idx="359">
                  <c:v>66.78294229771069</c:v>
                </c:pt>
                <c:pt idx="360">
                  <c:v>70.057535739709749</c:v>
                </c:pt>
                <c:pt idx="361">
                  <c:v>73.891913097710685</c:v>
                </c:pt>
                <c:pt idx="362">
                  <c:v>104.11073943778104</c:v>
                </c:pt>
                <c:pt idx="363">
                  <c:v>104.11073943778104</c:v>
                </c:pt>
                <c:pt idx="364">
                  <c:v>104.11073943778104</c:v>
                </c:pt>
                <c:pt idx="365">
                  <c:v>100.42625551940533</c:v>
                </c:pt>
                <c:pt idx="366">
                  <c:v>103.12638681740533</c:v>
                </c:pt>
                <c:pt idx="367">
                  <c:v>103.40858254740439</c:v>
                </c:pt>
                <c:pt idx="368">
                  <c:v>101.8772165114044</c:v>
                </c:pt>
                <c:pt idx="369">
                  <c:v>90.682511495153449</c:v>
                </c:pt>
                <c:pt idx="370">
                  <c:v>94.195708353151588</c:v>
                </c:pt>
                <c:pt idx="371">
                  <c:v>95.23217975915253</c:v>
                </c:pt>
                <c:pt idx="372">
                  <c:v>89.885470789151583</c:v>
                </c:pt>
                <c:pt idx="373">
                  <c:v>81.45797707315252</c:v>
                </c:pt>
                <c:pt idx="374">
                  <c:v>104.94837715515158</c:v>
                </c:pt>
                <c:pt idx="375">
                  <c:v>105.82474258715251</c:v>
                </c:pt>
                <c:pt idx="376">
                  <c:v>79.67926047363234</c:v>
                </c:pt>
                <c:pt idx="377">
                  <c:v>108.68345302363421</c:v>
                </c:pt>
                <c:pt idx="378">
                  <c:v>109.89147631363421</c:v>
                </c:pt>
                <c:pt idx="379">
                  <c:v>107.80683500363328</c:v>
                </c:pt>
                <c:pt idx="380">
                  <c:v>93.87015517163421</c:v>
                </c:pt>
                <c:pt idx="381">
                  <c:v>102.60832404363421</c:v>
                </c:pt>
                <c:pt idx="382">
                  <c:v>104.11270260363328</c:v>
                </c:pt>
                <c:pt idx="383">
                  <c:v>68.637734574516927</c:v>
                </c:pt>
                <c:pt idx="384">
                  <c:v>58.737492274517862</c:v>
                </c:pt>
                <c:pt idx="385">
                  <c:v>44.506729246516002</c:v>
                </c:pt>
                <c:pt idx="386">
                  <c:v>42.409446336516936</c:v>
                </c:pt>
                <c:pt idx="387">
                  <c:v>55.31095297451693</c:v>
                </c:pt>
                <c:pt idx="388">
                  <c:v>82.659946634515066</c:v>
                </c:pt>
                <c:pt idx="389">
                  <c:v>64.998238462519737</c:v>
                </c:pt>
                <c:pt idx="390">
                  <c:v>60.119786710062165</c:v>
                </c:pt>
                <c:pt idx="391">
                  <c:v>44.462734002061232</c:v>
                </c:pt>
                <c:pt idx="392">
                  <c:v>32.407838530062165</c:v>
                </c:pt>
                <c:pt idx="393">
                  <c:v>31.709124514064964</c:v>
                </c:pt>
                <c:pt idx="394">
                  <c:v>30.548921818062169</c:v>
                </c:pt>
                <c:pt idx="395">
                  <c:v>27.763922656061236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-3.2043879711410694E-3"/>
                  <c:y val="-0.11097408004722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1.8091361374943465E-3"/>
                  <c:y val="-3.1496062992125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-3.6182722749887259E-3"/>
                  <c:y val="-0.1154855643044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-1.7263703064307294E-3"/>
                  <c:y val="-0.107095046854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1-40B5-940B-57AC62E60D24}"/>
                </c:ext>
              </c:extLst>
            </c:dLbl>
            <c:dLbl>
              <c:idx val="105"/>
              <c:layout>
                <c:manualLayout>
                  <c:x val="5.4274084124830389E-3"/>
                  <c:y val="-0.215223097112860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34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6"/>
              <c:layout>
                <c:manualLayout>
                  <c:x val="0"/>
                  <c:y val="-0.18372703412073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7-4DF3-A9DB-FA5385821A8D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A-401D-845E-C0B390E2F351}"/>
                </c:ext>
              </c:extLst>
            </c:dLbl>
            <c:dLbl>
              <c:idx val="167"/>
              <c:layout>
                <c:manualLayout>
                  <c:x val="3.6182722749886929E-3"/>
                  <c:y val="-4.1994750656167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5.510111840249513E-3"/>
                  <c:y val="-6.729279322012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226"/>
              <c:layout>
                <c:manualLayout>
                  <c:x val="5.3446793471057814E-3"/>
                  <c:y val="-5.15447617240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56"/>
              <c:layout>
                <c:manualLayout>
                  <c:x val="1.8091361374942137E-3"/>
                  <c:y val="-0.11548556430446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-5.3547523427041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1-40B5-940B-57AC62E60D24}"/>
                </c:ext>
              </c:extLst>
            </c:dLbl>
            <c:dLbl>
              <c:idx val="287"/>
              <c:layout>
                <c:manualLayout>
                  <c:x val="1.8091361374942137E-3"/>
                  <c:y val="-9.973753280839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317"/>
              <c:layout>
                <c:manualLayout>
                  <c:x val="5.4274084124830389E-3"/>
                  <c:y val="-5.7742782152231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DF3-A9DB-FA5385821A8D}"/>
                </c:ext>
              </c:extLst>
            </c:dLbl>
            <c:dLbl>
              <c:idx val="318"/>
              <c:layout>
                <c:manualLayout>
                  <c:x val="0"/>
                  <c:y val="-8.9976704719139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A-401D-845E-C0B390E2F351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48"/>
              <c:layout>
                <c:manualLayout>
                  <c:x val="3.6183090406749249E-3"/>
                  <c:y val="-0.12735456260738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79"/>
              <c:layout>
                <c:manualLayout>
                  <c:x val="1.8091545203375258E-3"/>
                  <c:y val="-0.10561932770451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Dat_02!$G$3:$G$398</c:f>
              <c:numCache>
                <c:formatCode>0</c:formatCode>
                <c:ptCount val="396"/>
                <c:pt idx="14">
                  <c:v>124.46511188199077</c:v>
                </c:pt>
                <c:pt idx="45">
                  <c:v>125.57183874706618</c:v>
                </c:pt>
                <c:pt idx="73">
                  <c:v>136.7399554485423</c:v>
                </c:pt>
                <c:pt idx="104">
                  <c:v>128.52573371940508</c:v>
                </c:pt>
                <c:pt idx="134">
                  <c:v>101.55332277089387</c:v>
                </c:pt>
                <c:pt idx="165">
                  <c:v>64.00894044961241</c:v>
                </c:pt>
                <c:pt idx="195">
                  <c:v>28.26541708637771</c:v>
                </c:pt>
                <c:pt idx="226">
                  <c:v>17.065966880459293</c:v>
                </c:pt>
                <c:pt idx="257">
                  <c:v>21.014323006984561</c:v>
                </c:pt>
                <c:pt idx="287">
                  <c:v>42.895784539321873</c:v>
                </c:pt>
                <c:pt idx="318">
                  <c:v>83.114057360768328</c:v>
                </c:pt>
                <c:pt idx="348">
                  <c:v>104.11073943778104</c:v>
                </c:pt>
                <c:pt idx="379">
                  <c:v>117.91214619510544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13030.265303050002</c:v>
                </c:pt>
                <c:pt idx="1">
                  <c:v>13350.687899449997</c:v>
                </c:pt>
                <c:pt idx="2">
                  <c:v>13867.618216399997</c:v>
                </c:pt>
                <c:pt idx="3">
                  <c:v>13950.648185050002</c:v>
                </c:pt>
                <c:pt idx="4">
                  <c:v>14154.758919950002</c:v>
                </c:pt>
                <c:pt idx="5">
                  <c:v>13861.50749955</c:v>
                </c:pt>
                <c:pt idx="6">
                  <c:v>12411.383130949995</c:v>
                </c:pt>
                <c:pt idx="7">
                  <c:v>11082.055950350004</c:v>
                </c:pt>
                <c:pt idx="8">
                  <c:v>10288.729394799997</c:v>
                </c:pt>
                <c:pt idx="9">
                  <c:v>9948.8780525499988</c:v>
                </c:pt>
                <c:pt idx="10">
                  <c:v>11222.871138699997</c:v>
                </c:pt>
                <c:pt idx="11">
                  <c:v>13273.133537799993</c:v>
                </c:pt>
                <c:pt idx="12">
                  <c:v>13035.252519200001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5467.9549016999981</c:v>
                </c:pt>
                <c:pt idx="1">
                  <c:v>5578.6608586499988</c:v>
                </c:pt>
                <c:pt idx="2">
                  <c:v>5886.7781087999983</c:v>
                </c:pt>
                <c:pt idx="3">
                  <c:v>7160.980094999999</c:v>
                </c:pt>
                <c:pt idx="4">
                  <c:v>7197.9099209999968</c:v>
                </c:pt>
                <c:pt idx="5">
                  <c:v>6659.6807604989417</c:v>
                </c:pt>
                <c:pt idx="6">
                  <c:v>5800.1947457021333</c:v>
                </c:pt>
                <c:pt idx="7">
                  <c:v>5069.3133357481856</c:v>
                </c:pt>
                <c:pt idx="8">
                  <c:v>4739.6054379773832</c:v>
                </c:pt>
                <c:pt idx="9">
                  <c:v>4467.0470089624023</c:v>
                </c:pt>
                <c:pt idx="10">
                  <c:v>4812.1705738000001</c:v>
                </c:pt>
                <c:pt idx="11">
                  <c:v>5316.2767810999994</c:v>
                </c:pt>
                <c:pt idx="12">
                  <c:v>5477.0266986999977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9460.7335985820428</c:v>
                </c:pt>
                <c:pt idx="1">
                  <c:v>10003.035437810451</c:v>
                </c:pt>
                <c:pt idx="2">
                  <c:v>10720.346582784256</c:v>
                </c:pt>
                <c:pt idx="3">
                  <c:v>11307.143756783118</c:v>
                </c:pt>
                <c:pt idx="4">
                  <c:v>11468.407586706651</c:v>
                </c:pt>
                <c:pt idx="5">
                  <c:v>10927.520460105234</c:v>
                </c:pt>
                <c:pt idx="6">
                  <c:v>9824.1360547772583</c:v>
                </c:pt>
                <c:pt idx="7">
                  <c:v>8745.5835792961407</c:v>
                </c:pt>
                <c:pt idx="8">
                  <c:v>7973.9046291740378</c:v>
                </c:pt>
                <c:pt idx="9">
                  <c:v>7820.7365874517254</c:v>
                </c:pt>
                <c:pt idx="10">
                  <c:v>8187.5351249509931</c:v>
                </c:pt>
                <c:pt idx="11">
                  <c:v>8633.7092310648623</c:v>
                </c:pt>
                <c:pt idx="12">
                  <c:v>9325.0652119229526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9758.5157368181899</c:v>
                </c:pt>
                <c:pt idx="1">
                  <c:v>12661.5058106672</c:v>
                </c:pt>
                <c:pt idx="2">
                  <c:v>12144.926731958538</c:v>
                </c:pt>
                <c:pt idx="3">
                  <c:v>11299.1892331082</c:v>
                </c:pt>
                <c:pt idx="4">
                  <c:v>11113.845787991901</c:v>
                </c:pt>
                <c:pt idx="5">
                  <c:v>10415.710777083699</c:v>
                </c:pt>
                <c:pt idx="6">
                  <c:v>8744.6750995529528</c:v>
                </c:pt>
                <c:pt idx="7">
                  <c:v>7124.7383119369397</c:v>
                </c:pt>
                <c:pt idx="8">
                  <c:v>6314.3165171768396</c:v>
                </c:pt>
                <c:pt idx="9">
                  <c:v>5952.5394311548098</c:v>
                </c:pt>
                <c:pt idx="10">
                  <c:v>5955.5060306251098</c:v>
                </c:pt>
                <c:pt idx="11">
                  <c:v>6678.5636735501203</c:v>
                </c:pt>
                <c:pt idx="12">
                  <c:v>7030.3147235812303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0.8998</cdr:x>
      <cdr:y>0.06633</cdr:y>
    </cdr:from>
    <cdr:to>
      <cdr:x>0.90193</cdr:x>
      <cdr:y>0.81108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59441" y="241346"/>
          <a:ext cx="14344" cy="27098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0.88721</cdr:x>
      <cdr:y>0.09539</cdr:y>
    </cdr:from>
    <cdr:to>
      <cdr:x>0.88729</cdr:x>
      <cdr:y>0.75803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11242" y="296503"/>
          <a:ext cx="560" cy="20597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0.73786</cdr:x>
      <cdr:y>0.62354</cdr:y>
    </cdr:from>
    <cdr:to>
      <cdr:x>0.86848</cdr:x>
      <cdr:y>0.7183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5689" y="1938166"/>
          <a:ext cx="914455" cy="29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8</xdr:row>
      <xdr:rowOff>152400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33525"/>
          <a:ext cx="236220" cy="2255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46,9%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104775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647825"/>
          <a:ext cx="255270" cy="930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11,7%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38100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81150"/>
          <a:ext cx="261620" cy="16192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1.195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1.302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76200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105025"/>
          <a:ext cx="252000" cy="19851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104774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33599"/>
          <a:ext cx="238125" cy="17306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789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1.079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1.868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1.234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76201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54805" y="1943101"/>
          <a:ext cx="252000" cy="17980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19051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885951"/>
          <a:ext cx="252000" cy="242404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63,1%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1.388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976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19050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95575"/>
          <a:ext cx="260350" cy="19735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1.274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33,6%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2733675</xdr:colOff>
      <xdr:row>16</xdr:row>
      <xdr:rowOff>66675</xdr:rowOff>
    </xdr:from>
    <xdr:to>
      <xdr:col>4</xdr:col>
      <xdr:colOff>2962274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5" y="2743200"/>
          <a:ext cx="228599" cy="153525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2.250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114299</xdr:rowOff>
    </xdr:from>
    <xdr:to>
      <xdr:col>4</xdr:col>
      <xdr:colOff>1771650</xdr:colOff>
      <xdr:row>20</xdr:row>
      <xdr:rowOff>152293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76599"/>
          <a:ext cx="247650" cy="199919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23,8%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2.727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114299</xdr:rowOff>
    </xdr:from>
    <xdr:to>
      <xdr:col>4</xdr:col>
      <xdr:colOff>3438525</xdr:colOff>
      <xdr:row>26</xdr:row>
      <xdr:rowOff>59877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84750" y="4248149"/>
          <a:ext cx="320675" cy="10750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4.304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47625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81475"/>
          <a:ext cx="304800" cy="1743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48,0%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7.030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57150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61001" y="4191000"/>
          <a:ext cx="292100" cy="159832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COMUN\OBJETIVO%20NUEVO%20BOLETIN%20ELECTRONICO\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Departamento\Gesti&#243;n%20de%20la%20Informaci&#243;n\Publicaciones%20e%20Informes\Mensual\Bolet&#237;n&amp;Consejo\BOLETIN%20ELECTRONICO\2020\ENE\INF_ELABORADA\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</row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E16" sqref="E16"/>
    </sheetView>
  </sheetViews>
  <sheetFormatPr baseColWidth="10" defaultColWidth="11.42578125" defaultRowHeight="12.75"/>
  <cols>
    <col min="1" max="1" width="0.28515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Enero 2022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245</v>
      </c>
    </row>
    <row r="2" spans="1:2">
      <c r="A2" t="s">
        <v>230</v>
      </c>
    </row>
    <row r="3" spans="1:2">
      <c r="A3" t="s">
        <v>226</v>
      </c>
    </row>
    <row r="4" spans="1:2">
      <c r="A4" t="s">
        <v>232</v>
      </c>
    </row>
    <row r="5" spans="1:2">
      <c r="A5" t="s">
        <v>234</v>
      </c>
    </row>
    <row r="6" spans="1:2">
      <c r="A6" t="s">
        <v>233</v>
      </c>
    </row>
    <row r="7" spans="1:2">
      <c r="A7" t="s">
        <v>231</v>
      </c>
    </row>
    <row r="8" spans="1:2">
      <c r="A8" t="s">
        <v>225</v>
      </c>
    </row>
    <row r="9" spans="1:2">
      <c r="A9" t="s">
        <v>246</v>
      </c>
    </row>
    <row r="10" spans="1:2">
      <c r="A10" t="s">
        <v>235</v>
      </c>
    </row>
    <row r="11" spans="1:2">
      <c r="A11" t="s">
        <v>202</v>
      </c>
    </row>
    <row r="12" spans="1:2">
      <c r="A12" t="s">
        <v>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E28" sqref="E28:K28"/>
    </sheetView>
  </sheetViews>
  <sheetFormatPr baseColWidth="10" defaultRowHeight="12.75"/>
  <cols>
    <col min="1" max="1" width="0.28515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28515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71093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28515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71093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28515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71093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28515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71093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28515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71093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28515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71093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28515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71093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28515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71093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28515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71093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28515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71093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28515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71093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28515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71093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28515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71093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28515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71093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28515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71093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28515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71093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28515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71093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28515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71093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28515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71093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28515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71093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28515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71093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28515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71093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28515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71093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28515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71093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28515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71093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28515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71093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28515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71093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28515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71093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28515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71093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28515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71093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28515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71093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28515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71093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28515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71093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28515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71093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28515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71093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28515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71093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28515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71093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28515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71093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28515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71093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28515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71093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28515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71093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28515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71093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28515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71093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28515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71093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28515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71093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28515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71093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28515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71093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28515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71093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28515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71093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28515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71093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28515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71093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28515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71093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28515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71093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28515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71093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28515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71093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28515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71093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28515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71093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28515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71093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28515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71093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28515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71093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28515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71093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28515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71093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28515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71093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Enero 2022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17" t="s">
        <v>63</v>
      </c>
      <c r="D7" s="12"/>
      <c r="E7" s="13"/>
      <c r="F7" s="318" t="str">
        <f>K3</f>
        <v>Enero 2022</v>
      </c>
      <c r="G7" s="319"/>
      <c r="H7" s="320" t="s">
        <v>64</v>
      </c>
      <c r="I7" s="320"/>
      <c r="J7" s="320" t="s">
        <v>71</v>
      </c>
      <c r="K7" s="320"/>
      <c r="L7" s="9"/>
    </row>
    <row r="8" spans="1:19" ht="12.75" customHeight="1">
      <c r="A8" s="7"/>
      <c r="B8" s="8"/>
      <c r="C8" s="317"/>
      <c r="D8" s="12"/>
      <c r="E8" s="14"/>
      <c r="F8" s="15" t="s">
        <v>0</v>
      </c>
      <c r="G8" s="25" t="str">
        <f>CONCATENATE("% ",MID(YEAR(F7),3,2),"/",MID(YEAR(F7)-1,3,2))</f>
        <v>% 22/21</v>
      </c>
      <c r="H8" s="15" t="s">
        <v>0</v>
      </c>
      <c r="I8" s="25" t="str">
        <f>G8</f>
        <v>% 22/21</v>
      </c>
      <c r="J8" s="15" t="s">
        <v>0</v>
      </c>
      <c r="K8" s="25" t="str">
        <f>G8</f>
        <v>% 22/21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2070.2394339439998</v>
      </c>
      <c r="G9" s="92">
        <f>VLOOKUP("Hidráulica",Dat_01!$A$8:$J$29,4,FALSE)*100</f>
        <v>-48.9717932</v>
      </c>
      <c r="H9" s="91">
        <f>VLOOKUP("Hidráulica",Dat_01!$A$8:$J$29,5,FALSE)/1000</f>
        <v>2070.2394339439998</v>
      </c>
      <c r="I9" s="92">
        <f>VLOOKUP("Hidráulica",Dat_01!$A$8:$J$29,7,FALSE)*100</f>
        <v>-48.9717932</v>
      </c>
      <c r="J9" s="91">
        <f>VLOOKUP("Hidráulica",Dat_01!$A$8:$J$29,8,FALSE)/1000</f>
        <v>27592.113671327999</v>
      </c>
      <c r="K9" s="92">
        <f>VLOOKUP("Hidráulica",Dat_01!$A$8:$J$29,10,FALSE)*100</f>
        <v>-10.867395500000001</v>
      </c>
      <c r="L9" s="19"/>
      <c r="M9" s="180"/>
      <c r="N9" s="180"/>
      <c r="O9" s="181"/>
      <c r="P9" s="180"/>
      <c r="Q9" s="181"/>
      <c r="R9" s="180"/>
      <c r="S9" s="181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5352.3177050000004</v>
      </c>
      <c r="G10" s="92">
        <f>VLOOKUP("Eólica",Dat_01!$A$8:$J$29,4,FALSE)*100</f>
        <v>-23.748290000000001</v>
      </c>
      <c r="H10" s="91">
        <f>VLOOKUP("Eólica",Dat_01!$A$8:$J$29,5,FALSE)/1000</f>
        <v>5352.3177050000004</v>
      </c>
      <c r="I10" s="92">
        <f>VLOOKUP("Eólica",Dat_01!$A$8:$J$29,7,FALSE)*100</f>
        <v>-23.748290000000001</v>
      </c>
      <c r="J10" s="91">
        <f>VLOOKUP("Eólica",Dat_01!$A$8:$J$29,8,FALSE)/1000</f>
        <v>57508.066062999998</v>
      </c>
      <c r="K10" s="92">
        <f>VLOOKUP("Eólica",Dat_01!$A$8:$J$29,10,FALSE)*100</f>
        <v>2.2274248499999998</v>
      </c>
      <c r="L10" s="19"/>
      <c r="M10" s="180"/>
      <c r="N10" s="180"/>
      <c r="O10" s="181"/>
      <c r="P10" s="180"/>
      <c r="Q10" s="181"/>
      <c r="R10" s="180"/>
      <c r="S10" s="181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1515.5292180000001</v>
      </c>
      <c r="G11" s="92">
        <f>VLOOKUP("Solar fotovoltaica",Dat_01!$A$8:$J$29,4,FALSE)*100</f>
        <v>84.111683319999997</v>
      </c>
      <c r="H11" s="91">
        <f>VLOOKUP("Solar fotovoltaica",Dat_01!$A$8:$J$29,5,FALSE)/1000</f>
        <v>1515.5292180000001</v>
      </c>
      <c r="I11" s="92">
        <f>VLOOKUP("Solar fotovoltaica",Dat_01!$A$8:$J$29,7,FALSE)*100</f>
        <v>84.111683319999997</v>
      </c>
      <c r="J11" s="91">
        <f>VLOOKUP("Solar fotovoltaica",Dat_01!$A$8:$J$29,8,FALSE)/1000</f>
        <v>21157.502589000003</v>
      </c>
      <c r="K11" s="92">
        <f>VLOOKUP("Solar fotovoltaica",Dat_01!$A$8:$J$29,10,FALSE)*100</f>
        <v>39.681237369999998</v>
      </c>
      <c r="L11" s="19"/>
      <c r="M11" s="180"/>
      <c r="N11" s="180"/>
      <c r="O11" s="181"/>
      <c r="P11" s="180"/>
      <c r="Q11" s="181"/>
      <c r="R11" s="180"/>
      <c r="S11" s="181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170.90533300000001</v>
      </c>
      <c r="G12" s="92">
        <f>VLOOKUP("Solar térmica",Dat_01!$A$8:$J$29,4,FALSE)*100</f>
        <v>66.519169779999999</v>
      </c>
      <c r="H12" s="91">
        <f>VLOOKUP("Solar térmica",Dat_01!$A$8:$J$29,5,FALSE)/1000</f>
        <v>170.90533300000001</v>
      </c>
      <c r="I12" s="92">
        <f>VLOOKUP("Solar térmica",Dat_01!$A$8:$J$29,7,FALSE)*100</f>
        <v>66.519169779999999</v>
      </c>
      <c r="J12" s="91">
        <f>VLOOKUP("Solar térmica",Dat_01!$A$8:$J$29,8,FALSE)/1000</f>
        <v>4773.7640710000005</v>
      </c>
      <c r="K12" s="92">
        <f>VLOOKUP("Solar térmica",Dat_01!$A$8:$J$29,10,FALSE)*100</f>
        <v>4.8032689599999996</v>
      </c>
      <c r="L12" s="19"/>
      <c r="M12" s="180"/>
      <c r="N12" s="180"/>
      <c r="O12" s="181"/>
      <c r="P12" s="180"/>
      <c r="Q12" s="181"/>
      <c r="R12" s="180"/>
      <c r="S12" s="181"/>
    </row>
    <row r="13" spans="1:19">
      <c r="A13" s="7"/>
      <c r="B13" s="8"/>
      <c r="C13" s="20"/>
      <c r="D13" s="12"/>
      <c r="E13" s="90" t="s">
        <v>153</v>
      </c>
      <c r="F13" s="91">
        <f>VLOOKUP("Otras renovables",Dat_01!$A$8:$J$29,2,FALSE)/1000</f>
        <v>428.36274099999997</v>
      </c>
      <c r="G13" s="92">
        <f>VLOOKUP("Otras renovables",Dat_01!$A$8:$J$29,4,FALSE)*100</f>
        <v>9.7876417199999999</v>
      </c>
      <c r="H13" s="91">
        <f>VLOOKUP("Otras renovables",Dat_01!$A$8:$J$29,5,FALSE)/1000</f>
        <v>428.36274099999997</v>
      </c>
      <c r="I13" s="92">
        <f>VLOOKUP("Otras renovables",Dat_01!$A$8:$J$29,7,FALSE)*100</f>
        <v>9.7876417199999999</v>
      </c>
      <c r="J13" s="91">
        <f>VLOOKUP("Otras renovables",Dat_01!$A$8:$J$29,8,FALSE)/1000</f>
        <v>4745.762487</v>
      </c>
      <c r="K13" s="92">
        <f>VLOOKUP("Otras renovables",Dat_01!$A$8:$J$29,10,FALSE)*100</f>
        <v>4.8160771000000002</v>
      </c>
      <c r="L13" s="19"/>
      <c r="M13" s="180"/>
      <c r="N13" s="180"/>
      <c r="O13" s="181"/>
      <c r="P13" s="180"/>
      <c r="Q13" s="181"/>
      <c r="R13" s="180"/>
      <c r="S13" s="181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68.975128999999995</v>
      </c>
      <c r="G14" s="92">
        <f>VLOOKUP("Residuos renovables",Dat_01!$A$8:$J$29,4,FALSE)*100</f>
        <v>32.491507209999995</v>
      </c>
      <c r="H14" s="91">
        <f>VLOOKUP("Residuos renovables",Dat_01!$A$8:$J$29,5,FALSE)/1000</f>
        <v>68.975128999999995</v>
      </c>
      <c r="I14" s="92">
        <f>VLOOKUP("Residuos renovables",Dat_01!$A$8:$J$29,7,FALSE)*100</f>
        <v>32.491507209999995</v>
      </c>
      <c r="J14" s="91">
        <f>VLOOKUP("Residuos renovables",Dat_01!$A$8:$J$29,8,FALSE)/1000</f>
        <v>767.77967699999999</v>
      </c>
      <c r="K14" s="92">
        <f>VLOOKUP("Residuos renovables",Dat_01!$A$8:$J$29,10,FALSE)*100</f>
        <v>27.32654016</v>
      </c>
      <c r="L14" s="19"/>
      <c r="M14" s="180"/>
      <c r="N14" s="180"/>
      <c r="O14" s="181"/>
      <c r="P14" s="180"/>
      <c r="Q14" s="181"/>
      <c r="R14" s="180"/>
      <c r="S14" s="181"/>
    </row>
    <row r="15" spans="1:19" ht="12.75" customHeight="1">
      <c r="A15" s="7"/>
      <c r="B15" s="8"/>
      <c r="C15" s="11"/>
      <c r="D15" s="12"/>
      <c r="E15" s="93" t="s">
        <v>151</v>
      </c>
      <c r="F15" s="94">
        <f>SUM(F9:F14)</f>
        <v>9606.3295599440025</v>
      </c>
      <c r="G15" s="95">
        <f>((SUM(Dat_01!B8,Dat_01!B14:B17,Dat_01!B19)/SUM(Dat_01!C8,Dat_01!C14:C17,Dat_01!C19))-1)*100</f>
        <v>-22.805696508004083</v>
      </c>
      <c r="H15" s="94">
        <f>SUM(H9:H14)</f>
        <v>9606.3295599440025</v>
      </c>
      <c r="I15" s="95">
        <f>((SUM(Dat_01!E8,Dat_01!E14:E17,Dat_01!E19)/SUM(Dat_01!F8,Dat_01!F14:F17,Dat_01!F19))-1)*100</f>
        <v>-22.805696508004083</v>
      </c>
      <c r="J15" s="94">
        <f>SUM(J9:J14)</f>
        <v>116544.98855832801</v>
      </c>
      <c r="K15" s="95">
        <f>((SUM(Dat_01!H8,Dat_01!H14:H17,Dat_01!H19)/SUM(Dat_01!I8,Dat_01!I14:I17,Dat_01!I19))-1)*100</f>
        <v>4.0172072684112159</v>
      </c>
      <c r="L15" s="19"/>
      <c r="M15" s="180"/>
      <c r="N15" s="180"/>
      <c r="O15" s="181"/>
      <c r="P15" s="180"/>
      <c r="Q15" s="181"/>
      <c r="R15" s="180"/>
      <c r="S15" s="181"/>
    </row>
    <row r="16" spans="1:19">
      <c r="A16" s="7"/>
      <c r="B16" s="8"/>
      <c r="C16" s="11"/>
      <c r="D16" s="12"/>
      <c r="E16" s="90" t="s">
        <v>155</v>
      </c>
      <c r="F16" s="91">
        <f>VLOOKUP("Turbinación bombeo",Dat_01!$A$8:$J$29,2,FALSE)/1000</f>
        <v>215.45053776</v>
      </c>
      <c r="G16" s="92">
        <f>VLOOKUP("Turbinación bombeo",Dat_01!$A$8:$J$29,4,FALSE)*100</f>
        <v>-32.783325990000002</v>
      </c>
      <c r="H16" s="91">
        <f>VLOOKUP("Turbinación bombeo",Dat_01!$A$8:$J$29,5,FALSE)/1000</f>
        <v>215.45053776</v>
      </c>
      <c r="I16" s="92">
        <f>VLOOKUP("Turbinación bombeo",Dat_01!$A$8:$J$29,7,FALSE)*100</f>
        <v>-32.783325990000002</v>
      </c>
      <c r="J16" s="91">
        <f>VLOOKUP("Turbinación bombeo",Dat_01!$A$8:$J$29,8,FALSE)/1000</f>
        <v>2544.281555818</v>
      </c>
      <c r="K16" s="92">
        <f>VLOOKUP("Turbinación bombeo",Dat_01!$A$8:$J$29,10,FALSE)*100</f>
        <v>-10.35558301</v>
      </c>
      <c r="L16" s="19"/>
      <c r="M16" s="180"/>
      <c r="N16" s="180"/>
      <c r="O16" s="181"/>
      <c r="P16" s="180"/>
      <c r="Q16" s="181"/>
      <c r="R16" s="180"/>
      <c r="S16" s="181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5048.3268710000002</v>
      </c>
      <c r="G17" s="92">
        <f>VLOOKUP("Nuclear",Dat_01!$A$8:$J$29,4,FALSE)*100</f>
        <v>-2.9119461700000002</v>
      </c>
      <c r="H17" s="91">
        <f>VLOOKUP("Nuclear",Dat_01!$A$8:$J$29,5,FALSE)/1000</f>
        <v>5048.3268710000002</v>
      </c>
      <c r="I17" s="92">
        <f>VLOOKUP("Nuclear",Dat_01!$A$8:$J$29,7,FALSE)*100</f>
        <v>-2.9119461700000002</v>
      </c>
      <c r="J17" s="91">
        <f>VLOOKUP("Nuclear",Dat_01!$A$8:$J$29,8,FALSE)/1000</f>
        <v>53888.662578000003</v>
      </c>
      <c r="K17" s="92">
        <f>VLOOKUP("Nuclear",Dat_01!$A$8:$J$29,10,FALSE)*100</f>
        <v>-3.1979975</v>
      </c>
      <c r="L17" s="19"/>
      <c r="M17" s="180"/>
      <c r="N17" s="180"/>
      <c r="O17" s="181"/>
      <c r="P17" s="180"/>
      <c r="Q17" s="181"/>
      <c r="R17" s="180"/>
      <c r="S17" s="181"/>
    </row>
    <row r="18" spans="1:19">
      <c r="A18" s="7"/>
      <c r="B18" s="8"/>
      <c r="C18" s="11"/>
      <c r="D18" s="12"/>
      <c r="E18" s="90" t="s">
        <v>157</v>
      </c>
      <c r="F18" s="91">
        <f>VLOOKUP("Ciclo combinado",Dat_01!$A$8:$J$29,2,FALSE)/1000</f>
        <v>5197.2192379999997</v>
      </c>
      <c r="G18" s="92">
        <f>VLOOKUP("Ciclo combinado",Dat_01!$A$8:$J$29,4,FALSE)*100</f>
        <v>137.49982115</v>
      </c>
      <c r="H18" s="91">
        <f>VLOOKUP("Ciclo combinado",Dat_01!$A$8:$J$29,5,FALSE)/1000</f>
        <v>5197.2192379999997</v>
      </c>
      <c r="I18" s="92">
        <f>VLOOKUP("Ciclo combinado",Dat_01!$A$8:$J$29,7,FALSE)*100</f>
        <v>137.49982115</v>
      </c>
      <c r="J18" s="91">
        <f>VLOOKUP("Ciclo combinado",Dat_01!$A$8:$J$29,8,FALSE)/1000</f>
        <v>40590.170588000001</v>
      </c>
      <c r="K18" s="92">
        <f>VLOOKUP("Ciclo combinado",Dat_01!$A$8:$J$29,10,FALSE)*100</f>
        <v>8.90119492</v>
      </c>
      <c r="L18" s="19"/>
      <c r="M18" s="180"/>
      <c r="N18" s="180"/>
      <c r="O18" s="181"/>
      <c r="P18" s="180"/>
      <c r="Q18" s="181"/>
      <c r="R18" s="180"/>
      <c r="S18" s="181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710.59119999999996</v>
      </c>
      <c r="G19" s="92">
        <f>VLOOKUP("Carbón",Dat_01!$A$8:$J$29,4,FALSE)*100</f>
        <v>27.230953740000004</v>
      </c>
      <c r="H19" s="91">
        <f>VLOOKUP("Carbón",Dat_01!$A$8:$J$29,5,FALSE)/1000</f>
        <v>710.59119999999996</v>
      </c>
      <c r="I19" s="92">
        <f>VLOOKUP("Carbón",Dat_01!$A$8:$J$29,7,FALSE)*100</f>
        <v>27.230953740000004</v>
      </c>
      <c r="J19" s="91">
        <f>VLOOKUP("Carbón",Dat_01!$A$8:$J$29,8,FALSE)/1000</f>
        <v>5094.1083609999996</v>
      </c>
      <c r="K19" s="92">
        <f>VLOOKUP("Carbón",Dat_01!$A$8:$J$29,10,FALSE)*100</f>
        <v>13.492654009999999</v>
      </c>
      <c r="L19" s="19"/>
      <c r="M19" s="180"/>
      <c r="N19" s="180"/>
      <c r="O19" s="181"/>
      <c r="P19" s="180"/>
      <c r="Q19" s="181"/>
      <c r="R19" s="180"/>
      <c r="S19" s="181"/>
    </row>
    <row r="20" spans="1:19">
      <c r="A20" s="7"/>
      <c r="B20" s="8"/>
      <c r="C20" s="163">
        <f>ABS(F14)</f>
        <v>68.975128999999995</v>
      </c>
      <c r="D20" s="12"/>
      <c r="E20" s="90" t="s">
        <v>9</v>
      </c>
      <c r="F20" s="91">
        <f>VLOOKUP("Cogeneración",Dat_01!$A$8:$J$29,2,FALSE)/1000</f>
        <v>2170.2505030000002</v>
      </c>
      <c r="G20" s="92">
        <f>VLOOKUP("Cogeneración",Dat_01!$A$8:$J$29,4,FALSE)*100</f>
        <v>-9.6169899300000008</v>
      </c>
      <c r="H20" s="91">
        <f>VLOOKUP("Cogeneración",Dat_01!$A$8:$J$29,5,FALSE)/1000</f>
        <v>2170.2505030000002</v>
      </c>
      <c r="I20" s="92">
        <f>VLOOKUP("Cogeneración",Dat_01!$A$8:$J$29,7,FALSE)*100</f>
        <v>-9.6169899300000008</v>
      </c>
      <c r="J20" s="91">
        <f>VLOOKUP("Cogeneración",Dat_01!$A$8:$J$29,8,FALSE)/1000</f>
        <v>25818.661886999998</v>
      </c>
      <c r="K20" s="92">
        <f>VLOOKUP("Cogeneración",Dat_01!$A$8:$J$29,10,FALSE)*100</f>
        <v>-4.2375973699999996</v>
      </c>
      <c r="L20" s="19"/>
      <c r="M20" s="180"/>
      <c r="N20" s="180"/>
      <c r="O20" s="181"/>
      <c r="P20" s="180"/>
      <c r="Q20" s="181"/>
      <c r="R20" s="180"/>
      <c r="S20" s="181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159.55676600000001</v>
      </c>
      <c r="G21" s="92">
        <f>VLOOKUP("Residuos no renovables",Dat_01!$A$8:$J$29,4,FALSE)*100</f>
        <v>-8.8985467800000002</v>
      </c>
      <c r="H21" s="91">
        <f>VLOOKUP("Residuos no renovables",Dat_01!$A$8:$J$29,5,FALSE)/1000</f>
        <v>159.55676600000001</v>
      </c>
      <c r="I21" s="92">
        <f>VLOOKUP("Residuos no renovables",Dat_01!$A$8:$J$29,7,FALSE)*100</f>
        <v>-8.8985467800000002</v>
      </c>
      <c r="J21" s="91">
        <f>VLOOKUP("Residuos no renovables",Dat_01!$A$8:$J$29,8,FALSE)/1000</f>
        <v>2092.7726159999997</v>
      </c>
      <c r="K21" s="92">
        <f>VLOOKUP("Residuos no renovables",Dat_01!$A$8:$J$29,10,FALSE)*100</f>
        <v>9.3502350799999991</v>
      </c>
      <c r="L21" s="19"/>
      <c r="M21" s="180"/>
      <c r="N21" s="180"/>
      <c r="O21" s="181"/>
      <c r="P21" s="180"/>
      <c r="Q21" s="181"/>
      <c r="R21" s="180"/>
      <c r="S21" s="181"/>
    </row>
    <row r="22" spans="1:19">
      <c r="A22" s="7"/>
      <c r="B22" s="8"/>
      <c r="C22" s="11"/>
      <c r="D22" s="12"/>
      <c r="E22" s="93" t="s">
        <v>152</v>
      </c>
      <c r="F22" s="94">
        <f>SUM(F16:F21)</f>
        <v>13501.39511576</v>
      </c>
      <c r="G22" s="95">
        <f>((SUM(Dat_01!B9:B13,Dat_01!B18,Dat_01!B20)/SUM(Dat_01!C9:C13,Dat_01!C18,Dat_01!C20))-1)*100</f>
        <v>24.51262983779483</v>
      </c>
      <c r="H22" s="94">
        <f>SUM(H16:H21)</f>
        <v>13501.39511576</v>
      </c>
      <c r="I22" s="95">
        <f>((SUM(Dat_01!E9:E13,Dat_01!E18,Dat_01!E20)/SUM(Dat_01!F9:F13,Dat_01!F18,Dat_01!F20))-1)*100</f>
        <v>24.51262983779483</v>
      </c>
      <c r="J22" s="94">
        <f>SUM(J16:J21)</f>
        <v>130028.65758581801</v>
      </c>
      <c r="K22" s="95">
        <f>((SUM(Dat_01!H9:H13,Dat_01!H18,Dat_01!H20)/SUM(Dat_01!I9:I13,Dat_01!I18,Dat_01!I20))-1)*100</f>
        <v>0.6857125920649576</v>
      </c>
      <c r="L22" s="19"/>
      <c r="M22" s="180"/>
      <c r="N22" s="180"/>
      <c r="O22" s="181"/>
      <c r="P22" s="180"/>
      <c r="Q22" s="181"/>
      <c r="R22" s="180"/>
      <c r="S22" s="181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-413.82872399999997</v>
      </c>
      <c r="G23" s="92">
        <f>VLOOKUP("Consumo de bombeo",Dat_01!$A$8:$J$29,4,FALSE)*100</f>
        <v>-32.258834289999996</v>
      </c>
      <c r="H23" s="91">
        <f>VLOOKUP("Consumo de bombeo",Dat_01!$A$8:$J$29,5,FALSE)/1000</f>
        <v>-413.82872399999997</v>
      </c>
      <c r="I23" s="92">
        <f>VLOOKUP("Consumo de bombeo",Dat_01!$A$8:$J$29,7,FALSE)*100</f>
        <v>-32.258834289999996</v>
      </c>
      <c r="J23" s="91">
        <f>VLOOKUP("Consumo de bombeo",Dat_01!$A$8:$J$29,8,FALSE)/1000</f>
        <v>-4149.5687139949996</v>
      </c>
      <c r="K23" s="92">
        <f>VLOOKUP("Consumo de bombeo",Dat_01!$A$8:$J$29,10,FALSE)*100</f>
        <v>-14.251540719999999</v>
      </c>
      <c r="L23" s="19"/>
      <c r="M23" s="180"/>
      <c r="N23" s="180"/>
      <c r="O23" s="181"/>
      <c r="P23" s="180"/>
      <c r="Q23" s="181"/>
      <c r="R23" s="180"/>
      <c r="S23" s="181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-31.159338999999999</v>
      </c>
      <c r="G24" s="92">
        <f>VLOOKUP("Enlace Península-Baleares",Dat_01!$A$8:$J$29,4,FALSE)*100</f>
        <v>-77.461666440000002</v>
      </c>
      <c r="H24" s="91">
        <f>VLOOKUP("Enlace Península-Baleares",Dat_01!$A$8:$J$29,5,FALSE)/1000</f>
        <v>-31.159338999999999</v>
      </c>
      <c r="I24" s="92">
        <f>VLOOKUP("Enlace Península-Baleares",Dat_01!$A$8:$J$29,7,FALSE)*100</f>
        <v>-77.461666440000002</v>
      </c>
      <c r="J24" s="91">
        <f>VLOOKUP("Enlace Península-Baleares",Dat_01!$A$8:$J$29,8,FALSE)/1000</f>
        <v>-783.13789399999996</v>
      </c>
      <c r="K24" s="92">
        <f>VLOOKUP("Enlace Península-Baleares",Dat_01!$A$8:$J$29,10,FALSE)*100</f>
        <v>-45.182673059999999</v>
      </c>
      <c r="L24" s="19"/>
      <c r="M24" s="180"/>
      <c r="N24" s="180"/>
      <c r="O24" s="181"/>
      <c r="P24" s="180"/>
      <c r="Q24" s="181"/>
      <c r="R24" s="180"/>
      <c r="S24" s="181"/>
    </row>
    <row r="25" spans="1:19" ht="12.75" customHeight="1">
      <c r="E25" s="96" t="s">
        <v>76</v>
      </c>
      <c r="F25" s="97">
        <f>VLOOKUP("Saldos intercambios internacionales",Dat_01!$A$8:$J$29,2,FALSE)/1000</f>
        <v>-1173.4619029999999</v>
      </c>
      <c r="G25" s="95" t="str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</v>
      </c>
      <c r="H25" s="97">
        <f>VLOOKUP("Saldos intercambios internacionales",Dat_01!$A$8:$J$29,5,FALSE)/1000</f>
        <v>-1173.4619029999999</v>
      </c>
      <c r="I25" s="95" t="str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</v>
      </c>
      <c r="J25" s="97">
        <f>VLOOKUP("Saldos intercambios internacionales",Dat_01!$A$8:$J$29,8,FALSE)/1000</f>
        <v>-504.56115</v>
      </c>
      <c r="K25" s="98" t="str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</v>
      </c>
      <c r="L25" s="19"/>
      <c r="M25" s="180"/>
      <c r="N25" s="180"/>
      <c r="O25" s="181"/>
      <c r="P25" s="180"/>
      <c r="Q25" s="181"/>
      <c r="R25" s="180"/>
      <c r="S25" s="181"/>
    </row>
    <row r="26" spans="1:19" ht="16.149999999999999" customHeight="1">
      <c r="E26" s="99" t="s">
        <v>13</v>
      </c>
      <c r="F26" s="100">
        <f>VLOOKUP("Demanda transporte (b.c.)",Dat_01!$A$8:$J$29,2,FALSE)/1000</f>
        <v>21489.274709704001</v>
      </c>
      <c r="G26" s="101">
        <f>VLOOKUP("Demanda transporte (b.c.)",Dat_01!$A$8:$J$29,4,FALSE)*100</f>
        <v>-5.5561957399999997</v>
      </c>
      <c r="H26" s="100">
        <f>VLOOKUP("Demanda transporte (b.c.)",Dat_01!$A$8:$J$29,5,FALSE)/1000</f>
        <v>21489.274709704001</v>
      </c>
      <c r="I26" s="101">
        <f>VLOOKUP("Demanda transporte (b.c.)",Dat_01!$A$8:$J$29,7,FALSE)*100</f>
        <v>-5.5561957399999997</v>
      </c>
      <c r="J26" s="100">
        <f>VLOOKUP("Demanda transporte (b.c.)",Dat_01!$A$8:$J$29,8,FALSE)/1000</f>
        <v>241136.37838515101</v>
      </c>
      <c r="K26" s="101">
        <f>VLOOKUP("Demanda transporte (b.c.)",Dat_01!$A$8:$J$29,10,FALSE)*100</f>
        <v>1.77480715</v>
      </c>
      <c r="L26" s="19"/>
    </row>
    <row r="27" spans="1:19" ht="16.350000000000001" customHeight="1">
      <c r="E27" s="323" t="s">
        <v>83</v>
      </c>
      <c r="F27" s="324"/>
      <c r="G27" s="324"/>
      <c r="H27" s="324"/>
      <c r="I27" s="324"/>
      <c r="J27" s="324"/>
      <c r="K27" s="324"/>
      <c r="L27" s="16"/>
      <c r="M27" s="322"/>
      <c r="N27" s="322"/>
      <c r="O27" s="322"/>
      <c r="P27" s="322"/>
      <c r="Q27" s="322"/>
      <c r="R27" s="322"/>
      <c r="S27" s="322"/>
    </row>
    <row r="28" spans="1:19" ht="34.5" customHeight="1">
      <c r="E28" s="325" t="s">
        <v>182</v>
      </c>
      <c r="F28" s="326"/>
      <c r="G28" s="326"/>
      <c r="H28" s="326"/>
      <c r="I28" s="326"/>
      <c r="J28" s="326"/>
      <c r="K28" s="326"/>
      <c r="L28" s="16"/>
      <c r="M28" s="294"/>
      <c r="N28" s="294"/>
      <c r="O28" s="294"/>
      <c r="P28" s="294"/>
      <c r="Q28" s="294"/>
      <c r="R28" s="294"/>
      <c r="S28" s="294"/>
    </row>
    <row r="29" spans="1:19" ht="12.75" customHeight="1">
      <c r="E29" s="322" t="s">
        <v>54</v>
      </c>
      <c r="F29" s="322"/>
      <c r="G29" s="322"/>
      <c r="H29" s="322"/>
      <c r="I29" s="322"/>
      <c r="J29" s="322"/>
      <c r="K29" s="322"/>
      <c r="L29" s="16"/>
    </row>
    <row r="30" spans="1:19" ht="12.75" customHeight="1">
      <c r="E30" s="322" t="s">
        <v>72</v>
      </c>
      <c r="F30" s="322"/>
      <c r="G30" s="322"/>
      <c r="H30" s="322"/>
      <c r="I30" s="322"/>
      <c r="J30" s="322"/>
      <c r="K30" s="322"/>
      <c r="L30" s="16"/>
    </row>
    <row r="31" spans="1:19" ht="12.75" customHeight="1">
      <c r="E31" s="322" t="s">
        <v>154</v>
      </c>
      <c r="F31" s="322"/>
      <c r="G31" s="322"/>
      <c r="H31" s="322"/>
      <c r="I31" s="322"/>
      <c r="J31" s="322"/>
      <c r="K31" s="322"/>
      <c r="L31" s="16"/>
    </row>
    <row r="32" spans="1:19" ht="12.75" customHeight="1">
      <c r="E32" s="321" t="s">
        <v>156</v>
      </c>
      <c r="F32" s="321"/>
      <c r="G32" s="321"/>
      <c r="H32" s="321"/>
      <c r="I32" s="321"/>
      <c r="J32" s="321"/>
      <c r="K32" s="321"/>
      <c r="L32" s="16"/>
    </row>
    <row r="33" spans="5:12" ht="12.75" customHeight="1">
      <c r="E33" s="322" t="s">
        <v>158</v>
      </c>
      <c r="F33" s="322"/>
      <c r="G33" s="322"/>
      <c r="H33" s="322"/>
      <c r="I33" s="322"/>
      <c r="J33" s="322"/>
      <c r="K33" s="322"/>
      <c r="L33" s="16"/>
    </row>
    <row r="34" spans="5:12" ht="15" customHeight="1">
      <c r="E34" s="321" t="s">
        <v>74</v>
      </c>
      <c r="F34" s="321"/>
      <c r="G34" s="321"/>
      <c r="H34" s="321"/>
      <c r="I34" s="321"/>
      <c r="J34" s="321"/>
      <c r="K34" s="321"/>
    </row>
    <row r="35" spans="5:12" ht="24" customHeight="1">
      <c r="E35" s="321" t="s">
        <v>79</v>
      </c>
      <c r="F35" s="321"/>
      <c r="G35" s="321"/>
      <c r="H35" s="321"/>
      <c r="I35" s="321"/>
      <c r="J35" s="321"/>
      <c r="K35" s="321"/>
    </row>
    <row r="36" spans="5:12">
      <c r="F36" s="268"/>
      <c r="G36" s="268"/>
      <c r="H36" s="268"/>
      <c r="I36" s="268"/>
      <c r="J36" s="268"/>
      <c r="K36" s="268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J29" sqref="J29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7" width="11.42578125" style="36"/>
    <col min="8" max="8" width="15.5703125" style="36" customWidth="1"/>
    <col min="9" max="252" width="11.42578125" style="36"/>
    <col min="253" max="253" width="0.28515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7109375" style="36" customWidth="1"/>
    <col min="258" max="259" width="11.42578125" style="36"/>
    <col min="260" max="260" width="2.28515625" style="36" customWidth="1"/>
    <col min="261" max="261" width="11.42578125" style="36"/>
    <col min="262" max="262" width="9.5703125" style="36" customWidth="1"/>
    <col min="263" max="508" width="11.42578125" style="36"/>
    <col min="509" max="509" width="0.28515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7109375" style="36" customWidth="1"/>
    <col min="514" max="515" width="11.42578125" style="36"/>
    <col min="516" max="516" width="2.28515625" style="36" customWidth="1"/>
    <col min="517" max="517" width="11.42578125" style="36"/>
    <col min="518" max="518" width="9.5703125" style="36" customWidth="1"/>
    <col min="519" max="764" width="11.42578125" style="36"/>
    <col min="765" max="765" width="0.28515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7109375" style="36" customWidth="1"/>
    <col min="770" max="771" width="11.42578125" style="36"/>
    <col min="772" max="772" width="2.28515625" style="36" customWidth="1"/>
    <col min="773" max="773" width="11.42578125" style="36"/>
    <col min="774" max="774" width="9.5703125" style="36" customWidth="1"/>
    <col min="775" max="1020" width="11.42578125" style="36"/>
    <col min="1021" max="1021" width="0.28515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7109375" style="36" customWidth="1"/>
    <col min="1026" max="1027" width="11.42578125" style="36"/>
    <col min="1028" max="1028" width="2.28515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28515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7109375" style="36" customWidth="1"/>
    <col min="1282" max="1283" width="11.42578125" style="36"/>
    <col min="1284" max="1284" width="2.28515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28515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7109375" style="36" customWidth="1"/>
    <col min="1538" max="1539" width="11.42578125" style="36"/>
    <col min="1540" max="1540" width="2.28515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28515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7109375" style="36" customWidth="1"/>
    <col min="1794" max="1795" width="11.42578125" style="36"/>
    <col min="1796" max="1796" width="2.28515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28515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7109375" style="36" customWidth="1"/>
    <col min="2050" max="2051" width="11.42578125" style="36"/>
    <col min="2052" max="2052" width="2.28515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28515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7109375" style="36" customWidth="1"/>
    <col min="2306" max="2307" width="11.42578125" style="36"/>
    <col min="2308" max="2308" width="2.28515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28515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7109375" style="36" customWidth="1"/>
    <col min="2562" max="2563" width="11.42578125" style="36"/>
    <col min="2564" max="2564" width="2.28515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28515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7109375" style="36" customWidth="1"/>
    <col min="2818" max="2819" width="11.42578125" style="36"/>
    <col min="2820" max="2820" width="2.28515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28515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7109375" style="36" customWidth="1"/>
    <col min="3074" max="3075" width="11.42578125" style="36"/>
    <col min="3076" max="3076" width="2.28515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28515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7109375" style="36" customWidth="1"/>
    <col min="3330" max="3331" width="11.42578125" style="36"/>
    <col min="3332" max="3332" width="2.28515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28515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7109375" style="36" customWidth="1"/>
    <col min="3586" max="3587" width="11.42578125" style="36"/>
    <col min="3588" max="3588" width="2.28515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28515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7109375" style="36" customWidth="1"/>
    <col min="3842" max="3843" width="11.42578125" style="36"/>
    <col min="3844" max="3844" width="2.28515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28515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7109375" style="36" customWidth="1"/>
    <col min="4098" max="4099" width="11.42578125" style="36"/>
    <col min="4100" max="4100" width="2.28515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28515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7109375" style="36" customWidth="1"/>
    <col min="4354" max="4355" width="11.42578125" style="36"/>
    <col min="4356" max="4356" width="2.28515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28515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7109375" style="36" customWidth="1"/>
    <col min="4610" max="4611" width="11.42578125" style="36"/>
    <col min="4612" max="4612" width="2.28515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28515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7109375" style="36" customWidth="1"/>
    <col min="4866" max="4867" width="11.42578125" style="36"/>
    <col min="4868" max="4868" width="2.28515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28515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7109375" style="36" customWidth="1"/>
    <col min="5122" max="5123" width="11.42578125" style="36"/>
    <col min="5124" max="5124" width="2.28515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28515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7109375" style="36" customWidth="1"/>
    <col min="5378" max="5379" width="11.42578125" style="36"/>
    <col min="5380" max="5380" width="2.28515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28515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7109375" style="36" customWidth="1"/>
    <col min="5634" max="5635" width="11.42578125" style="36"/>
    <col min="5636" max="5636" width="2.28515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28515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7109375" style="36" customWidth="1"/>
    <col min="5890" max="5891" width="11.42578125" style="36"/>
    <col min="5892" max="5892" width="2.28515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28515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7109375" style="36" customWidth="1"/>
    <col min="6146" max="6147" width="11.42578125" style="36"/>
    <col min="6148" max="6148" width="2.28515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28515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7109375" style="36" customWidth="1"/>
    <col min="6402" max="6403" width="11.42578125" style="36"/>
    <col min="6404" max="6404" width="2.28515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28515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7109375" style="36" customWidth="1"/>
    <col min="6658" max="6659" width="11.42578125" style="36"/>
    <col min="6660" max="6660" width="2.28515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28515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7109375" style="36" customWidth="1"/>
    <col min="6914" max="6915" width="11.42578125" style="36"/>
    <col min="6916" max="6916" width="2.28515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28515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7109375" style="36" customWidth="1"/>
    <col min="7170" max="7171" width="11.42578125" style="36"/>
    <col min="7172" max="7172" width="2.28515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28515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7109375" style="36" customWidth="1"/>
    <col min="7426" max="7427" width="11.42578125" style="36"/>
    <col min="7428" max="7428" width="2.28515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28515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7109375" style="36" customWidth="1"/>
    <col min="7682" max="7683" width="11.42578125" style="36"/>
    <col min="7684" max="7684" width="2.28515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28515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7109375" style="36" customWidth="1"/>
    <col min="7938" max="7939" width="11.42578125" style="36"/>
    <col min="7940" max="7940" width="2.28515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28515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7109375" style="36" customWidth="1"/>
    <col min="8194" max="8195" width="11.42578125" style="36"/>
    <col min="8196" max="8196" width="2.28515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28515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7109375" style="36" customWidth="1"/>
    <col min="8450" max="8451" width="11.42578125" style="36"/>
    <col min="8452" max="8452" width="2.28515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28515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7109375" style="36" customWidth="1"/>
    <col min="8706" max="8707" width="11.42578125" style="36"/>
    <col min="8708" max="8708" width="2.28515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28515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7109375" style="36" customWidth="1"/>
    <col min="8962" max="8963" width="11.42578125" style="36"/>
    <col min="8964" max="8964" width="2.28515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28515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7109375" style="36" customWidth="1"/>
    <col min="9218" max="9219" width="11.42578125" style="36"/>
    <col min="9220" max="9220" width="2.28515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28515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7109375" style="36" customWidth="1"/>
    <col min="9474" max="9475" width="11.42578125" style="36"/>
    <col min="9476" max="9476" width="2.28515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28515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7109375" style="36" customWidth="1"/>
    <col min="9730" max="9731" width="11.42578125" style="36"/>
    <col min="9732" max="9732" width="2.28515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28515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7109375" style="36" customWidth="1"/>
    <col min="9986" max="9987" width="11.42578125" style="36"/>
    <col min="9988" max="9988" width="2.28515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28515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7109375" style="36" customWidth="1"/>
    <col min="10242" max="10243" width="11.42578125" style="36"/>
    <col min="10244" max="10244" width="2.28515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28515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7109375" style="36" customWidth="1"/>
    <col min="10498" max="10499" width="11.42578125" style="36"/>
    <col min="10500" max="10500" width="2.28515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28515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7109375" style="36" customWidth="1"/>
    <col min="10754" max="10755" width="11.42578125" style="36"/>
    <col min="10756" max="10756" width="2.28515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28515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7109375" style="36" customWidth="1"/>
    <col min="11010" max="11011" width="11.42578125" style="36"/>
    <col min="11012" max="11012" width="2.28515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28515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7109375" style="36" customWidth="1"/>
    <col min="11266" max="11267" width="11.42578125" style="36"/>
    <col min="11268" max="11268" width="2.28515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28515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7109375" style="36" customWidth="1"/>
    <col min="11522" max="11523" width="11.42578125" style="36"/>
    <col min="11524" max="11524" width="2.28515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28515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7109375" style="36" customWidth="1"/>
    <col min="11778" max="11779" width="11.42578125" style="36"/>
    <col min="11780" max="11780" width="2.28515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28515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7109375" style="36" customWidth="1"/>
    <col min="12034" max="12035" width="11.42578125" style="36"/>
    <col min="12036" max="12036" width="2.28515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28515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7109375" style="36" customWidth="1"/>
    <col min="12290" max="12291" width="11.42578125" style="36"/>
    <col min="12292" max="12292" width="2.28515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28515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7109375" style="36" customWidth="1"/>
    <col min="12546" max="12547" width="11.42578125" style="36"/>
    <col min="12548" max="12548" width="2.28515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28515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7109375" style="36" customWidth="1"/>
    <col min="12802" max="12803" width="11.42578125" style="36"/>
    <col min="12804" max="12804" width="2.28515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28515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7109375" style="36" customWidth="1"/>
    <col min="13058" max="13059" width="11.42578125" style="36"/>
    <col min="13060" max="13060" width="2.28515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28515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7109375" style="36" customWidth="1"/>
    <col min="13314" max="13315" width="11.42578125" style="36"/>
    <col min="13316" max="13316" width="2.28515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28515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7109375" style="36" customWidth="1"/>
    <col min="13570" max="13571" width="11.42578125" style="36"/>
    <col min="13572" max="13572" width="2.28515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28515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7109375" style="36" customWidth="1"/>
    <col min="13826" max="13827" width="11.42578125" style="36"/>
    <col min="13828" max="13828" width="2.28515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28515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7109375" style="36" customWidth="1"/>
    <col min="14082" max="14083" width="11.42578125" style="36"/>
    <col min="14084" max="14084" width="2.28515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28515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7109375" style="36" customWidth="1"/>
    <col min="14338" max="14339" width="11.42578125" style="36"/>
    <col min="14340" max="14340" width="2.28515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28515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7109375" style="36" customWidth="1"/>
    <col min="14594" max="14595" width="11.42578125" style="36"/>
    <col min="14596" max="14596" width="2.28515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28515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7109375" style="36" customWidth="1"/>
    <col min="14850" max="14851" width="11.42578125" style="36"/>
    <col min="14852" max="14852" width="2.28515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28515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7109375" style="36" customWidth="1"/>
    <col min="15106" max="15107" width="11.42578125" style="36"/>
    <col min="15108" max="15108" width="2.28515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28515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7109375" style="36" customWidth="1"/>
    <col min="15362" max="15363" width="11.42578125" style="36"/>
    <col min="15364" max="15364" width="2.28515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28515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7109375" style="36" customWidth="1"/>
    <col min="15618" max="15619" width="11.42578125" style="36"/>
    <col min="15620" max="15620" width="2.28515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28515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7109375" style="36" customWidth="1"/>
    <col min="15874" max="15875" width="11.42578125" style="36"/>
    <col min="15876" max="15876" width="2.28515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28515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7109375" style="36" customWidth="1"/>
    <col min="16130" max="16131" width="11.42578125" style="36"/>
    <col min="16132" max="16132" width="2.28515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Enero 2022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7" t="s">
        <v>58</v>
      </c>
      <c r="D7" s="32"/>
      <c r="E7" s="39"/>
    </row>
    <row r="8" spans="2:7" s="29" customFormat="1" ht="12.75" customHeight="1">
      <c r="B8" s="28"/>
      <c r="C8" s="327"/>
      <c r="D8" s="32"/>
      <c r="E8" s="39"/>
      <c r="F8" s="33"/>
    </row>
    <row r="9" spans="2:7" s="29" customFormat="1" ht="12.75" customHeight="1">
      <c r="B9" s="28"/>
      <c r="C9" s="280"/>
      <c r="D9" s="32"/>
      <c r="E9" s="39"/>
      <c r="F9" s="253"/>
      <c r="G9" s="254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7" t="s">
        <v>60</v>
      </c>
      <c r="E23" s="41"/>
    </row>
    <row r="24" spans="2:6" ht="12.75" customHeight="1">
      <c r="C24" s="327"/>
      <c r="E24" s="37"/>
    </row>
    <row r="25" spans="2:6" ht="12.75" customHeight="1">
      <c r="C25" s="327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H40" sqref="H40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6" width="1.28515625" style="26" customWidth="1"/>
    <col min="7" max="7" width="58.7109375" style="36" customWidth="1"/>
    <col min="8" max="8" width="11.42578125" style="36"/>
    <col min="9" max="9" width="15.5703125" style="36" customWidth="1"/>
    <col min="10" max="255" width="11.42578125" style="36"/>
    <col min="256" max="256" width="0.28515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7109375" style="36" customWidth="1"/>
    <col min="261" max="262" width="11.42578125" style="36"/>
    <col min="263" max="263" width="2.28515625" style="36" customWidth="1"/>
    <col min="264" max="264" width="11.42578125" style="36"/>
    <col min="265" max="265" width="9.5703125" style="36" customWidth="1"/>
    <col min="266" max="511" width="11.42578125" style="36"/>
    <col min="512" max="512" width="0.28515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7109375" style="36" customWidth="1"/>
    <col min="517" max="518" width="11.42578125" style="36"/>
    <col min="519" max="519" width="2.28515625" style="36" customWidth="1"/>
    <col min="520" max="520" width="11.42578125" style="36"/>
    <col min="521" max="521" width="9.5703125" style="36" customWidth="1"/>
    <col min="522" max="767" width="11.42578125" style="36"/>
    <col min="768" max="768" width="0.28515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7109375" style="36" customWidth="1"/>
    <col min="773" max="774" width="11.42578125" style="36"/>
    <col min="775" max="775" width="2.28515625" style="36" customWidth="1"/>
    <col min="776" max="776" width="11.42578125" style="36"/>
    <col min="777" max="777" width="9.5703125" style="36" customWidth="1"/>
    <col min="778" max="1023" width="11.42578125" style="36"/>
    <col min="1024" max="1024" width="0.28515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7109375" style="36" customWidth="1"/>
    <col min="1029" max="1030" width="11.42578125" style="36"/>
    <col min="1031" max="1031" width="2.28515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28515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7109375" style="36" customWidth="1"/>
    <col min="1285" max="1286" width="11.42578125" style="36"/>
    <col min="1287" max="1287" width="2.28515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28515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7109375" style="36" customWidth="1"/>
    <col min="1541" max="1542" width="11.42578125" style="36"/>
    <col min="1543" max="1543" width="2.28515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28515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7109375" style="36" customWidth="1"/>
    <col min="1797" max="1798" width="11.42578125" style="36"/>
    <col min="1799" max="1799" width="2.28515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28515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7109375" style="36" customWidth="1"/>
    <col min="2053" max="2054" width="11.42578125" style="36"/>
    <col min="2055" max="2055" width="2.28515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28515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7109375" style="36" customWidth="1"/>
    <col min="2309" max="2310" width="11.42578125" style="36"/>
    <col min="2311" max="2311" width="2.28515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28515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7109375" style="36" customWidth="1"/>
    <col min="2565" max="2566" width="11.42578125" style="36"/>
    <col min="2567" max="2567" width="2.28515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28515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7109375" style="36" customWidth="1"/>
    <col min="2821" max="2822" width="11.42578125" style="36"/>
    <col min="2823" max="2823" width="2.28515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28515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7109375" style="36" customWidth="1"/>
    <col min="3077" max="3078" width="11.42578125" style="36"/>
    <col min="3079" max="3079" width="2.28515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28515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7109375" style="36" customWidth="1"/>
    <col min="3333" max="3334" width="11.42578125" style="36"/>
    <col min="3335" max="3335" width="2.28515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28515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7109375" style="36" customWidth="1"/>
    <col min="3589" max="3590" width="11.42578125" style="36"/>
    <col min="3591" max="3591" width="2.28515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28515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7109375" style="36" customWidth="1"/>
    <col min="3845" max="3846" width="11.42578125" style="36"/>
    <col min="3847" max="3847" width="2.28515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28515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7109375" style="36" customWidth="1"/>
    <col min="4101" max="4102" width="11.42578125" style="36"/>
    <col min="4103" max="4103" width="2.28515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28515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7109375" style="36" customWidth="1"/>
    <col min="4357" max="4358" width="11.42578125" style="36"/>
    <col min="4359" max="4359" width="2.28515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28515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7109375" style="36" customWidth="1"/>
    <col min="4613" max="4614" width="11.42578125" style="36"/>
    <col min="4615" max="4615" width="2.28515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28515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7109375" style="36" customWidth="1"/>
    <col min="4869" max="4870" width="11.42578125" style="36"/>
    <col min="4871" max="4871" width="2.28515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28515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7109375" style="36" customWidth="1"/>
    <col min="5125" max="5126" width="11.42578125" style="36"/>
    <col min="5127" max="5127" width="2.28515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28515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7109375" style="36" customWidth="1"/>
    <col min="5381" max="5382" width="11.42578125" style="36"/>
    <col min="5383" max="5383" width="2.28515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28515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7109375" style="36" customWidth="1"/>
    <col min="5637" max="5638" width="11.42578125" style="36"/>
    <col min="5639" max="5639" width="2.28515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28515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7109375" style="36" customWidth="1"/>
    <col min="5893" max="5894" width="11.42578125" style="36"/>
    <col min="5895" max="5895" width="2.28515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28515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7109375" style="36" customWidth="1"/>
    <col min="6149" max="6150" width="11.42578125" style="36"/>
    <col min="6151" max="6151" width="2.28515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28515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7109375" style="36" customWidth="1"/>
    <col min="6405" max="6406" width="11.42578125" style="36"/>
    <col min="6407" max="6407" width="2.28515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28515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7109375" style="36" customWidth="1"/>
    <col min="6661" max="6662" width="11.42578125" style="36"/>
    <col min="6663" max="6663" width="2.28515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28515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7109375" style="36" customWidth="1"/>
    <col min="6917" max="6918" width="11.42578125" style="36"/>
    <col min="6919" max="6919" width="2.28515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28515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7109375" style="36" customWidth="1"/>
    <col min="7173" max="7174" width="11.42578125" style="36"/>
    <col min="7175" max="7175" width="2.28515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28515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7109375" style="36" customWidth="1"/>
    <col min="7429" max="7430" width="11.42578125" style="36"/>
    <col min="7431" max="7431" width="2.28515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28515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7109375" style="36" customWidth="1"/>
    <col min="7685" max="7686" width="11.42578125" style="36"/>
    <col min="7687" max="7687" width="2.28515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28515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7109375" style="36" customWidth="1"/>
    <col min="7941" max="7942" width="11.42578125" style="36"/>
    <col min="7943" max="7943" width="2.28515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28515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7109375" style="36" customWidth="1"/>
    <col min="8197" max="8198" width="11.42578125" style="36"/>
    <col min="8199" max="8199" width="2.28515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28515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7109375" style="36" customWidth="1"/>
    <col min="8453" max="8454" width="11.42578125" style="36"/>
    <col min="8455" max="8455" width="2.28515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28515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7109375" style="36" customWidth="1"/>
    <col min="8709" max="8710" width="11.42578125" style="36"/>
    <col min="8711" max="8711" width="2.28515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28515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7109375" style="36" customWidth="1"/>
    <col min="8965" max="8966" width="11.42578125" style="36"/>
    <col min="8967" max="8967" width="2.28515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28515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7109375" style="36" customWidth="1"/>
    <col min="9221" max="9222" width="11.42578125" style="36"/>
    <col min="9223" max="9223" width="2.28515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28515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7109375" style="36" customWidth="1"/>
    <col min="9477" max="9478" width="11.42578125" style="36"/>
    <col min="9479" max="9479" width="2.28515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28515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7109375" style="36" customWidth="1"/>
    <col min="9733" max="9734" width="11.42578125" style="36"/>
    <col min="9735" max="9735" width="2.28515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28515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7109375" style="36" customWidth="1"/>
    <col min="9989" max="9990" width="11.42578125" style="36"/>
    <col min="9991" max="9991" width="2.28515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28515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7109375" style="36" customWidth="1"/>
    <col min="10245" max="10246" width="11.42578125" style="36"/>
    <col min="10247" max="10247" width="2.28515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28515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7109375" style="36" customWidth="1"/>
    <col min="10501" max="10502" width="11.42578125" style="36"/>
    <col min="10503" max="10503" width="2.28515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28515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7109375" style="36" customWidth="1"/>
    <col min="10757" max="10758" width="11.42578125" style="36"/>
    <col min="10759" max="10759" width="2.28515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28515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7109375" style="36" customWidth="1"/>
    <col min="11013" max="11014" width="11.42578125" style="36"/>
    <col min="11015" max="11015" width="2.28515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28515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7109375" style="36" customWidth="1"/>
    <col min="11269" max="11270" width="11.42578125" style="36"/>
    <col min="11271" max="11271" width="2.28515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28515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7109375" style="36" customWidth="1"/>
    <col min="11525" max="11526" width="11.42578125" style="36"/>
    <col min="11527" max="11527" width="2.28515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28515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7109375" style="36" customWidth="1"/>
    <col min="11781" max="11782" width="11.42578125" style="36"/>
    <col min="11783" max="11783" width="2.28515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28515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7109375" style="36" customWidth="1"/>
    <col min="12037" max="12038" width="11.42578125" style="36"/>
    <col min="12039" max="12039" width="2.28515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28515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7109375" style="36" customWidth="1"/>
    <col min="12293" max="12294" width="11.42578125" style="36"/>
    <col min="12295" max="12295" width="2.28515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28515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7109375" style="36" customWidth="1"/>
    <col min="12549" max="12550" width="11.42578125" style="36"/>
    <col min="12551" max="12551" width="2.28515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28515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7109375" style="36" customWidth="1"/>
    <col min="12805" max="12806" width="11.42578125" style="36"/>
    <col min="12807" max="12807" width="2.28515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28515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7109375" style="36" customWidth="1"/>
    <col min="13061" max="13062" width="11.42578125" style="36"/>
    <col min="13063" max="13063" width="2.28515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28515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7109375" style="36" customWidth="1"/>
    <col min="13317" max="13318" width="11.42578125" style="36"/>
    <col min="13319" max="13319" width="2.28515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28515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7109375" style="36" customWidth="1"/>
    <col min="13573" max="13574" width="11.42578125" style="36"/>
    <col min="13575" max="13575" width="2.28515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28515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7109375" style="36" customWidth="1"/>
    <col min="13829" max="13830" width="11.42578125" style="36"/>
    <col min="13831" max="13831" width="2.28515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28515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7109375" style="36" customWidth="1"/>
    <col min="14085" max="14086" width="11.42578125" style="36"/>
    <col min="14087" max="14087" width="2.28515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28515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7109375" style="36" customWidth="1"/>
    <col min="14341" max="14342" width="11.42578125" style="36"/>
    <col min="14343" max="14343" width="2.28515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28515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7109375" style="36" customWidth="1"/>
    <col min="14597" max="14598" width="11.42578125" style="36"/>
    <col min="14599" max="14599" width="2.28515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28515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7109375" style="36" customWidth="1"/>
    <col min="14853" max="14854" width="11.42578125" style="36"/>
    <col min="14855" max="14855" width="2.28515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28515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7109375" style="36" customWidth="1"/>
    <col min="15109" max="15110" width="11.42578125" style="36"/>
    <col min="15111" max="15111" width="2.28515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28515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7109375" style="36" customWidth="1"/>
    <col min="15365" max="15366" width="11.42578125" style="36"/>
    <col min="15367" max="15367" width="2.28515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28515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7109375" style="36" customWidth="1"/>
    <col min="15621" max="15622" width="11.42578125" style="36"/>
    <col min="15623" max="15623" width="2.28515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28515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7109375" style="36" customWidth="1"/>
    <col min="15877" max="15878" width="11.42578125" style="36"/>
    <col min="15879" max="15879" width="2.28515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28515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7109375" style="36" customWidth="1"/>
    <col min="16133" max="16134" width="11.42578125" style="36"/>
    <col min="16135" max="16135" width="2.28515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Enero 2022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28" t="s">
        <v>73</v>
      </c>
      <c r="D7" s="32"/>
      <c r="E7" s="39"/>
      <c r="F7" s="32"/>
    </row>
    <row r="8" spans="2:7" s="29" customFormat="1" ht="12.75" customHeight="1">
      <c r="B8" s="28"/>
      <c r="C8" s="328"/>
      <c r="D8" s="32"/>
      <c r="E8" s="39"/>
      <c r="F8" s="32"/>
    </row>
    <row r="9" spans="2:7" s="29" customFormat="1" ht="12.75" customHeight="1">
      <c r="B9" s="28"/>
      <c r="C9" s="328"/>
      <c r="D9" s="32"/>
      <c r="E9" s="39"/>
      <c r="F9" s="32"/>
    </row>
    <row r="10" spans="2:7" s="29" customFormat="1" ht="12.75" customHeight="1">
      <c r="B10" s="28"/>
      <c r="C10" s="328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8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Enero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62</v>
      </c>
      <c r="E7" s="4"/>
    </row>
    <row r="8" spans="3:25">
      <c r="C8" s="328"/>
      <c r="E8" s="4"/>
    </row>
    <row r="9" spans="3:25">
      <c r="C9" s="328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Enero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186</v>
      </c>
      <c r="E7" s="4"/>
    </row>
    <row r="8" spans="3:25">
      <c r="C8" s="328"/>
      <c r="E8" s="4"/>
    </row>
    <row r="9" spans="3:25">
      <c r="C9" s="328"/>
      <c r="E9" s="4"/>
    </row>
    <row r="10" spans="3:25">
      <c r="C10" s="328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Enero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55</v>
      </c>
      <c r="E7" s="4"/>
    </row>
    <row r="8" spans="3:25">
      <c r="C8" s="328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96" t="s">
        <v>182</v>
      </c>
      <c r="F26" s="297"/>
      <c r="G26" s="297"/>
      <c r="H26" s="297"/>
      <c r="I26" s="297"/>
      <c r="J26" s="297"/>
      <c r="K26" s="297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Enero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61</v>
      </c>
      <c r="E7" s="4"/>
    </row>
    <row r="8" spans="3:25">
      <c r="C8" s="328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96" t="s">
        <v>182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Enero 2022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28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28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Enero 2022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28" t="s">
        <v>25</v>
      </c>
      <c r="E7" s="114"/>
      <c r="F7" s="329" t="str">
        <f>Dat_01!A2</f>
        <v>Enero 2022</v>
      </c>
      <c r="G7" s="330"/>
      <c r="H7" s="331" t="s">
        <v>27</v>
      </c>
      <c r="I7" s="33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28"/>
      <c r="E8" s="115" t="s">
        <v>28</v>
      </c>
      <c r="F8" s="299">
        <v>17320</v>
      </c>
      <c r="G8" s="300" t="s">
        <v>243</v>
      </c>
      <c r="H8" s="299">
        <v>20130</v>
      </c>
      <c r="I8" s="300" t="s">
        <v>221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77">
        <v>79.599999999999994</v>
      </c>
      <c r="G9" s="278" t="s">
        <v>244</v>
      </c>
      <c r="H9" s="273">
        <v>83.6</v>
      </c>
      <c r="I9" s="278" t="s">
        <v>222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74"/>
      <c r="I10" s="276"/>
      <c r="J10" s="27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7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Enero 2022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28" t="s">
        <v>185</v>
      </c>
      <c r="E7" s="4"/>
    </row>
    <row r="8" spans="3:34">
      <c r="C8" s="328"/>
      <c r="E8" s="4"/>
    </row>
    <row r="9" spans="3:34">
      <c r="C9" s="328"/>
      <c r="E9" s="4"/>
    </row>
    <row r="10" spans="3:34">
      <c r="C10" s="328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H24" sqref="H24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71093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Enero 2022</v>
      </c>
    </row>
    <row r="4" spans="2:22" ht="20.100000000000001" customHeight="1">
      <c r="B4" s="102" t="s">
        <v>150</v>
      </c>
      <c r="V4" s="54"/>
    </row>
    <row r="5" spans="2:22">
      <c r="V5" s="54"/>
    </row>
    <row r="6" spans="2:22">
      <c r="V6" s="54"/>
    </row>
    <row r="7" spans="2:22">
      <c r="B7" s="328" t="s">
        <v>26</v>
      </c>
      <c r="V7" s="54"/>
    </row>
    <row r="8" spans="2:22">
      <c r="B8" s="328"/>
      <c r="V8" s="54"/>
    </row>
    <row r="9" spans="2:22">
      <c r="B9" s="328"/>
      <c r="V9" s="54"/>
    </row>
    <row r="10" spans="2:22">
      <c r="B10" s="261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Enero 2022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-38.433008007882478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J26" sqref="J26"/>
    </sheetView>
  </sheetViews>
  <sheetFormatPr baseColWidth="10" defaultColWidth="11.42578125" defaultRowHeight="12.75"/>
  <cols>
    <col min="1" max="1" width="0.28515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7109375" style="72" customWidth="1"/>
    <col min="6" max="6" width="11.42578125" style="86"/>
    <col min="7" max="7" width="15.71093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Enero 2022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28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28"/>
      <c r="D8" s="77"/>
      <c r="E8" s="78"/>
      <c r="P8" s="80"/>
      <c r="Q8" s="80"/>
      <c r="R8" s="80"/>
    </row>
    <row r="9" spans="2:18" s="74" customFormat="1" ht="12.75" customHeight="1">
      <c r="B9" s="73"/>
      <c r="C9" s="328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21"/>
    </row>
    <row r="29" spans="2:9">
      <c r="E29" s="321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topLeftCell="A58" zoomScaleNormal="100" workbookViewId="0"/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3331.4</v>
      </c>
      <c r="D5" s="109">
        <f>C5/$C$17*100</f>
        <v>3.1025659825359879</v>
      </c>
      <c r="E5" s="107"/>
      <c r="F5" s="108" t="s">
        <v>16</v>
      </c>
      <c r="G5" s="109">
        <f>SUM(D5:D10)</f>
        <v>41.470067206664879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6.6284030263083267</v>
      </c>
      <c r="E6" s="107"/>
      <c r="F6" s="203" t="s">
        <v>17</v>
      </c>
      <c r="G6" s="204">
        <f>SUM(D11:D16)</f>
        <v>58.522528879196571</v>
      </c>
    </row>
    <row r="7" spans="2:7">
      <c r="B7" s="108" t="s">
        <v>4</v>
      </c>
      <c r="C7" s="127">
        <f>Dat_01!B35</f>
        <v>3522.9250000000002</v>
      </c>
      <c r="D7" s="109">
        <f t="shared" si="0"/>
        <v>3.2809351215781941</v>
      </c>
      <c r="E7" s="107"/>
    </row>
    <row r="8" spans="2:7">
      <c r="B8" s="108" t="s">
        <v>11</v>
      </c>
      <c r="C8" s="127">
        <f>Dat_01!B36</f>
        <v>24561.845000000001</v>
      </c>
      <c r="D8" s="109">
        <f t="shared" si="0"/>
        <v>22.874690750231625</v>
      </c>
      <c r="E8" s="107"/>
    </row>
    <row r="9" spans="2:7">
      <c r="B9" s="108" t="s">
        <v>9</v>
      </c>
      <c r="C9" s="127">
        <f>Dat_01!B37</f>
        <v>5592.9125000000004</v>
      </c>
      <c r="D9" s="109">
        <f t="shared" si="0"/>
        <v>5.2087350860900248</v>
      </c>
      <c r="E9" s="107"/>
    </row>
    <row r="10" spans="2:7">
      <c r="B10" s="108" t="s">
        <v>70</v>
      </c>
      <c r="C10" s="127">
        <f>Dat_01!B39</f>
        <v>402.37650000000002</v>
      </c>
      <c r="D10" s="109">
        <f t="shared" si="0"/>
        <v>0.37473723992072161</v>
      </c>
      <c r="E10" s="107"/>
    </row>
    <row r="11" spans="2:7">
      <c r="B11" s="108" t="s">
        <v>69</v>
      </c>
      <c r="C11" s="127">
        <f>Dat_01!B40</f>
        <v>131.6275</v>
      </c>
      <c r="D11" s="109">
        <f t="shared" si="0"/>
        <v>0.12258600104048019</v>
      </c>
      <c r="E11" s="107"/>
    </row>
    <row r="12" spans="2:7">
      <c r="B12" s="108" t="s">
        <v>5</v>
      </c>
      <c r="C12" s="127">
        <f>Dat_01!B41</f>
        <v>27626.2235</v>
      </c>
      <c r="D12" s="109">
        <f t="shared" si="0"/>
        <v>25.728576951742898</v>
      </c>
      <c r="E12" s="107"/>
    </row>
    <row r="13" spans="2:7">
      <c r="B13" s="108" t="s">
        <v>2</v>
      </c>
      <c r="C13" s="127">
        <f>Dat_01!B42</f>
        <v>17092.603029999998</v>
      </c>
      <c r="D13" s="109">
        <f t="shared" si="0"/>
        <v>15.918511350744296</v>
      </c>
      <c r="E13" s="107"/>
    </row>
    <row r="14" spans="2:7">
      <c r="B14" s="108" t="s">
        <v>6</v>
      </c>
      <c r="C14" s="127">
        <f>Dat_01!B43</f>
        <v>14597.631385999999</v>
      </c>
      <c r="D14" s="109">
        <f t="shared" si="0"/>
        <v>13.594919422405974</v>
      </c>
      <c r="E14" s="107"/>
    </row>
    <row r="15" spans="2:7">
      <c r="B15" s="108" t="s">
        <v>7</v>
      </c>
      <c r="C15" s="127">
        <f>Dat_01!B44</f>
        <v>2304.0129999999999</v>
      </c>
      <c r="D15" s="109">
        <f t="shared" si="0"/>
        <v>2.1457502422767267</v>
      </c>
      <c r="E15" s="107"/>
    </row>
    <row r="16" spans="2:7">
      <c r="B16" s="108" t="s">
        <v>8</v>
      </c>
      <c r="C16" s="127">
        <f>Dat_01!B45</f>
        <v>1086.8399999999999</v>
      </c>
      <c r="D16" s="109">
        <f t="shared" si="0"/>
        <v>1.0121849109861958</v>
      </c>
      <c r="E16" s="107"/>
    </row>
    <row r="17" spans="2:7">
      <c r="B17" s="110" t="s">
        <v>15</v>
      </c>
      <c r="C17" s="128">
        <f>SUM(C5:C16)+C18</f>
        <v>107375.637416</v>
      </c>
      <c r="D17" s="111">
        <f>SUM(D5:D16)+D18</f>
        <v>100.00000000000001</v>
      </c>
      <c r="E17" s="107"/>
    </row>
    <row r="18" spans="2:7">
      <c r="B18" s="108" t="s">
        <v>200</v>
      </c>
      <c r="C18" s="127">
        <f>Dat_01!B38</f>
        <v>7.95</v>
      </c>
      <c r="D18" s="109">
        <f>C18/$C$17*100</f>
        <v>7.4039141385486892E-3</v>
      </c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215.45053776</v>
      </c>
      <c r="D21" s="109">
        <f>C21/$C$33*100</f>
        <v>0.93237452316769953</v>
      </c>
      <c r="E21" s="107"/>
      <c r="F21" s="108" t="s">
        <v>16</v>
      </c>
      <c r="G21" s="109">
        <f>SUM(D21:D26)</f>
        <v>58.428059470328023</v>
      </c>
    </row>
    <row r="22" spans="2:7">
      <c r="B22" s="108" t="s">
        <v>3</v>
      </c>
      <c r="C22" s="127">
        <f>Dat_01!B51</f>
        <v>5048.3268710000002</v>
      </c>
      <c r="D22" s="109">
        <f t="shared" ref="D22:D24" si="1">C22/$C$33*100</f>
        <v>21.846923233891253</v>
      </c>
      <c r="E22" s="129"/>
      <c r="F22" s="203" t="s">
        <v>17</v>
      </c>
      <c r="G22" s="204">
        <f>SUM(D27:D32)</f>
        <v>41.571940529671963</v>
      </c>
    </row>
    <row r="23" spans="2:7">
      <c r="B23" s="108" t="s">
        <v>4</v>
      </c>
      <c r="C23" s="127">
        <f>Dat_01!B52</f>
        <v>710.59119999999996</v>
      </c>
      <c r="D23" s="109">
        <f t="shared" si="1"/>
        <v>3.075124054715487</v>
      </c>
      <c r="E23" s="129"/>
    </row>
    <row r="24" spans="2:7">
      <c r="B24" s="108" t="s">
        <v>11</v>
      </c>
      <c r="C24" s="127">
        <f>Dat_01!B53</f>
        <v>5197.2192379999997</v>
      </c>
      <c r="D24" s="109">
        <f t="shared" si="1"/>
        <v>22.491263466820151</v>
      </c>
      <c r="E24" s="129"/>
    </row>
    <row r="25" spans="2:7">
      <c r="B25" s="108" t="s">
        <v>9</v>
      </c>
      <c r="C25" s="127">
        <f>Dat_01!B54</f>
        <v>2170.2505030000002</v>
      </c>
      <c r="D25" s="109">
        <f>C25/$C$33*100</f>
        <v>9.3918831622650067</v>
      </c>
      <c r="E25" s="129"/>
    </row>
    <row r="26" spans="2:7">
      <c r="B26" s="108" t="s">
        <v>70</v>
      </c>
      <c r="C26" s="127">
        <f>Dat_01!B55</f>
        <v>159.55676600000001</v>
      </c>
      <c r="D26" s="109">
        <f>C26/$C$33*100</f>
        <v>0.69049102946843444</v>
      </c>
      <c r="E26" s="129"/>
    </row>
    <row r="27" spans="2:7">
      <c r="B27" s="108" t="s">
        <v>69</v>
      </c>
      <c r="C27" s="127">
        <f>Dat_01!B56</f>
        <v>68.975128999999995</v>
      </c>
      <c r="D27" s="109">
        <f t="shared" ref="D27:D28" si="2">C27/$C$33*100</f>
        <v>0.29849381524145496</v>
      </c>
      <c r="E27" s="129"/>
    </row>
    <row r="28" spans="2:7">
      <c r="B28" s="108" t="s">
        <v>5</v>
      </c>
      <c r="C28" s="127">
        <f>Dat_01!B57</f>
        <v>5352.3177050000004</v>
      </c>
      <c r="D28" s="109">
        <f t="shared" si="2"/>
        <v>23.162460952408491</v>
      </c>
      <c r="E28" s="129"/>
    </row>
    <row r="29" spans="2:7">
      <c r="B29" s="108" t="s">
        <v>2</v>
      </c>
      <c r="C29" s="127">
        <f>Dat_01!B58</f>
        <v>2070.2394339439998</v>
      </c>
      <c r="D29" s="109">
        <f>C29/$C$33*100</f>
        <v>8.9590795415729421</v>
      </c>
      <c r="E29" s="129"/>
    </row>
    <row r="30" spans="2:7">
      <c r="B30" s="108" t="s">
        <v>6</v>
      </c>
      <c r="C30" s="127">
        <f>Dat_01!B59</f>
        <v>1515.5292180000001</v>
      </c>
      <c r="D30" s="109">
        <f t="shared" ref="D30:D32" si="3">C30/$C$33*100</f>
        <v>6.5585393597555832</v>
      </c>
      <c r="E30" s="129"/>
    </row>
    <row r="31" spans="2:7">
      <c r="B31" s="108" t="s">
        <v>7</v>
      </c>
      <c r="C31" s="127">
        <f>Dat_01!B60</f>
        <v>170.90533300000001</v>
      </c>
      <c r="D31" s="109">
        <f t="shared" si="3"/>
        <v>0.73960260215361595</v>
      </c>
      <c r="E31" s="129"/>
    </row>
    <row r="32" spans="2:7">
      <c r="B32" s="108" t="s">
        <v>8</v>
      </c>
      <c r="C32" s="127">
        <f>Dat_01!B61</f>
        <v>428.36274099999997</v>
      </c>
      <c r="D32" s="109">
        <f t="shared" si="3"/>
        <v>1.8537642585398746</v>
      </c>
      <c r="E32" s="129"/>
    </row>
    <row r="33" spans="2:6">
      <c r="B33" s="110" t="s">
        <v>15</v>
      </c>
      <c r="C33" s="128">
        <f>SUM(C21:C32)</f>
        <v>23107.724675704001</v>
      </c>
      <c r="D33" s="111">
        <f>SUM(D21:D32)</f>
        <v>99.999999999999986</v>
      </c>
    </row>
    <row r="34" spans="2:6">
      <c r="B34" s="149"/>
      <c r="C34" s="164"/>
      <c r="D34" s="164"/>
      <c r="E34" s="164"/>
      <c r="F34" s="164"/>
    </row>
    <row r="35" spans="2:6">
      <c r="B35" s="149" t="s">
        <v>148</v>
      </c>
      <c r="C35" s="164"/>
      <c r="D35" s="164"/>
      <c r="E35" s="164"/>
      <c r="F35" s="205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1.7525239657710672</v>
      </c>
      <c r="D37" s="107"/>
      <c r="E37" s="108" t="s">
        <v>16</v>
      </c>
      <c r="F37" s="109">
        <f>SUM(C37:C42)</f>
        <v>35.777739587479473</v>
      </c>
    </row>
    <row r="38" spans="2:6">
      <c r="B38" s="108" t="s">
        <v>3</v>
      </c>
      <c r="C38" s="109">
        <f>Dat_01!B95</f>
        <v>19.166822242662789</v>
      </c>
      <c r="D38" s="107"/>
      <c r="E38" s="203" t="s">
        <v>17</v>
      </c>
      <c r="F38" s="204">
        <f>SUM(C43:C48)</f>
        <v>64.222260412520512</v>
      </c>
    </row>
    <row r="39" spans="2:6">
      <c r="B39" s="108" t="s">
        <v>4</v>
      </c>
      <c r="C39" s="109">
        <f>Dat_01!B96</f>
        <v>2.9681592145383142</v>
      </c>
      <c r="D39" s="107"/>
    </row>
    <row r="40" spans="2:6">
      <c r="B40" s="108" t="s">
        <v>11</v>
      </c>
      <c r="C40" s="109">
        <f>Dat_01!B97</f>
        <v>4.1258563201319554</v>
      </c>
      <c r="D40" s="107"/>
    </row>
    <row r="41" spans="2:6">
      <c r="B41" s="108" t="s">
        <v>9</v>
      </c>
      <c r="C41" s="109">
        <f>Dat_01!B98</f>
        <v>7.1221242045945656</v>
      </c>
      <c r="D41" s="107"/>
      <c r="E41" s="107"/>
      <c r="F41" s="107"/>
    </row>
    <row r="42" spans="2:6">
      <c r="B42" s="108" t="s">
        <v>70</v>
      </c>
      <c r="C42" s="109">
        <f>Dat_01!B99</f>
        <v>0.64225363978078231</v>
      </c>
      <c r="D42" s="107"/>
      <c r="E42" s="107"/>
      <c r="F42" s="107"/>
    </row>
    <row r="43" spans="2:6">
      <c r="B43" s="108" t="s">
        <v>69</v>
      </c>
      <c r="C43" s="109">
        <f>Dat_01!B100</f>
        <v>0.30475383297780534</v>
      </c>
      <c r="D43" s="107"/>
      <c r="E43" s="107"/>
      <c r="F43" s="107"/>
    </row>
    <row r="44" spans="2:6">
      <c r="B44" s="108" t="s">
        <v>5</v>
      </c>
      <c r="C44" s="109">
        <f>Dat_01!B101</f>
        <v>50.472066154559926</v>
      </c>
      <c r="D44" s="107"/>
      <c r="E44" s="107"/>
      <c r="F44" s="107"/>
    </row>
    <row r="45" spans="2:6">
      <c r="B45" s="108" t="s">
        <v>2</v>
      </c>
      <c r="C45" s="109">
        <f>Dat_01!B102</f>
        <v>6.1095130711342573</v>
      </c>
      <c r="D45" s="107"/>
      <c r="E45" s="107"/>
      <c r="F45" s="107"/>
    </row>
    <row r="46" spans="2:6">
      <c r="B46" s="108" t="s">
        <v>6</v>
      </c>
      <c r="C46" s="109">
        <f>Dat_01!B103</f>
        <v>4.9702136425389041</v>
      </c>
      <c r="D46" s="107"/>
      <c r="E46" s="107"/>
      <c r="F46" s="107"/>
    </row>
    <row r="47" spans="2:6">
      <c r="B47" s="108" t="s">
        <v>7</v>
      </c>
      <c r="C47" s="109">
        <f>Dat_01!B104</f>
        <v>0.5553108596958598</v>
      </c>
      <c r="D47" s="107"/>
      <c r="E47" s="107"/>
      <c r="F47" s="107"/>
    </row>
    <row r="48" spans="2:6">
      <c r="B48" s="108" t="s">
        <v>8</v>
      </c>
      <c r="C48" s="109">
        <f>Dat_01!B105</f>
        <v>1.8104028516137707</v>
      </c>
      <c r="D48" s="164"/>
      <c r="E48" s="164"/>
      <c r="F48" s="164"/>
    </row>
    <row r="49" spans="2:6">
      <c r="B49" s="110" t="s">
        <v>15</v>
      </c>
      <c r="C49" s="111">
        <f>SUM(C37:C48)</f>
        <v>100.00000000000001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129</v>
      </c>
      <c r="C51" s="164"/>
      <c r="D51" s="164"/>
      <c r="E51" s="164"/>
      <c r="F51" s="205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0.69281446720541429</v>
      </c>
      <c r="D53" s="107"/>
      <c r="E53" s="108" t="s">
        <v>16</v>
      </c>
      <c r="F53" s="109">
        <f>SUM(C53:C58)</f>
        <v>29.007088399669264</v>
      </c>
    </row>
    <row r="54" spans="2:6">
      <c r="B54" s="108" t="s">
        <v>3</v>
      </c>
      <c r="C54" s="109">
        <f>Dat_01!H95</f>
        <v>17.394750463402886</v>
      </c>
      <c r="D54" s="107"/>
      <c r="E54" s="203" t="s">
        <v>17</v>
      </c>
      <c r="F54" s="204">
        <f>SUM(C59:C64)</f>
        <v>71.052526729891142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2.8864133784140313</v>
      </c>
      <c r="D56" s="107"/>
    </row>
    <row r="57" spans="2:6">
      <c r="B57" s="108" t="s">
        <v>9</v>
      </c>
      <c r="C57" s="109">
        <f>Dat_01!H98</f>
        <v>7.3710771239051773</v>
      </c>
      <c r="D57" s="107"/>
      <c r="E57" s="107"/>
      <c r="F57" s="107"/>
    </row>
    <row r="58" spans="2:6">
      <c r="B58" s="108" t="s">
        <v>70</v>
      </c>
      <c r="C58" s="109">
        <f>Dat_01!H99</f>
        <v>0.66203296674175549</v>
      </c>
      <c r="D58" s="107"/>
      <c r="E58" s="107"/>
      <c r="F58" s="107"/>
    </row>
    <row r="59" spans="2:6">
      <c r="B59" s="108" t="s">
        <v>69</v>
      </c>
      <c r="C59" s="109">
        <f>Dat_01!H100</f>
        <v>0.22786352459990888</v>
      </c>
      <c r="D59" s="107"/>
      <c r="E59" s="107"/>
      <c r="F59" s="107"/>
    </row>
    <row r="60" spans="2:6">
      <c r="B60" s="108" t="s">
        <v>5</v>
      </c>
      <c r="C60" s="109">
        <f>Dat_01!H101</f>
        <v>49.405385372253484</v>
      </c>
      <c r="D60" s="107"/>
      <c r="E60" s="107"/>
      <c r="F60" s="107"/>
    </row>
    <row r="61" spans="2:6">
      <c r="B61" s="108" t="s">
        <v>2</v>
      </c>
      <c r="C61" s="109">
        <f>Dat_01!H102</f>
        <v>15.776526304881578</v>
      </c>
      <c r="D61" s="107"/>
      <c r="E61" s="107"/>
      <c r="F61" s="107"/>
    </row>
    <row r="62" spans="2:6">
      <c r="B62" s="108" t="s">
        <v>6</v>
      </c>
      <c r="C62" s="109">
        <f>Dat_01!H103</f>
        <v>3.6823839746229123</v>
      </c>
      <c r="D62" s="107"/>
      <c r="E62" s="107"/>
      <c r="F62" s="107"/>
    </row>
    <row r="63" spans="2:6">
      <c r="B63" s="108" t="s">
        <v>7</v>
      </c>
      <c r="C63" s="109">
        <f>Dat_01!H104</f>
        <v>0.17163179294792341</v>
      </c>
      <c r="D63" s="107"/>
      <c r="E63" s="107"/>
      <c r="F63" s="107"/>
    </row>
    <row r="64" spans="2:6">
      <c r="B64" s="108" t="s">
        <v>8</v>
      </c>
      <c r="C64" s="109">
        <f>Dat_01!H105</f>
        <v>1.7887357605853444</v>
      </c>
    </row>
    <row r="65" spans="2:16">
      <c r="B65" s="110" t="s">
        <v>15</v>
      </c>
      <c r="C65" s="111">
        <f>SUM(C53:C64)</f>
        <v>100.0596151295604</v>
      </c>
    </row>
    <row r="66" spans="2:16">
      <c r="B66" s="149"/>
      <c r="C66" s="164"/>
    </row>
    <row r="67" spans="2:16">
      <c r="B67" s="149" t="s">
        <v>62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</row>
    <row r="68" spans="2:16">
      <c r="B68" s="207"/>
      <c r="C68" s="208" t="str">
        <f>Dat_01!B140</f>
        <v>E</v>
      </c>
      <c r="D68" s="208" t="str">
        <f>Dat_01!C140</f>
        <v>F</v>
      </c>
      <c r="E68" s="208" t="str">
        <f>Dat_01!D140</f>
        <v>M</v>
      </c>
      <c r="F68" s="208" t="str">
        <f>Dat_01!E140</f>
        <v>A</v>
      </c>
      <c r="G68" s="208" t="str">
        <f>Dat_01!F140</f>
        <v>M</v>
      </c>
      <c r="H68" s="208" t="str">
        <f>Dat_01!G140</f>
        <v>J</v>
      </c>
      <c r="I68" s="208" t="str">
        <f>Dat_01!H140</f>
        <v>J</v>
      </c>
      <c r="J68" s="208" t="str">
        <f>Dat_01!I140</f>
        <v>A</v>
      </c>
      <c r="K68" s="208" t="str">
        <f>Dat_01!J140</f>
        <v>S</v>
      </c>
      <c r="L68" s="208" t="str">
        <f>Dat_01!K140</f>
        <v>O</v>
      </c>
      <c r="M68" s="208" t="str">
        <f>Dat_01!L140</f>
        <v>N</v>
      </c>
      <c r="N68" s="208" t="str">
        <f>Dat_01!M140</f>
        <v>D</v>
      </c>
      <c r="O68" s="208" t="str">
        <f>Dat_01!N140</f>
        <v>E</v>
      </c>
      <c r="P68" s="209"/>
    </row>
    <row r="69" spans="2:16">
      <c r="B69" s="210" t="s">
        <v>2</v>
      </c>
      <c r="C69" s="211">
        <f>Dat_01!B142</f>
        <v>4057.0491571819998</v>
      </c>
      <c r="D69" s="211">
        <f>Dat_01!C142</f>
        <v>4517.3439469479999</v>
      </c>
      <c r="E69" s="211">
        <f>Dat_01!D142</f>
        <v>3713.6790790800001</v>
      </c>
      <c r="F69" s="211">
        <f>Dat_01!E142</f>
        <v>2742.5670331319998</v>
      </c>
      <c r="G69" s="211">
        <f>Dat_01!F142</f>
        <v>2156.7115169600002</v>
      </c>
      <c r="H69" s="211">
        <f>Dat_01!G142</f>
        <v>2179.4227844279999</v>
      </c>
      <c r="I69" s="211">
        <f>Dat_01!H142</f>
        <v>2206.5567297779999</v>
      </c>
      <c r="J69" s="211">
        <f>Dat_01!I142</f>
        <v>1879.983812162</v>
      </c>
      <c r="K69" s="211">
        <f>Dat_01!J142</f>
        <v>1393.78333174</v>
      </c>
      <c r="L69" s="211">
        <f>Dat_01!K142</f>
        <v>1020.47985714</v>
      </c>
      <c r="M69" s="211">
        <f>Dat_01!L142</f>
        <v>1192.550182512</v>
      </c>
      <c r="N69" s="211">
        <f>Dat_01!M142</f>
        <v>2518.7959635040002</v>
      </c>
      <c r="O69" s="211">
        <f>Dat_01!N142</f>
        <v>2070.2394339440002</v>
      </c>
    </row>
    <row r="70" spans="2:16">
      <c r="B70" s="210" t="s">
        <v>81</v>
      </c>
      <c r="C70" s="211">
        <f>Dat_01!B143</f>
        <v>320.531387408</v>
      </c>
      <c r="D70" s="211">
        <f>Dat_01!C143</f>
        <v>401.29321896599998</v>
      </c>
      <c r="E70" s="211">
        <f>Dat_01!D143</f>
        <v>330.79456254199999</v>
      </c>
      <c r="F70" s="211">
        <f>Dat_01!E143</f>
        <v>153.67971897199999</v>
      </c>
      <c r="G70" s="211">
        <f>Dat_01!F143</f>
        <v>238.70894406400001</v>
      </c>
      <c r="H70" s="211">
        <f>Dat_01!G143</f>
        <v>105.70565758799999</v>
      </c>
      <c r="I70" s="211">
        <f>Dat_01!H143</f>
        <v>115.791574032</v>
      </c>
      <c r="J70" s="211">
        <f>Dat_01!I143</f>
        <v>159.80881627400001</v>
      </c>
      <c r="K70" s="211">
        <f>Dat_01!J143</f>
        <v>118.239862456</v>
      </c>
      <c r="L70" s="211">
        <f>Dat_01!K143</f>
        <v>232.11320922199999</v>
      </c>
      <c r="M70" s="211">
        <f>Dat_01!L143</f>
        <v>202.78682990199999</v>
      </c>
      <c r="N70" s="211">
        <f>Dat_01!M143</f>
        <v>269.90862404000001</v>
      </c>
      <c r="O70" s="211">
        <f>Dat_01!N143</f>
        <v>215.45053776</v>
      </c>
    </row>
    <row r="71" spans="2:16">
      <c r="B71" s="210" t="s">
        <v>3</v>
      </c>
      <c r="C71" s="211">
        <f>Dat_01!B144</f>
        <v>5199.7405159999998</v>
      </c>
      <c r="D71" s="211">
        <f>Dat_01!C144</f>
        <v>4358.5151070000002</v>
      </c>
      <c r="E71" s="211">
        <f>Dat_01!D144</f>
        <v>4833.1364599999997</v>
      </c>
      <c r="F71" s="211">
        <f>Dat_01!E144</f>
        <v>4197.3329299999996</v>
      </c>
      <c r="G71" s="211">
        <f>Dat_01!F144</f>
        <v>4373.2505520000004</v>
      </c>
      <c r="H71" s="211">
        <f>Dat_01!G144</f>
        <v>3684.3838430000001</v>
      </c>
      <c r="I71" s="211">
        <f>Dat_01!H144</f>
        <v>5119.3289409999998</v>
      </c>
      <c r="J71" s="211">
        <f>Dat_01!I144</f>
        <v>5150.2640140000003</v>
      </c>
      <c r="K71" s="211">
        <f>Dat_01!J144</f>
        <v>4890.5065249999998</v>
      </c>
      <c r="L71" s="211">
        <f>Dat_01!K144</f>
        <v>4748.3949460000003</v>
      </c>
      <c r="M71" s="211">
        <f>Dat_01!L144</f>
        <v>3562.3582710000001</v>
      </c>
      <c r="N71" s="211">
        <f>Dat_01!M144</f>
        <v>3922.864118</v>
      </c>
      <c r="O71" s="211">
        <f>Dat_01!N144</f>
        <v>5048.3268710000002</v>
      </c>
    </row>
    <row r="72" spans="2:16">
      <c r="B72" s="210" t="s">
        <v>4</v>
      </c>
      <c r="C72" s="211">
        <f>Dat_01!B145</f>
        <v>558.50496999999996</v>
      </c>
      <c r="D72" s="211">
        <f>Dat_01!C145</f>
        <v>176.80514199999999</v>
      </c>
      <c r="E72" s="211">
        <f>Dat_01!D145</f>
        <v>242.90612300000001</v>
      </c>
      <c r="F72" s="211">
        <f>Dat_01!E145</f>
        <v>270.94085699999999</v>
      </c>
      <c r="G72" s="211">
        <f>Dat_01!F145</f>
        <v>333.46752600000002</v>
      </c>
      <c r="H72" s="211">
        <f>Dat_01!G145</f>
        <v>431.99096700000001</v>
      </c>
      <c r="I72" s="211">
        <f>Dat_01!H145</f>
        <v>302.41718100000003</v>
      </c>
      <c r="J72" s="211">
        <f>Dat_01!I145</f>
        <v>320.34443199999998</v>
      </c>
      <c r="K72" s="211">
        <f>Dat_01!J145</f>
        <v>477.92579699999999</v>
      </c>
      <c r="L72" s="211">
        <f>Dat_01!K145</f>
        <v>528.18759499999999</v>
      </c>
      <c r="M72" s="211">
        <f>Dat_01!L145</f>
        <v>577.43674399999998</v>
      </c>
      <c r="N72" s="211">
        <f>Dat_01!M145</f>
        <v>721.09479699999997</v>
      </c>
      <c r="O72" s="211">
        <f>Dat_01!N145</f>
        <v>710.59119999999996</v>
      </c>
    </row>
    <row r="73" spans="2:16">
      <c r="B73" s="210" t="s">
        <v>130</v>
      </c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</row>
    <row r="74" spans="2:16">
      <c r="B74" s="210" t="s">
        <v>131</v>
      </c>
      <c r="C74" s="211">
        <f>Dat_01!B146</f>
        <v>2188.3044850000001</v>
      </c>
      <c r="D74" s="211">
        <f>Dat_01!C146</f>
        <v>1086.83896</v>
      </c>
      <c r="E74" s="211">
        <f>Dat_01!D146</f>
        <v>1649.4189409999999</v>
      </c>
      <c r="F74" s="211">
        <f>Dat_01!E146</f>
        <v>2864.730763</v>
      </c>
      <c r="G74" s="211">
        <f>Dat_01!F146</f>
        <v>2004.776314</v>
      </c>
      <c r="H74" s="211">
        <f>Dat_01!G146</f>
        <v>3136.247484</v>
      </c>
      <c r="I74" s="211">
        <f>Dat_01!H146</f>
        <v>3024.7339200000001</v>
      </c>
      <c r="J74" s="211">
        <f>Dat_01!I146</f>
        <v>3325.1444550000001</v>
      </c>
      <c r="K74" s="211">
        <f>Dat_01!J146</f>
        <v>4296.9849320000003</v>
      </c>
      <c r="L74" s="211">
        <f>Dat_01!K146</f>
        <v>3806.1083130000002</v>
      </c>
      <c r="M74" s="211">
        <f>Dat_01!L146</f>
        <v>5697.6167089999999</v>
      </c>
      <c r="N74" s="211">
        <f>Dat_01!M146</f>
        <v>4500.3505590000004</v>
      </c>
      <c r="O74" s="211">
        <f>Dat_01!N146</f>
        <v>5197.2192379999997</v>
      </c>
    </row>
    <row r="75" spans="2:16">
      <c r="B75" s="210" t="s">
        <v>5</v>
      </c>
      <c r="C75" s="211">
        <f>Dat_01!B147</f>
        <v>7019.2756399999998</v>
      </c>
      <c r="D75" s="211">
        <f>Dat_01!C147</f>
        <v>6236.045451</v>
      </c>
      <c r="E75" s="211">
        <f>Dat_01!D147</f>
        <v>5521.6130549999998</v>
      </c>
      <c r="F75" s="211">
        <f>Dat_01!E147</f>
        <v>4041.8016459999999</v>
      </c>
      <c r="G75" s="211">
        <f>Dat_01!F147</f>
        <v>4620.8358829999997</v>
      </c>
      <c r="H75" s="211">
        <f>Dat_01!G147</f>
        <v>3533.4356429999998</v>
      </c>
      <c r="I75" s="211">
        <f>Dat_01!H147</f>
        <v>4121.6008309999997</v>
      </c>
      <c r="J75" s="211">
        <f>Dat_01!I147</f>
        <v>3597.0922369999998</v>
      </c>
      <c r="K75" s="211">
        <f>Dat_01!J147</f>
        <v>3123.0617010000001</v>
      </c>
      <c r="L75" s="211">
        <f>Dat_01!K147</f>
        <v>4229.363085</v>
      </c>
      <c r="M75" s="211">
        <f>Dat_01!L147</f>
        <v>6318.0829219999996</v>
      </c>
      <c r="N75" s="211">
        <f>Dat_01!M147</f>
        <v>6812.815904</v>
      </c>
      <c r="O75" s="211">
        <f>Dat_01!N147</f>
        <v>5352.3177050000004</v>
      </c>
    </row>
    <row r="76" spans="2:16">
      <c r="B76" s="210" t="s">
        <v>132</v>
      </c>
      <c r="C76" s="211">
        <f>Dat_01!B148</f>
        <v>823.15754800000002</v>
      </c>
      <c r="D76" s="211">
        <f>Dat_01!C148</f>
        <v>946.13011200000005</v>
      </c>
      <c r="E76" s="211">
        <f>Dat_01!D148</f>
        <v>1649.2322059999999</v>
      </c>
      <c r="F76" s="211">
        <f>Dat_01!E148</f>
        <v>1626.286437</v>
      </c>
      <c r="G76" s="211">
        <f>Dat_01!F148</f>
        <v>2337.876855</v>
      </c>
      <c r="H76" s="211">
        <f>Dat_01!G148</f>
        <v>2276.176676</v>
      </c>
      <c r="I76" s="211">
        <f>Dat_01!H148</f>
        <v>2563.3711840000001</v>
      </c>
      <c r="J76" s="211">
        <f>Dat_01!I148</f>
        <v>2342.001773</v>
      </c>
      <c r="K76" s="211">
        <f>Dat_01!J148</f>
        <v>1881.418173</v>
      </c>
      <c r="L76" s="211">
        <f>Dat_01!K148</f>
        <v>1726.4504890000001</v>
      </c>
      <c r="M76" s="211">
        <f>Dat_01!L148</f>
        <v>1304.1826659999999</v>
      </c>
      <c r="N76" s="211">
        <f>Dat_01!M148</f>
        <v>988.84680000000003</v>
      </c>
      <c r="O76" s="211">
        <f>Dat_01!N148</f>
        <v>1515.5292179999999</v>
      </c>
    </row>
    <row r="77" spans="2:16">
      <c r="B77" s="210" t="s">
        <v>133</v>
      </c>
      <c r="C77" s="211">
        <f>Dat_01!B149</f>
        <v>102.634029</v>
      </c>
      <c r="D77" s="211">
        <f>Dat_01!C149</f>
        <v>138.18132700000001</v>
      </c>
      <c r="E77" s="211">
        <f>Dat_01!D149</f>
        <v>355.01542699999999</v>
      </c>
      <c r="F77" s="211">
        <f>Dat_01!E149</f>
        <v>266.78751899999997</v>
      </c>
      <c r="G77" s="211">
        <f>Dat_01!F149</f>
        <v>645.59745699999996</v>
      </c>
      <c r="H77" s="211">
        <f>Dat_01!G149</f>
        <v>655.36365000000001</v>
      </c>
      <c r="I77" s="211">
        <f>Dat_01!H149</f>
        <v>828.49249399999997</v>
      </c>
      <c r="J77" s="211">
        <f>Dat_01!I149</f>
        <v>661.44510200000002</v>
      </c>
      <c r="K77" s="211">
        <f>Dat_01!J149</f>
        <v>447.44465700000001</v>
      </c>
      <c r="L77" s="211">
        <f>Dat_01!K149</f>
        <v>328.14902799999999</v>
      </c>
      <c r="M77" s="211">
        <f>Dat_01!L149</f>
        <v>172.42607599999999</v>
      </c>
      <c r="N77" s="211">
        <f>Dat_01!M149</f>
        <v>103.956001</v>
      </c>
      <c r="O77" s="211">
        <f>Dat_01!N149</f>
        <v>170.90533300000001</v>
      </c>
    </row>
    <row r="78" spans="2:16">
      <c r="B78" s="210" t="s">
        <v>9</v>
      </c>
      <c r="C78" s="211">
        <f>Dat_01!B151</f>
        <v>2401.1708629999998</v>
      </c>
      <c r="D78" s="211">
        <f>Dat_01!C151</f>
        <v>1834.5240309999999</v>
      </c>
      <c r="E78" s="211">
        <f>Dat_01!D151</f>
        <v>2248.6531970000001</v>
      </c>
      <c r="F78" s="211">
        <f>Dat_01!E151</f>
        <v>2189.3046859999999</v>
      </c>
      <c r="G78" s="211">
        <f>Dat_01!F151</f>
        <v>2202.0104940000001</v>
      </c>
      <c r="H78" s="211">
        <f>Dat_01!G151</f>
        <v>2182.4178189999998</v>
      </c>
      <c r="I78" s="211">
        <f>Dat_01!H151</f>
        <v>2240.5457550000001</v>
      </c>
      <c r="J78" s="211">
        <f>Dat_01!I151</f>
        <v>2101.175643</v>
      </c>
      <c r="K78" s="211">
        <f>Dat_01!J151</f>
        <v>2159.0921499999999</v>
      </c>
      <c r="L78" s="211">
        <f>Dat_01!K151</f>
        <v>2138.1116240000001</v>
      </c>
      <c r="M78" s="211">
        <f>Dat_01!L151</f>
        <v>2172.6161619999998</v>
      </c>
      <c r="N78" s="211">
        <f>Dat_01!M151</f>
        <v>2179.9598230000001</v>
      </c>
      <c r="O78" s="211">
        <f>Dat_01!N151</f>
        <v>2170.2505030000002</v>
      </c>
    </row>
    <row r="79" spans="2:16">
      <c r="B79" s="210" t="s">
        <v>134</v>
      </c>
      <c r="C79" s="211">
        <f>Dat_01!B152</f>
        <v>175.14184499999999</v>
      </c>
      <c r="D79" s="211">
        <f>Dat_01!C152</f>
        <v>161.44275200000001</v>
      </c>
      <c r="E79" s="211">
        <f>Dat_01!D152</f>
        <v>173.707269</v>
      </c>
      <c r="F79" s="211">
        <f>Dat_01!E152</f>
        <v>170.05904150000001</v>
      </c>
      <c r="G79" s="211">
        <f>Dat_01!F152</f>
        <v>170.74740800000001</v>
      </c>
      <c r="H79" s="211">
        <f>Dat_01!G152</f>
        <v>182.66502349999999</v>
      </c>
      <c r="I79" s="211">
        <f>Dat_01!H152</f>
        <v>193.1337345</v>
      </c>
      <c r="J79" s="211">
        <f>Dat_01!I152</f>
        <v>198.4023795</v>
      </c>
      <c r="K79" s="211">
        <f>Dat_01!J152</f>
        <v>167.38102850000001</v>
      </c>
      <c r="L79" s="211">
        <f>Dat_01!K152</f>
        <v>179.049938</v>
      </c>
      <c r="M79" s="211">
        <f>Dat_01!L152</f>
        <v>164.8067685</v>
      </c>
      <c r="N79" s="211">
        <f>Dat_01!M152</f>
        <v>171.82050699999999</v>
      </c>
      <c r="O79" s="211">
        <f>Dat_01!N152</f>
        <v>159.55676600000001</v>
      </c>
    </row>
    <row r="80" spans="2:16">
      <c r="B80" s="210" t="s">
        <v>135</v>
      </c>
      <c r="C80" s="211">
        <f>Dat_01!B153</f>
        <v>52.060037999999999</v>
      </c>
      <c r="D80" s="211">
        <f>Dat_01!C153</f>
        <v>57.768275000000003</v>
      </c>
      <c r="E80" s="211">
        <f>Dat_01!D153</f>
        <v>61.963368000000003</v>
      </c>
      <c r="F80" s="211">
        <f>Dat_01!E153</f>
        <v>66.322567500000005</v>
      </c>
      <c r="G80" s="211">
        <f>Dat_01!F153</f>
        <v>53.009402999999999</v>
      </c>
      <c r="H80" s="211">
        <f>Dat_01!G153</f>
        <v>65.533088500000005</v>
      </c>
      <c r="I80" s="211">
        <f>Dat_01!H153</f>
        <v>70.069195500000006</v>
      </c>
      <c r="J80" s="211">
        <f>Dat_01!I153</f>
        <v>67.951940500000006</v>
      </c>
      <c r="K80" s="211">
        <f>Dat_01!J153</f>
        <v>55.639892500000002</v>
      </c>
      <c r="L80" s="211">
        <f>Dat_01!K153</f>
        <v>61.837724000000001</v>
      </c>
      <c r="M80" s="211">
        <f>Dat_01!L153</f>
        <v>65.901263499999999</v>
      </c>
      <c r="N80" s="211">
        <f>Dat_01!M153</f>
        <v>72.807829999999996</v>
      </c>
      <c r="O80" s="211">
        <f>Dat_01!N153</f>
        <v>68.975128999999995</v>
      </c>
    </row>
    <row r="81" spans="2:15">
      <c r="B81" s="210" t="s">
        <v>136</v>
      </c>
      <c r="C81" s="211">
        <f>Dat_01!B150</f>
        <v>390.17391600000002</v>
      </c>
      <c r="D81" s="211">
        <f>Dat_01!C150</f>
        <v>364.41521899999998</v>
      </c>
      <c r="E81" s="211">
        <f>Dat_01!D150</f>
        <v>358.41619500000002</v>
      </c>
      <c r="F81" s="211">
        <f>Dat_01!E150</f>
        <v>391.394882</v>
      </c>
      <c r="G81" s="211">
        <f>Dat_01!F150</f>
        <v>390.09045800000001</v>
      </c>
      <c r="H81" s="211">
        <f>Dat_01!G150</f>
        <v>357.15935500000001</v>
      </c>
      <c r="I81" s="211">
        <f>Dat_01!H150</f>
        <v>351.79724199999998</v>
      </c>
      <c r="J81" s="211">
        <f>Dat_01!I150</f>
        <v>409.84376200000003</v>
      </c>
      <c r="K81" s="211">
        <f>Dat_01!J150</f>
        <v>395.48078299999997</v>
      </c>
      <c r="L81" s="211">
        <f>Dat_01!K150</f>
        <v>431.37135699999999</v>
      </c>
      <c r="M81" s="211">
        <f>Dat_01!L150</f>
        <v>433.10227200000003</v>
      </c>
      <c r="N81" s="211">
        <f>Dat_01!M150</f>
        <v>434.32822099999998</v>
      </c>
      <c r="O81" s="211">
        <f>Dat_01!N150</f>
        <v>428.36274100000003</v>
      </c>
    </row>
    <row r="82" spans="2:15">
      <c r="B82" s="210" t="s">
        <v>137</v>
      </c>
      <c r="C82" s="211">
        <f>Dat_01!B154</f>
        <v>23287.744394589994</v>
      </c>
      <c r="D82" s="211">
        <f>Dat_01!C154</f>
        <v>20279.303541913996</v>
      </c>
      <c r="E82" s="211">
        <f>Dat_01!D154</f>
        <v>21138.535882622</v>
      </c>
      <c r="F82" s="211">
        <f>Dat_01!E154</f>
        <v>18981.208081104</v>
      </c>
      <c r="G82" s="211">
        <f>Dat_01!F154</f>
        <v>19527.082811024004</v>
      </c>
      <c r="H82" s="211">
        <f>Dat_01!G154</f>
        <v>18790.501991015997</v>
      </c>
      <c r="I82" s="211">
        <f>Dat_01!H154</f>
        <v>21137.838781809998</v>
      </c>
      <c r="J82" s="211">
        <f>Dat_01!I154</f>
        <v>20213.458366436</v>
      </c>
      <c r="K82" s="211">
        <f>Dat_01!J154</f>
        <v>19406.958833196</v>
      </c>
      <c r="L82" s="211">
        <f>Dat_01!K154</f>
        <v>19429.617165362004</v>
      </c>
      <c r="M82" s="211">
        <f>Dat_01!L154</f>
        <v>21863.866866413995</v>
      </c>
      <c r="N82" s="211">
        <f>Dat_01!M154</f>
        <v>22697.549147543999</v>
      </c>
      <c r="O82" s="211">
        <f>Dat_01!N154</f>
        <v>23107.724675704001</v>
      </c>
    </row>
    <row r="83" spans="2:15">
      <c r="B83" s="210" t="s">
        <v>138</v>
      </c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</row>
    <row r="84" spans="2:15">
      <c r="B84" s="210" t="s">
        <v>139</v>
      </c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</row>
    <row r="85" spans="2:15">
      <c r="B85" s="210" t="s">
        <v>140</v>
      </c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</row>
    <row r="86" spans="2:15">
      <c r="B86" s="212" t="s">
        <v>141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</row>
    <row r="88" spans="2:15">
      <c r="B88" s="214" t="s">
        <v>17</v>
      </c>
      <c r="C88" s="215">
        <f t="shared" ref="C88:O88" si="4">SUM(C69,C75:C77,C80:C81)</f>
        <v>12444.350328181999</v>
      </c>
      <c r="D88" s="215">
        <f t="shared" si="4"/>
        <v>12259.884330948002</v>
      </c>
      <c r="E88" s="215">
        <f t="shared" si="4"/>
        <v>11659.919330080002</v>
      </c>
      <c r="F88" s="215">
        <f t="shared" si="4"/>
        <v>9135.1600846319998</v>
      </c>
      <c r="G88" s="215">
        <f t="shared" si="4"/>
        <v>10204.121572960001</v>
      </c>
      <c r="H88" s="215">
        <f t="shared" si="4"/>
        <v>9067.0911969280005</v>
      </c>
      <c r="I88" s="215">
        <f t="shared" si="4"/>
        <v>10141.887676278</v>
      </c>
      <c r="J88" s="215">
        <f t="shared" si="4"/>
        <v>8958.3186266619996</v>
      </c>
      <c r="K88" s="215">
        <f t="shared" si="4"/>
        <v>7296.8285382400009</v>
      </c>
      <c r="L88" s="215">
        <f t="shared" si="4"/>
        <v>7797.6515401399993</v>
      </c>
      <c r="M88" s="215">
        <f t="shared" si="4"/>
        <v>9486.245382011999</v>
      </c>
      <c r="N88" s="215">
        <f t="shared" si="4"/>
        <v>10931.550719503999</v>
      </c>
      <c r="O88" s="215">
        <f t="shared" si="4"/>
        <v>9606.3295599440025</v>
      </c>
    </row>
    <row r="89" spans="2:15">
      <c r="B89" s="212" t="s">
        <v>16</v>
      </c>
      <c r="C89" s="213">
        <f t="shared" ref="C89:O89" si="5">SUM(C70:C74,C78:C79)</f>
        <v>10843.394066408</v>
      </c>
      <c r="D89" s="213">
        <f t="shared" si="5"/>
        <v>8019.4192109659998</v>
      </c>
      <c r="E89" s="213">
        <f t="shared" si="5"/>
        <v>9478.6165525420001</v>
      </c>
      <c r="F89" s="213">
        <f t="shared" si="5"/>
        <v>9846.0479964719998</v>
      </c>
      <c r="G89" s="213">
        <f t="shared" si="5"/>
        <v>9322.9612380639992</v>
      </c>
      <c r="H89" s="213">
        <f t="shared" si="5"/>
        <v>9723.4107940880003</v>
      </c>
      <c r="I89" s="213">
        <f t="shared" si="5"/>
        <v>10995.951105532</v>
      </c>
      <c r="J89" s="213">
        <f t="shared" si="5"/>
        <v>11255.139739774</v>
      </c>
      <c r="K89" s="213">
        <f t="shared" si="5"/>
        <v>12110.130294956001</v>
      </c>
      <c r="L89" s="213">
        <f t="shared" si="5"/>
        <v>11631.965625222001</v>
      </c>
      <c r="M89" s="213">
        <f t="shared" si="5"/>
        <v>12377.621484402</v>
      </c>
      <c r="N89" s="213">
        <f t="shared" si="5"/>
        <v>11765.998428040002</v>
      </c>
      <c r="O89" s="213">
        <f t="shared" si="5"/>
        <v>13501.39511576</v>
      </c>
    </row>
    <row r="91" spans="2:15">
      <c r="B91" s="214" t="s">
        <v>17</v>
      </c>
      <c r="C91" s="216">
        <f>SUM(C69/SUM(C88:C89)*100,C75/SUM(C88:C89)*100,C76/SUM(C88:C89)*100,C77/SUM(C88:C89)*100,C80/SUM(C88:C89)*100,C81/SUM(C88:C89)*100)</f>
        <v>53.437336469018277</v>
      </c>
      <c r="D91" s="216">
        <f t="shared" ref="D91:O91" si="6">SUM(D69/SUM(D88:D89)*100,D75/SUM(D88:D89)*100,D76/SUM(D88:D89)*100,D77/SUM(D88:D89)*100,D80/SUM(D88:D89)*100,D81/SUM(D88:D89)*100)</f>
        <v>60.455154712827422</v>
      </c>
      <c r="E91" s="216">
        <f t="shared" si="6"/>
        <v>55.159540825462862</v>
      </c>
      <c r="F91" s="216">
        <f t="shared" si="6"/>
        <v>48.127390235641286</v>
      </c>
      <c r="G91" s="216">
        <f t="shared" si="6"/>
        <v>52.256251851399284</v>
      </c>
      <c r="H91" s="216">
        <f t="shared" si="6"/>
        <v>48.253586845434477</v>
      </c>
      <c r="I91" s="216">
        <f t="shared" si="6"/>
        <v>47.979775893671409</v>
      </c>
      <c r="J91" s="216">
        <f t="shared" si="6"/>
        <v>44.318584500795225</v>
      </c>
      <c r="K91" s="216">
        <f t="shared" si="6"/>
        <v>37.599031362701837</v>
      </c>
      <c r="L91" s="216">
        <f t="shared" si="6"/>
        <v>40.132811026463266</v>
      </c>
      <c r="M91" s="216">
        <f t="shared" si="6"/>
        <v>43.387775090161291</v>
      </c>
      <c r="N91" s="216">
        <f t="shared" si="6"/>
        <v>48.161810988684891</v>
      </c>
      <c r="O91" s="216">
        <f t="shared" si="6"/>
        <v>41.571940529671963</v>
      </c>
    </row>
    <row r="92" spans="2:15">
      <c r="B92" s="212" t="s">
        <v>16</v>
      </c>
      <c r="C92" s="298">
        <f t="shared" ref="C92" si="7">100-C91</f>
        <v>46.562663530981723</v>
      </c>
      <c r="D92" s="298">
        <f t="shared" ref="D92:O92" si="8">100-D91</f>
        <v>39.544845287172578</v>
      </c>
      <c r="E92" s="298">
        <f t="shared" si="8"/>
        <v>44.840459174537138</v>
      </c>
      <c r="F92" s="298">
        <f t="shared" si="8"/>
        <v>51.872609764358714</v>
      </c>
      <c r="G92" s="298">
        <f t="shared" si="8"/>
        <v>47.743748148600716</v>
      </c>
      <c r="H92" s="298">
        <f t="shared" si="8"/>
        <v>51.746413154565523</v>
      </c>
      <c r="I92" s="298">
        <f t="shared" si="8"/>
        <v>52.020224106328591</v>
      </c>
      <c r="J92" s="298">
        <f t="shared" si="8"/>
        <v>55.681415499204775</v>
      </c>
      <c r="K92" s="298">
        <f t="shared" si="8"/>
        <v>62.400968637298163</v>
      </c>
      <c r="L92" s="298">
        <f t="shared" si="8"/>
        <v>59.867188973536734</v>
      </c>
      <c r="M92" s="298">
        <f t="shared" si="8"/>
        <v>56.612224909838709</v>
      </c>
      <c r="N92" s="298">
        <f t="shared" si="8"/>
        <v>51.838189011315109</v>
      </c>
      <c r="O92" s="298">
        <f t="shared" si="8"/>
        <v>58.428059470328037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 t="s">
        <v>142</v>
      </c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</row>
    <row r="98" spans="2:16">
      <c r="B98" s="207"/>
      <c r="C98" s="208" t="str">
        <f>Dat_01!B140</f>
        <v>E</v>
      </c>
      <c r="D98" s="208" t="str">
        <f>Dat_01!C140</f>
        <v>F</v>
      </c>
      <c r="E98" s="208" t="str">
        <f>Dat_01!D140</f>
        <v>M</v>
      </c>
      <c r="F98" s="208" t="str">
        <f>Dat_01!E140</f>
        <v>A</v>
      </c>
      <c r="G98" s="208" t="str">
        <f>Dat_01!F140</f>
        <v>M</v>
      </c>
      <c r="H98" s="208" t="str">
        <f>Dat_01!G140</f>
        <v>J</v>
      </c>
      <c r="I98" s="208" t="str">
        <f>Dat_01!H140</f>
        <v>J</v>
      </c>
      <c r="J98" s="208" t="str">
        <f>Dat_01!I140</f>
        <v>A</v>
      </c>
      <c r="K98" s="208" t="str">
        <f>Dat_01!J140</f>
        <v>S</v>
      </c>
      <c r="L98" s="208" t="str">
        <f>Dat_01!K140</f>
        <v>O</v>
      </c>
      <c r="M98" s="208" t="str">
        <f>Dat_01!L140</f>
        <v>N</v>
      </c>
      <c r="N98" s="208" t="str">
        <f>Dat_01!M140</f>
        <v>D</v>
      </c>
      <c r="O98" s="208" t="str">
        <f>Dat_01!N140</f>
        <v>E</v>
      </c>
      <c r="P98" s="209"/>
    </row>
    <row r="99" spans="2:16">
      <c r="B99" s="210" t="s">
        <v>2</v>
      </c>
      <c r="C99" s="211">
        <f>C69</f>
        <v>4057.0491571819998</v>
      </c>
      <c r="D99" s="211">
        <f t="shared" ref="D99:O99" si="9">D69</f>
        <v>4517.3439469479999</v>
      </c>
      <c r="E99" s="211">
        <f t="shared" si="9"/>
        <v>3713.6790790800001</v>
      </c>
      <c r="F99" s="211">
        <f t="shared" si="9"/>
        <v>2742.5670331319998</v>
      </c>
      <c r="G99" s="211">
        <f t="shared" si="9"/>
        <v>2156.7115169600002</v>
      </c>
      <c r="H99" s="211">
        <f t="shared" si="9"/>
        <v>2179.4227844279999</v>
      </c>
      <c r="I99" s="211">
        <f t="shared" si="9"/>
        <v>2206.5567297779999</v>
      </c>
      <c r="J99" s="211">
        <f t="shared" si="9"/>
        <v>1879.983812162</v>
      </c>
      <c r="K99" s="211">
        <f t="shared" si="9"/>
        <v>1393.78333174</v>
      </c>
      <c r="L99" s="211">
        <f t="shared" si="9"/>
        <v>1020.47985714</v>
      </c>
      <c r="M99" s="211">
        <f t="shared" si="9"/>
        <v>1192.550182512</v>
      </c>
      <c r="N99" s="211">
        <f t="shared" si="9"/>
        <v>2518.7959635040002</v>
      </c>
      <c r="O99" s="211">
        <f t="shared" si="9"/>
        <v>2070.2394339440002</v>
      </c>
    </row>
    <row r="100" spans="2:16">
      <c r="B100" s="210" t="s">
        <v>81</v>
      </c>
      <c r="C100" s="211">
        <f t="shared" ref="C100:O112" si="10">C70</f>
        <v>320.531387408</v>
      </c>
      <c r="D100" s="211">
        <f t="shared" si="10"/>
        <v>401.29321896599998</v>
      </c>
      <c r="E100" s="211">
        <f t="shared" si="10"/>
        <v>330.79456254199999</v>
      </c>
      <c r="F100" s="211">
        <f t="shared" si="10"/>
        <v>153.67971897199999</v>
      </c>
      <c r="G100" s="211">
        <f t="shared" si="10"/>
        <v>238.70894406400001</v>
      </c>
      <c r="H100" s="211">
        <f t="shared" si="10"/>
        <v>105.70565758799999</v>
      </c>
      <c r="I100" s="211">
        <f t="shared" si="10"/>
        <v>115.791574032</v>
      </c>
      <c r="J100" s="211">
        <f t="shared" si="10"/>
        <v>159.80881627400001</v>
      </c>
      <c r="K100" s="211">
        <f t="shared" si="10"/>
        <v>118.239862456</v>
      </c>
      <c r="L100" s="211">
        <f t="shared" si="10"/>
        <v>232.11320922199999</v>
      </c>
      <c r="M100" s="211">
        <f t="shared" si="10"/>
        <v>202.78682990199999</v>
      </c>
      <c r="N100" s="211">
        <f t="shared" si="10"/>
        <v>269.90862404000001</v>
      </c>
      <c r="O100" s="211">
        <f t="shared" si="10"/>
        <v>215.45053776</v>
      </c>
    </row>
    <row r="101" spans="2:16">
      <c r="B101" s="210" t="s">
        <v>3</v>
      </c>
      <c r="C101" s="211">
        <f t="shared" si="10"/>
        <v>5199.7405159999998</v>
      </c>
      <c r="D101" s="211">
        <f t="shared" si="10"/>
        <v>4358.5151070000002</v>
      </c>
      <c r="E101" s="211">
        <f t="shared" si="10"/>
        <v>4833.1364599999997</v>
      </c>
      <c r="F101" s="211">
        <f t="shared" si="10"/>
        <v>4197.3329299999996</v>
      </c>
      <c r="G101" s="211">
        <f t="shared" si="10"/>
        <v>4373.2505520000004</v>
      </c>
      <c r="H101" s="211">
        <f t="shared" si="10"/>
        <v>3684.3838430000001</v>
      </c>
      <c r="I101" s="211">
        <f t="shared" si="10"/>
        <v>5119.3289409999998</v>
      </c>
      <c r="J101" s="211">
        <f t="shared" si="10"/>
        <v>5150.2640140000003</v>
      </c>
      <c r="K101" s="211">
        <f t="shared" si="10"/>
        <v>4890.5065249999998</v>
      </c>
      <c r="L101" s="211">
        <f t="shared" si="10"/>
        <v>4748.3949460000003</v>
      </c>
      <c r="M101" s="211">
        <f t="shared" si="10"/>
        <v>3562.3582710000001</v>
      </c>
      <c r="N101" s="211">
        <f t="shared" si="10"/>
        <v>3922.864118</v>
      </c>
      <c r="O101" s="211">
        <f t="shared" si="10"/>
        <v>5048.3268710000002</v>
      </c>
    </row>
    <row r="102" spans="2:16">
      <c r="B102" s="210" t="s">
        <v>4</v>
      </c>
      <c r="C102" s="211">
        <f t="shared" si="10"/>
        <v>558.50496999999996</v>
      </c>
      <c r="D102" s="211">
        <f t="shared" si="10"/>
        <v>176.80514199999999</v>
      </c>
      <c r="E102" s="211">
        <f t="shared" si="10"/>
        <v>242.90612300000001</v>
      </c>
      <c r="F102" s="211">
        <f t="shared" si="10"/>
        <v>270.94085699999999</v>
      </c>
      <c r="G102" s="211">
        <f t="shared" si="10"/>
        <v>333.46752600000002</v>
      </c>
      <c r="H102" s="211">
        <f t="shared" si="10"/>
        <v>431.99096700000001</v>
      </c>
      <c r="I102" s="211">
        <f t="shared" si="10"/>
        <v>302.41718100000003</v>
      </c>
      <c r="J102" s="211">
        <f t="shared" si="10"/>
        <v>320.34443199999998</v>
      </c>
      <c r="K102" s="211">
        <f t="shared" si="10"/>
        <v>477.92579699999999</v>
      </c>
      <c r="L102" s="211">
        <f t="shared" si="10"/>
        <v>528.18759499999999</v>
      </c>
      <c r="M102" s="211">
        <f t="shared" si="10"/>
        <v>577.43674399999998</v>
      </c>
      <c r="N102" s="211">
        <f t="shared" si="10"/>
        <v>721.09479699999997</v>
      </c>
      <c r="O102" s="211">
        <f t="shared" si="10"/>
        <v>710.59119999999996</v>
      </c>
    </row>
    <row r="103" spans="2:16">
      <c r="B103" s="210" t="s">
        <v>130</v>
      </c>
      <c r="C103" s="211">
        <f t="shared" si="10"/>
        <v>0</v>
      </c>
      <c r="D103" s="211">
        <f t="shared" si="10"/>
        <v>0</v>
      </c>
      <c r="E103" s="211">
        <f t="shared" si="10"/>
        <v>0</v>
      </c>
      <c r="F103" s="211">
        <f t="shared" si="10"/>
        <v>0</v>
      </c>
      <c r="G103" s="211">
        <f t="shared" si="10"/>
        <v>0</v>
      </c>
      <c r="H103" s="211">
        <f t="shared" si="10"/>
        <v>0</v>
      </c>
      <c r="I103" s="211">
        <f t="shared" si="10"/>
        <v>0</v>
      </c>
      <c r="J103" s="211">
        <f t="shared" si="10"/>
        <v>0</v>
      </c>
      <c r="K103" s="211">
        <f t="shared" si="10"/>
        <v>0</v>
      </c>
      <c r="L103" s="211">
        <f t="shared" si="10"/>
        <v>0</v>
      </c>
      <c r="M103" s="211">
        <f t="shared" si="10"/>
        <v>0</v>
      </c>
      <c r="N103" s="211">
        <f t="shared" si="10"/>
        <v>0</v>
      </c>
      <c r="O103" s="211">
        <f t="shared" si="10"/>
        <v>0</v>
      </c>
    </row>
    <row r="104" spans="2:16">
      <c r="B104" s="210" t="s">
        <v>131</v>
      </c>
      <c r="C104" s="211">
        <f t="shared" si="10"/>
        <v>2188.3044850000001</v>
      </c>
      <c r="D104" s="211">
        <f t="shared" si="10"/>
        <v>1086.83896</v>
      </c>
      <c r="E104" s="211">
        <f t="shared" si="10"/>
        <v>1649.4189409999999</v>
      </c>
      <c r="F104" s="211">
        <f t="shared" si="10"/>
        <v>2864.730763</v>
      </c>
      <c r="G104" s="211">
        <f t="shared" si="10"/>
        <v>2004.776314</v>
      </c>
      <c r="H104" s="211">
        <f t="shared" si="10"/>
        <v>3136.247484</v>
      </c>
      <c r="I104" s="211">
        <f t="shared" si="10"/>
        <v>3024.7339200000001</v>
      </c>
      <c r="J104" s="211">
        <f t="shared" si="10"/>
        <v>3325.1444550000001</v>
      </c>
      <c r="K104" s="211">
        <f t="shared" si="10"/>
        <v>4296.9849320000003</v>
      </c>
      <c r="L104" s="211">
        <f t="shared" si="10"/>
        <v>3806.1083130000002</v>
      </c>
      <c r="M104" s="211">
        <f t="shared" si="10"/>
        <v>5697.6167089999999</v>
      </c>
      <c r="N104" s="211">
        <f t="shared" si="10"/>
        <v>4500.3505590000004</v>
      </c>
      <c r="O104" s="211">
        <f t="shared" si="10"/>
        <v>5197.2192379999997</v>
      </c>
    </row>
    <row r="105" spans="2:16">
      <c r="B105" s="210" t="s">
        <v>5</v>
      </c>
      <c r="C105" s="211">
        <f t="shared" si="10"/>
        <v>7019.2756399999998</v>
      </c>
      <c r="D105" s="211">
        <f t="shared" si="10"/>
        <v>6236.045451</v>
      </c>
      <c r="E105" s="211">
        <f t="shared" si="10"/>
        <v>5521.6130549999998</v>
      </c>
      <c r="F105" s="211">
        <f t="shared" si="10"/>
        <v>4041.8016459999999</v>
      </c>
      <c r="G105" s="211">
        <f t="shared" si="10"/>
        <v>4620.8358829999997</v>
      </c>
      <c r="H105" s="211">
        <f t="shared" si="10"/>
        <v>3533.4356429999998</v>
      </c>
      <c r="I105" s="211">
        <f t="shared" si="10"/>
        <v>4121.6008309999997</v>
      </c>
      <c r="J105" s="211">
        <f t="shared" si="10"/>
        <v>3597.0922369999998</v>
      </c>
      <c r="K105" s="211">
        <f t="shared" si="10"/>
        <v>3123.0617010000001</v>
      </c>
      <c r="L105" s="211">
        <f t="shared" si="10"/>
        <v>4229.363085</v>
      </c>
      <c r="M105" s="211">
        <f t="shared" si="10"/>
        <v>6318.0829219999996</v>
      </c>
      <c r="N105" s="211">
        <f t="shared" si="10"/>
        <v>6812.815904</v>
      </c>
      <c r="O105" s="211">
        <f t="shared" si="10"/>
        <v>5352.3177050000004</v>
      </c>
    </row>
    <row r="106" spans="2:16">
      <c r="B106" s="210" t="s">
        <v>132</v>
      </c>
      <c r="C106" s="211">
        <f t="shared" si="10"/>
        <v>823.15754800000002</v>
      </c>
      <c r="D106" s="211">
        <f t="shared" si="10"/>
        <v>946.13011200000005</v>
      </c>
      <c r="E106" s="211">
        <f t="shared" si="10"/>
        <v>1649.2322059999999</v>
      </c>
      <c r="F106" s="211">
        <f t="shared" si="10"/>
        <v>1626.286437</v>
      </c>
      <c r="G106" s="211">
        <f t="shared" si="10"/>
        <v>2337.876855</v>
      </c>
      <c r="H106" s="211">
        <f t="shared" si="10"/>
        <v>2276.176676</v>
      </c>
      <c r="I106" s="211">
        <f t="shared" si="10"/>
        <v>2563.3711840000001</v>
      </c>
      <c r="J106" s="211">
        <f t="shared" si="10"/>
        <v>2342.001773</v>
      </c>
      <c r="K106" s="211">
        <f t="shared" si="10"/>
        <v>1881.418173</v>
      </c>
      <c r="L106" s="211">
        <f t="shared" si="10"/>
        <v>1726.4504890000001</v>
      </c>
      <c r="M106" s="211">
        <f t="shared" si="10"/>
        <v>1304.1826659999999</v>
      </c>
      <c r="N106" s="211">
        <f t="shared" si="10"/>
        <v>988.84680000000003</v>
      </c>
      <c r="O106" s="211">
        <f t="shared" si="10"/>
        <v>1515.5292179999999</v>
      </c>
    </row>
    <row r="107" spans="2:16">
      <c r="B107" s="210" t="s">
        <v>133</v>
      </c>
      <c r="C107" s="211">
        <f t="shared" si="10"/>
        <v>102.634029</v>
      </c>
      <c r="D107" s="211">
        <f t="shared" si="10"/>
        <v>138.18132700000001</v>
      </c>
      <c r="E107" s="211">
        <f t="shared" si="10"/>
        <v>355.01542699999999</v>
      </c>
      <c r="F107" s="211">
        <f t="shared" si="10"/>
        <v>266.78751899999997</v>
      </c>
      <c r="G107" s="211">
        <f t="shared" si="10"/>
        <v>645.59745699999996</v>
      </c>
      <c r="H107" s="211">
        <f t="shared" si="10"/>
        <v>655.36365000000001</v>
      </c>
      <c r="I107" s="211">
        <f t="shared" si="10"/>
        <v>828.49249399999997</v>
      </c>
      <c r="J107" s="211">
        <f t="shared" si="10"/>
        <v>661.44510200000002</v>
      </c>
      <c r="K107" s="211">
        <f t="shared" si="10"/>
        <v>447.44465700000001</v>
      </c>
      <c r="L107" s="211">
        <f t="shared" si="10"/>
        <v>328.14902799999999</v>
      </c>
      <c r="M107" s="211">
        <f t="shared" si="10"/>
        <v>172.42607599999999</v>
      </c>
      <c r="N107" s="211">
        <f t="shared" si="10"/>
        <v>103.956001</v>
      </c>
      <c r="O107" s="211">
        <f t="shared" si="10"/>
        <v>170.90533300000001</v>
      </c>
    </row>
    <row r="108" spans="2:16">
      <c r="B108" s="210" t="s">
        <v>9</v>
      </c>
      <c r="C108" s="211">
        <f t="shared" si="10"/>
        <v>2401.1708629999998</v>
      </c>
      <c r="D108" s="211">
        <f t="shared" si="10"/>
        <v>1834.5240309999999</v>
      </c>
      <c r="E108" s="211">
        <f t="shared" si="10"/>
        <v>2248.6531970000001</v>
      </c>
      <c r="F108" s="211">
        <f t="shared" si="10"/>
        <v>2189.3046859999999</v>
      </c>
      <c r="G108" s="211">
        <f t="shared" si="10"/>
        <v>2202.0104940000001</v>
      </c>
      <c r="H108" s="211">
        <f t="shared" si="10"/>
        <v>2182.4178189999998</v>
      </c>
      <c r="I108" s="211">
        <f t="shared" si="10"/>
        <v>2240.5457550000001</v>
      </c>
      <c r="J108" s="211">
        <f t="shared" si="10"/>
        <v>2101.175643</v>
      </c>
      <c r="K108" s="211">
        <f t="shared" si="10"/>
        <v>2159.0921499999999</v>
      </c>
      <c r="L108" s="211">
        <f t="shared" si="10"/>
        <v>2138.1116240000001</v>
      </c>
      <c r="M108" s="211">
        <f t="shared" si="10"/>
        <v>2172.6161619999998</v>
      </c>
      <c r="N108" s="211">
        <f t="shared" si="10"/>
        <v>2179.9598230000001</v>
      </c>
      <c r="O108" s="211">
        <f t="shared" si="10"/>
        <v>2170.2505030000002</v>
      </c>
    </row>
    <row r="109" spans="2:16">
      <c r="B109" s="210" t="s">
        <v>134</v>
      </c>
      <c r="C109" s="211">
        <f t="shared" si="10"/>
        <v>175.14184499999999</v>
      </c>
      <c r="D109" s="211">
        <f t="shared" si="10"/>
        <v>161.44275200000001</v>
      </c>
      <c r="E109" s="211">
        <f t="shared" si="10"/>
        <v>173.707269</v>
      </c>
      <c r="F109" s="211">
        <f t="shared" si="10"/>
        <v>170.05904150000001</v>
      </c>
      <c r="G109" s="211">
        <f t="shared" si="10"/>
        <v>170.74740800000001</v>
      </c>
      <c r="H109" s="211">
        <f t="shared" si="10"/>
        <v>182.66502349999999</v>
      </c>
      <c r="I109" s="211">
        <f t="shared" si="10"/>
        <v>193.1337345</v>
      </c>
      <c r="J109" s="211">
        <f t="shared" si="10"/>
        <v>198.4023795</v>
      </c>
      <c r="K109" s="211">
        <f t="shared" si="10"/>
        <v>167.38102850000001</v>
      </c>
      <c r="L109" s="211">
        <f t="shared" si="10"/>
        <v>179.049938</v>
      </c>
      <c r="M109" s="211">
        <f t="shared" si="10"/>
        <v>164.8067685</v>
      </c>
      <c r="N109" s="211">
        <f t="shared" si="10"/>
        <v>171.82050699999999</v>
      </c>
      <c r="O109" s="211">
        <f t="shared" si="10"/>
        <v>159.55676600000001</v>
      </c>
    </row>
    <row r="110" spans="2:16">
      <c r="B110" s="210" t="s">
        <v>135</v>
      </c>
      <c r="C110" s="211">
        <f t="shared" si="10"/>
        <v>52.060037999999999</v>
      </c>
      <c r="D110" s="211">
        <f t="shared" si="10"/>
        <v>57.768275000000003</v>
      </c>
      <c r="E110" s="211">
        <f t="shared" si="10"/>
        <v>61.963368000000003</v>
      </c>
      <c r="F110" s="211">
        <f t="shared" si="10"/>
        <v>66.322567500000005</v>
      </c>
      <c r="G110" s="211">
        <f t="shared" si="10"/>
        <v>53.009402999999999</v>
      </c>
      <c r="H110" s="211">
        <f t="shared" si="10"/>
        <v>65.533088500000005</v>
      </c>
      <c r="I110" s="211">
        <f t="shared" si="10"/>
        <v>70.069195500000006</v>
      </c>
      <c r="J110" s="211">
        <f t="shared" si="10"/>
        <v>67.951940500000006</v>
      </c>
      <c r="K110" s="211">
        <f t="shared" si="10"/>
        <v>55.639892500000002</v>
      </c>
      <c r="L110" s="211">
        <f t="shared" si="10"/>
        <v>61.837724000000001</v>
      </c>
      <c r="M110" s="211">
        <f t="shared" si="10"/>
        <v>65.901263499999999</v>
      </c>
      <c r="N110" s="211">
        <f t="shared" si="10"/>
        <v>72.807829999999996</v>
      </c>
      <c r="O110" s="211">
        <f t="shared" si="10"/>
        <v>68.975128999999995</v>
      </c>
    </row>
    <row r="111" spans="2:16">
      <c r="B111" s="210" t="s">
        <v>136</v>
      </c>
      <c r="C111" s="211">
        <f t="shared" si="10"/>
        <v>390.17391600000002</v>
      </c>
      <c r="D111" s="211">
        <f t="shared" si="10"/>
        <v>364.41521899999998</v>
      </c>
      <c r="E111" s="211">
        <f t="shared" si="10"/>
        <v>358.41619500000002</v>
      </c>
      <c r="F111" s="211">
        <f t="shared" si="10"/>
        <v>391.394882</v>
      </c>
      <c r="G111" s="211">
        <f t="shared" si="10"/>
        <v>390.09045800000001</v>
      </c>
      <c r="H111" s="211">
        <f t="shared" si="10"/>
        <v>357.15935500000001</v>
      </c>
      <c r="I111" s="211">
        <f t="shared" si="10"/>
        <v>351.79724199999998</v>
      </c>
      <c r="J111" s="211">
        <f t="shared" si="10"/>
        <v>409.84376200000003</v>
      </c>
      <c r="K111" s="211">
        <f t="shared" si="10"/>
        <v>395.48078299999997</v>
      </c>
      <c r="L111" s="211">
        <f t="shared" si="10"/>
        <v>431.37135699999999</v>
      </c>
      <c r="M111" s="211">
        <f t="shared" si="10"/>
        <v>433.10227200000003</v>
      </c>
      <c r="N111" s="211">
        <f t="shared" si="10"/>
        <v>434.32822099999998</v>
      </c>
      <c r="O111" s="211">
        <f t="shared" si="10"/>
        <v>428.36274100000003</v>
      </c>
    </row>
    <row r="112" spans="2:16">
      <c r="B112" s="210" t="s">
        <v>137</v>
      </c>
      <c r="C112" s="211">
        <f t="shared" si="10"/>
        <v>23287.744394589994</v>
      </c>
      <c r="D112" s="211">
        <f t="shared" si="10"/>
        <v>20279.303541913996</v>
      </c>
      <c r="E112" s="211">
        <f t="shared" si="10"/>
        <v>21138.535882622</v>
      </c>
      <c r="F112" s="211">
        <f t="shared" si="10"/>
        <v>18981.208081104</v>
      </c>
      <c r="G112" s="211">
        <f t="shared" si="10"/>
        <v>19527.082811024004</v>
      </c>
      <c r="H112" s="211">
        <f t="shared" si="10"/>
        <v>18790.501991015997</v>
      </c>
      <c r="I112" s="211">
        <f t="shared" si="10"/>
        <v>21137.838781809998</v>
      </c>
      <c r="J112" s="211">
        <f t="shared" si="10"/>
        <v>20213.458366436</v>
      </c>
      <c r="K112" s="211">
        <f t="shared" si="10"/>
        <v>19406.958833196</v>
      </c>
      <c r="L112" s="211">
        <f t="shared" si="10"/>
        <v>19429.617165362004</v>
      </c>
      <c r="M112" s="211">
        <f t="shared" si="10"/>
        <v>21863.866866413995</v>
      </c>
      <c r="N112" s="211">
        <f t="shared" si="10"/>
        <v>22697.549147543999</v>
      </c>
      <c r="O112" s="211">
        <f t="shared" si="10"/>
        <v>23107.724675704001</v>
      </c>
    </row>
    <row r="113" spans="2:18">
      <c r="B113" s="210" t="s">
        <v>138</v>
      </c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</row>
    <row r="114" spans="2:18">
      <c r="B114" s="210" t="s">
        <v>139</v>
      </c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</row>
    <row r="115" spans="2:18">
      <c r="B115" s="210" t="s">
        <v>140</v>
      </c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</row>
    <row r="116" spans="2:18">
      <c r="B116" s="212" t="s">
        <v>141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</row>
    <row r="118" spans="2:18">
      <c r="B118" s="214" t="s">
        <v>174</v>
      </c>
      <c r="C118" s="215">
        <f>SUM(C99:C101,C105:C107,C110:C111)</f>
        <v>17964.622231589998</v>
      </c>
      <c r="D118" s="215">
        <f t="shared" ref="D118:O118" si="11">SUM(D99:D101,D105:D107,D110:D111)</f>
        <v>17019.692656913994</v>
      </c>
      <c r="E118" s="215">
        <f t="shared" si="11"/>
        <v>16823.850352622001</v>
      </c>
      <c r="F118" s="215">
        <f t="shared" si="11"/>
        <v>13486.172733603998</v>
      </c>
      <c r="G118" s="215">
        <f t="shared" si="11"/>
        <v>14816.081069024001</v>
      </c>
      <c r="H118" s="215">
        <f t="shared" si="11"/>
        <v>12857.180697516</v>
      </c>
      <c r="I118" s="215">
        <f t="shared" si="11"/>
        <v>15377.00819131</v>
      </c>
      <c r="J118" s="215">
        <f t="shared" si="11"/>
        <v>14268.391456936</v>
      </c>
      <c r="K118" s="215">
        <f t="shared" si="11"/>
        <v>12305.574925696001</v>
      </c>
      <c r="L118" s="215">
        <f t="shared" si="11"/>
        <v>12778.159695362001</v>
      </c>
      <c r="M118" s="215">
        <f t="shared" si="11"/>
        <v>13251.390482914001</v>
      </c>
      <c r="N118" s="215">
        <f t="shared" si="11"/>
        <v>15124.323461544</v>
      </c>
      <c r="O118" s="215">
        <f t="shared" si="11"/>
        <v>14870.106968704004</v>
      </c>
    </row>
    <row r="119" spans="2:18">
      <c r="B119" s="212" t="s">
        <v>175</v>
      </c>
      <c r="C119" s="213">
        <f>SUM(C102:C104,C108:C109)</f>
        <v>5323.122163</v>
      </c>
      <c r="D119" s="213">
        <f t="shared" ref="D119:O119" si="12">SUM(D102:D104,D108:D109)</f>
        <v>3259.6108850000001</v>
      </c>
      <c r="E119" s="213">
        <f t="shared" si="12"/>
        <v>4314.6855300000007</v>
      </c>
      <c r="F119" s="213">
        <f t="shared" si="12"/>
        <v>5495.0353475000002</v>
      </c>
      <c r="G119" s="213">
        <f t="shared" si="12"/>
        <v>4711.0017420000004</v>
      </c>
      <c r="H119" s="213">
        <f t="shared" si="12"/>
        <v>5933.3212934999992</v>
      </c>
      <c r="I119" s="213">
        <f t="shared" si="12"/>
        <v>5760.8305905000007</v>
      </c>
      <c r="J119" s="213">
        <f t="shared" si="12"/>
        <v>5945.0669095000003</v>
      </c>
      <c r="K119" s="213">
        <f t="shared" si="12"/>
        <v>7101.3839074999996</v>
      </c>
      <c r="L119" s="213">
        <f t="shared" si="12"/>
        <v>6651.4574700000003</v>
      </c>
      <c r="M119" s="213">
        <f t="shared" si="12"/>
        <v>8612.4763834999994</v>
      </c>
      <c r="N119" s="213">
        <f t="shared" si="12"/>
        <v>7573.2256860000007</v>
      </c>
      <c r="O119" s="213">
        <f t="shared" si="12"/>
        <v>8237.6177069999994</v>
      </c>
      <c r="R119" s="217"/>
    </row>
    <row r="121" spans="2:18">
      <c r="B121" s="214" t="s">
        <v>173</v>
      </c>
      <c r="C121" s="216">
        <f>SUM(C99/SUM(C118:C119)*100,C100/SUM(C118:C119)*100,C101/SUM(C118:C119)*100,C105/SUM(C118:C119)*100,C106/SUM(C118:C119)*100,C107/SUM(C118:C119)*100,C111/SUM(C118:C119)*100,C110/SUM(C118:C119)*100)</f>
        <v>77.141958994377219</v>
      </c>
      <c r="D121" s="216">
        <f t="shared" ref="D121:O121" si="13">SUM(D99/SUM(D118:D119)*100,D100/SUM(D118:D119)*100,D101/SUM(D118:D119)*100,D105/SUM(D118:D119)*100,D106/SUM(D118:D119)*100,D107/SUM(D118:D119)*100,D111/SUM(D118:D119)*100,D110/SUM(D118:D119)*100)</f>
        <v>83.926416021817943</v>
      </c>
      <c r="E121" s="216">
        <f t="shared" si="13"/>
        <v>79.588531798235323</v>
      </c>
      <c r="F121" s="216">
        <f t="shared" si="13"/>
        <v>71.05012850593863</v>
      </c>
      <c r="G121" s="216">
        <f t="shared" si="13"/>
        <v>75.874523667506509</v>
      </c>
      <c r="H121" s="216">
        <f t="shared" si="13"/>
        <v>68.423827653264397</v>
      </c>
      <c r="I121" s="216">
        <f t="shared" si="13"/>
        <v>72.746359502668554</v>
      </c>
      <c r="J121" s="216">
        <f t="shared" si="13"/>
        <v>70.588571229495031</v>
      </c>
      <c r="K121" s="216">
        <f t="shared" si="13"/>
        <v>63.408053943243615</v>
      </c>
      <c r="L121" s="216">
        <f t="shared" si="13"/>
        <v>65.766399752549745</v>
      </c>
      <c r="M121" s="216">
        <f t="shared" si="13"/>
        <v>60.60863141858048</v>
      </c>
      <c r="N121" s="216">
        <f t="shared" si="13"/>
        <v>66.634169897504279</v>
      </c>
      <c r="O121" s="216">
        <f t="shared" si="13"/>
        <v>64.351238286730919</v>
      </c>
    </row>
    <row r="122" spans="2:18">
      <c r="B122" s="212" t="s">
        <v>176</v>
      </c>
      <c r="C122" s="298">
        <f t="shared" ref="C122:O122" si="14">100-C121</f>
        <v>22.858041005622781</v>
      </c>
      <c r="D122" s="298">
        <f t="shared" si="14"/>
        <v>16.073583978182057</v>
      </c>
      <c r="E122" s="298">
        <f t="shared" si="14"/>
        <v>20.411468201764677</v>
      </c>
      <c r="F122" s="298">
        <f t="shared" si="14"/>
        <v>28.94987149406137</v>
      </c>
      <c r="G122" s="298">
        <f t="shared" si="14"/>
        <v>24.125476332493491</v>
      </c>
      <c r="H122" s="298">
        <f t="shared" si="14"/>
        <v>31.576172346735603</v>
      </c>
      <c r="I122" s="298">
        <f t="shared" si="14"/>
        <v>27.253640497331446</v>
      </c>
      <c r="J122" s="298">
        <f t="shared" si="14"/>
        <v>29.411428770504969</v>
      </c>
      <c r="K122" s="298">
        <f t="shared" si="14"/>
        <v>36.591946056756385</v>
      </c>
      <c r="L122" s="298">
        <f t="shared" si="14"/>
        <v>34.233600247450255</v>
      </c>
      <c r="M122" s="298">
        <f t="shared" si="14"/>
        <v>39.39136858141952</v>
      </c>
      <c r="N122" s="298">
        <f t="shared" si="14"/>
        <v>33.365830102495721</v>
      </c>
      <c r="O122" s="298">
        <f t="shared" si="14"/>
        <v>35.648761713269081</v>
      </c>
    </row>
    <row r="124" spans="2:18">
      <c r="B124" s="149" t="s">
        <v>143</v>
      </c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</row>
    <row r="125" spans="2:18">
      <c r="B125" s="207"/>
      <c r="C125" s="208" t="str">
        <f>Dat_01!B140</f>
        <v>E</v>
      </c>
      <c r="D125" s="208" t="str">
        <f>Dat_01!C140</f>
        <v>F</v>
      </c>
      <c r="E125" s="208" t="str">
        <f>Dat_01!D140</f>
        <v>M</v>
      </c>
      <c r="F125" s="208" t="str">
        <f>Dat_01!E140</f>
        <v>A</v>
      </c>
      <c r="G125" s="208" t="str">
        <f>Dat_01!F140</f>
        <v>M</v>
      </c>
      <c r="H125" s="208" t="str">
        <f>Dat_01!G140</f>
        <v>J</v>
      </c>
      <c r="I125" s="208" t="str">
        <f>Dat_01!H140</f>
        <v>J</v>
      </c>
      <c r="J125" s="208" t="str">
        <f>Dat_01!I140</f>
        <v>A</v>
      </c>
      <c r="K125" s="208" t="str">
        <f>Dat_01!J140</f>
        <v>S</v>
      </c>
      <c r="L125" s="208" t="str">
        <f>Dat_01!K140</f>
        <v>O</v>
      </c>
      <c r="M125" s="208" t="str">
        <f>Dat_01!L140</f>
        <v>N</v>
      </c>
      <c r="N125" s="208" t="str">
        <f>Dat_01!M140</f>
        <v>D</v>
      </c>
      <c r="O125" s="208" t="str">
        <f>Dat_01!N140</f>
        <v>E</v>
      </c>
    </row>
    <row r="126" spans="2:18">
      <c r="B126" s="210" t="s">
        <v>2</v>
      </c>
      <c r="C126" s="211">
        <f>C69</f>
        <v>4057.0491571819998</v>
      </c>
      <c r="D126" s="211">
        <f t="shared" ref="D126:O126" si="15">D69</f>
        <v>4517.3439469479999</v>
      </c>
      <c r="E126" s="211">
        <f t="shared" si="15"/>
        <v>3713.6790790800001</v>
      </c>
      <c r="F126" s="211">
        <f t="shared" si="15"/>
        <v>2742.5670331319998</v>
      </c>
      <c r="G126" s="211">
        <f t="shared" si="15"/>
        <v>2156.7115169600002</v>
      </c>
      <c r="H126" s="211">
        <f t="shared" si="15"/>
        <v>2179.4227844279999</v>
      </c>
      <c r="I126" s="211">
        <f t="shared" si="15"/>
        <v>2206.5567297779999</v>
      </c>
      <c r="J126" s="211">
        <f t="shared" si="15"/>
        <v>1879.983812162</v>
      </c>
      <c r="K126" s="211">
        <f t="shared" si="15"/>
        <v>1393.78333174</v>
      </c>
      <c r="L126" s="211">
        <f t="shared" si="15"/>
        <v>1020.47985714</v>
      </c>
      <c r="M126" s="211">
        <f t="shared" si="15"/>
        <v>1192.550182512</v>
      </c>
      <c r="N126" s="211">
        <f t="shared" si="15"/>
        <v>2518.7959635040002</v>
      </c>
      <c r="O126" s="211">
        <f t="shared" si="15"/>
        <v>2070.2394339440002</v>
      </c>
      <c r="P126" s="219"/>
    </row>
    <row r="127" spans="2:18">
      <c r="B127" s="210" t="s">
        <v>81</v>
      </c>
      <c r="C127" s="211">
        <f t="shared" ref="C127:O139" si="16">C70</f>
        <v>320.531387408</v>
      </c>
      <c r="D127" s="211">
        <f t="shared" si="16"/>
        <v>401.29321896599998</v>
      </c>
      <c r="E127" s="211">
        <f t="shared" si="16"/>
        <v>330.79456254199999</v>
      </c>
      <c r="F127" s="211">
        <f t="shared" si="16"/>
        <v>153.67971897199999</v>
      </c>
      <c r="G127" s="211">
        <f t="shared" si="16"/>
        <v>238.70894406400001</v>
      </c>
      <c r="H127" s="211">
        <f t="shared" si="16"/>
        <v>105.70565758799999</v>
      </c>
      <c r="I127" s="211">
        <f t="shared" si="16"/>
        <v>115.791574032</v>
      </c>
      <c r="J127" s="211">
        <f t="shared" si="16"/>
        <v>159.80881627400001</v>
      </c>
      <c r="K127" s="211">
        <f t="shared" si="16"/>
        <v>118.239862456</v>
      </c>
      <c r="L127" s="211">
        <f t="shared" si="16"/>
        <v>232.11320922199999</v>
      </c>
      <c r="M127" s="211">
        <f t="shared" si="16"/>
        <v>202.78682990199999</v>
      </c>
      <c r="N127" s="211">
        <f t="shared" si="16"/>
        <v>269.90862404000001</v>
      </c>
      <c r="O127" s="211">
        <f t="shared" si="16"/>
        <v>215.45053776</v>
      </c>
    </row>
    <row r="128" spans="2:18">
      <c r="B128" s="210" t="s">
        <v>3</v>
      </c>
      <c r="C128" s="211">
        <f t="shared" si="16"/>
        <v>5199.7405159999998</v>
      </c>
      <c r="D128" s="211">
        <f t="shared" si="16"/>
        <v>4358.5151070000002</v>
      </c>
      <c r="E128" s="211">
        <f t="shared" si="16"/>
        <v>4833.1364599999997</v>
      </c>
      <c r="F128" s="211">
        <f t="shared" si="16"/>
        <v>4197.3329299999996</v>
      </c>
      <c r="G128" s="211">
        <f t="shared" si="16"/>
        <v>4373.2505520000004</v>
      </c>
      <c r="H128" s="211">
        <f t="shared" si="16"/>
        <v>3684.3838430000001</v>
      </c>
      <c r="I128" s="211">
        <f t="shared" si="16"/>
        <v>5119.3289409999998</v>
      </c>
      <c r="J128" s="211">
        <f t="shared" si="16"/>
        <v>5150.2640140000003</v>
      </c>
      <c r="K128" s="211">
        <f t="shared" si="16"/>
        <v>4890.5065249999998</v>
      </c>
      <c r="L128" s="211">
        <f t="shared" si="16"/>
        <v>4748.3949460000003</v>
      </c>
      <c r="M128" s="211">
        <f t="shared" si="16"/>
        <v>3562.3582710000001</v>
      </c>
      <c r="N128" s="211">
        <f t="shared" si="16"/>
        <v>3922.864118</v>
      </c>
      <c r="O128" s="211">
        <f t="shared" si="16"/>
        <v>5048.3268710000002</v>
      </c>
    </row>
    <row r="129" spans="2:15">
      <c r="B129" s="210" t="s">
        <v>4</v>
      </c>
      <c r="C129" s="211">
        <f t="shared" si="16"/>
        <v>558.50496999999996</v>
      </c>
      <c r="D129" s="211">
        <f t="shared" si="16"/>
        <v>176.80514199999999</v>
      </c>
      <c r="E129" s="211">
        <f t="shared" si="16"/>
        <v>242.90612300000001</v>
      </c>
      <c r="F129" s="211">
        <f t="shared" si="16"/>
        <v>270.94085699999999</v>
      </c>
      <c r="G129" s="211">
        <f t="shared" si="16"/>
        <v>333.46752600000002</v>
      </c>
      <c r="H129" s="211">
        <f t="shared" si="16"/>
        <v>431.99096700000001</v>
      </c>
      <c r="I129" s="211">
        <f t="shared" si="16"/>
        <v>302.41718100000003</v>
      </c>
      <c r="J129" s="211">
        <f t="shared" si="16"/>
        <v>320.34443199999998</v>
      </c>
      <c r="K129" s="211">
        <f t="shared" si="16"/>
        <v>477.92579699999999</v>
      </c>
      <c r="L129" s="211">
        <f t="shared" si="16"/>
        <v>528.18759499999999</v>
      </c>
      <c r="M129" s="211">
        <f t="shared" si="16"/>
        <v>577.43674399999998</v>
      </c>
      <c r="N129" s="211">
        <f t="shared" si="16"/>
        <v>721.09479699999997</v>
      </c>
      <c r="O129" s="211">
        <f t="shared" si="16"/>
        <v>710.59119999999996</v>
      </c>
    </row>
    <row r="130" spans="2:15">
      <c r="B130" s="210" t="s">
        <v>130</v>
      </c>
      <c r="C130" s="211">
        <f t="shared" si="16"/>
        <v>0</v>
      </c>
      <c r="D130" s="211">
        <f t="shared" si="16"/>
        <v>0</v>
      </c>
      <c r="E130" s="211">
        <f t="shared" si="16"/>
        <v>0</v>
      </c>
      <c r="F130" s="211">
        <f t="shared" si="16"/>
        <v>0</v>
      </c>
      <c r="G130" s="211">
        <f t="shared" si="16"/>
        <v>0</v>
      </c>
      <c r="H130" s="211">
        <f t="shared" si="16"/>
        <v>0</v>
      </c>
      <c r="I130" s="211">
        <f t="shared" si="16"/>
        <v>0</v>
      </c>
      <c r="J130" s="211">
        <f t="shared" si="16"/>
        <v>0</v>
      </c>
      <c r="K130" s="211">
        <f t="shared" si="16"/>
        <v>0</v>
      </c>
      <c r="L130" s="211">
        <f t="shared" si="16"/>
        <v>0</v>
      </c>
      <c r="M130" s="211">
        <f t="shared" si="16"/>
        <v>0</v>
      </c>
      <c r="N130" s="211">
        <f t="shared" si="16"/>
        <v>0</v>
      </c>
      <c r="O130" s="211">
        <f t="shared" si="16"/>
        <v>0</v>
      </c>
    </row>
    <row r="131" spans="2:15">
      <c r="B131" s="210" t="s">
        <v>131</v>
      </c>
      <c r="C131" s="211">
        <f t="shared" si="16"/>
        <v>2188.3044850000001</v>
      </c>
      <c r="D131" s="211">
        <f t="shared" si="16"/>
        <v>1086.83896</v>
      </c>
      <c r="E131" s="211">
        <f t="shared" si="16"/>
        <v>1649.4189409999999</v>
      </c>
      <c r="F131" s="211">
        <f t="shared" si="16"/>
        <v>2864.730763</v>
      </c>
      <c r="G131" s="211">
        <f t="shared" si="16"/>
        <v>2004.776314</v>
      </c>
      <c r="H131" s="211">
        <f t="shared" si="16"/>
        <v>3136.247484</v>
      </c>
      <c r="I131" s="211">
        <f t="shared" si="16"/>
        <v>3024.7339200000001</v>
      </c>
      <c r="J131" s="211">
        <f t="shared" si="16"/>
        <v>3325.1444550000001</v>
      </c>
      <c r="K131" s="211">
        <f t="shared" si="16"/>
        <v>4296.9849320000003</v>
      </c>
      <c r="L131" s="211">
        <f t="shared" si="16"/>
        <v>3806.1083130000002</v>
      </c>
      <c r="M131" s="211">
        <f t="shared" si="16"/>
        <v>5697.6167089999999</v>
      </c>
      <c r="N131" s="211">
        <f t="shared" si="16"/>
        <v>4500.3505590000004</v>
      </c>
      <c r="O131" s="211">
        <f t="shared" si="16"/>
        <v>5197.2192379999997</v>
      </c>
    </row>
    <row r="132" spans="2:15">
      <c r="B132" s="210" t="s">
        <v>5</v>
      </c>
      <c r="C132" s="211">
        <f t="shared" si="16"/>
        <v>7019.2756399999998</v>
      </c>
      <c r="D132" s="211">
        <f t="shared" si="16"/>
        <v>6236.045451</v>
      </c>
      <c r="E132" s="211">
        <f t="shared" si="16"/>
        <v>5521.6130549999998</v>
      </c>
      <c r="F132" s="211">
        <f t="shared" si="16"/>
        <v>4041.8016459999999</v>
      </c>
      <c r="G132" s="211">
        <f t="shared" si="16"/>
        <v>4620.8358829999997</v>
      </c>
      <c r="H132" s="211">
        <f t="shared" si="16"/>
        <v>3533.4356429999998</v>
      </c>
      <c r="I132" s="211">
        <f t="shared" si="16"/>
        <v>4121.6008309999997</v>
      </c>
      <c r="J132" s="211">
        <f t="shared" si="16"/>
        <v>3597.0922369999998</v>
      </c>
      <c r="K132" s="211">
        <f t="shared" si="16"/>
        <v>3123.0617010000001</v>
      </c>
      <c r="L132" s="211">
        <f t="shared" si="16"/>
        <v>4229.363085</v>
      </c>
      <c r="M132" s="211">
        <f t="shared" si="16"/>
        <v>6318.0829219999996</v>
      </c>
      <c r="N132" s="211">
        <f t="shared" si="16"/>
        <v>6812.815904</v>
      </c>
      <c r="O132" s="211">
        <f t="shared" si="16"/>
        <v>5352.3177050000004</v>
      </c>
    </row>
    <row r="133" spans="2:15">
      <c r="B133" s="210" t="s">
        <v>132</v>
      </c>
      <c r="C133" s="211">
        <f t="shared" si="16"/>
        <v>823.15754800000002</v>
      </c>
      <c r="D133" s="211">
        <f t="shared" si="16"/>
        <v>946.13011200000005</v>
      </c>
      <c r="E133" s="211">
        <f t="shared" si="16"/>
        <v>1649.2322059999999</v>
      </c>
      <c r="F133" s="211">
        <f t="shared" si="16"/>
        <v>1626.286437</v>
      </c>
      <c r="G133" s="211">
        <f t="shared" si="16"/>
        <v>2337.876855</v>
      </c>
      <c r="H133" s="211">
        <f t="shared" si="16"/>
        <v>2276.176676</v>
      </c>
      <c r="I133" s="211">
        <f t="shared" si="16"/>
        <v>2563.3711840000001</v>
      </c>
      <c r="J133" s="211">
        <f t="shared" si="16"/>
        <v>2342.001773</v>
      </c>
      <c r="K133" s="211">
        <f t="shared" si="16"/>
        <v>1881.418173</v>
      </c>
      <c r="L133" s="211">
        <f t="shared" si="16"/>
        <v>1726.4504890000001</v>
      </c>
      <c r="M133" s="211">
        <f t="shared" si="16"/>
        <v>1304.1826659999999</v>
      </c>
      <c r="N133" s="211">
        <f t="shared" si="16"/>
        <v>988.84680000000003</v>
      </c>
      <c r="O133" s="211">
        <f t="shared" si="16"/>
        <v>1515.5292179999999</v>
      </c>
    </row>
    <row r="134" spans="2:15">
      <c r="B134" s="210" t="s">
        <v>133</v>
      </c>
      <c r="C134" s="211">
        <f t="shared" si="16"/>
        <v>102.634029</v>
      </c>
      <c r="D134" s="211">
        <f t="shared" si="16"/>
        <v>138.18132700000001</v>
      </c>
      <c r="E134" s="211">
        <f t="shared" si="16"/>
        <v>355.01542699999999</v>
      </c>
      <c r="F134" s="211">
        <f t="shared" si="16"/>
        <v>266.78751899999997</v>
      </c>
      <c r="G134" s="211">
        <f t="shared" si="16"/>
        <v>645.59745699999996</v>
      </c>
      <c r="H134" s="211">
        <f t="shared" si="16"/>
        <v>655.36365000000001</v>
      </c>
      <c r="I134" s="211">
        <f t="shared" si="16"/>
        <v>828.49249399999997</v>
      </c>
      <c r="J134" s="211">
        <f t="shared" si="16"/>
        <v>661.44510200000002</v>
      </c>
      <c r="K134" s="211">
        <f t="shared" si="16"/>
        <v>447.44465700000001</v>
      </c>
      <c r="L134" s="211">
        <f t="shared" si="16"/>
        <v>328.14902799999999</v>
      </c>
      <c r="M134" s="211">
        <f t="shared" si="16"/>
        <v>172.42607599999999</v>
      </c>
      <c r="N134" s="211">
        <f t="shared" si="16"/>
        <v>103.956001</v>
      </c>
      <c r="O134" s="211">
        <f t="shared" si="16"/>
        <v>170.90533300000001</v>
      </c>
    </row>
    <row r="135" spans="2:15">
      <c r="B135" s="210" t="s">
        <v>9</v>
      </c>
      <c r="C135" s="211">
        <f t="shared" si="16"/>
        <v>2401.1708629999998</v>
      </c>
      <c r="D135" s="211">
        <f t="shared" si="16"/>
        <v>1834.5240309999999</v>
      </c>
      <c r="E135" s="211">
        <f t="shared" si="16"/>
        <v>2248.6531970000001</v>
      </c>
      <c r="F135" s="211">
        <f t="shared" si="16"/>
        <v>2189.3046859999999</v>
      </c>
      <c r="G135" s="211">
        <f t="shared" si="16"/>
        <v>2202.0104940000001</v>
      </c>
      <c r="H135" s="211">
        <f t="shared" si="16"/>
        <v>2182.4178189999998</v>
      </c>
      <c r="I135" s="211">
        <f t="shared" si="16"/>
        <v>2240.5457550000001</v>
      </c>
      <c r="J135" s="211">
        <f t="shared" si="16"/>
        <v>2101.175643</v>
      </c>
      <c r="K135" s="211">
        <f t="shared" si="16"/>
        <v>2159.0921499999999</v>
      </c>
      <c r="L135" s="211">
        <f t="shared" si="16"/>
        <v>2138.1116240000001</v>
      </c>
      <c r="M135" s="211">
        <f t="shared" si="16"/>
        <v>2172.6161619999998</v>
      </c>
      <c r="N135" s="211">
        <f t="shared" si="16"/>
        <v>2179.9598230000001</v>
      </c>
      <c r="O135" s="211">
        <f t="shared" si="16"/>
        <v>2170.2505030000002</v>
      </c>
    </row>
    <row r="136" spans="2:15">
      <c r="B136" s="210" t="s">
        <v>134</v>
      </c>
      <c r="C136" s="211">
        <f t="shared" si="16"/>
        <v>175.14184499999999</v>
      </c>
      <c r="D136" s="211">
        <f t="shared" si="16"/>
        <v>161.44275200000001</v>
      </c>
      <c r="E136" s="211">
        <f t="shared" si="16"/>
        <v>173.707269</v>
      </c>
      <c r="F136" s="211">
        <f t="shared" si="16"/>
        <v>170.05904150000001</v>
      </c>
      <c r="G136" s="211">
        <f t="shared" si="16"/>
        <v>170.74740800000001</v>
      </c>
      <c r="H136" s="211">
        <f t="shared" si="16"/>
        <v>182.66502349999999</v>
      </c>
      <c r="I136" s="211">
        <f t="shared" si="16"/>
        <v>193.1337345</v>
      </c>
      <c r="J136" s="211">
        <f t="shared" si="16"/>
        <v>198.4023795</v>
      </c>
      <c r="K136" s="211">
        <f t="shared" si="16"/>
        <v>167.38102850000001</v>
      </c>
      <c r="L136" s="211">
        <f t="shared" si="16"/>
        <v>179.049938</v>
      </c>
      <c r="M136" s="211">
        <f t="shared" si="16"/>
        <v>164.8067685</v>
      </c>
      <c r="N136" s="211">
        <f t="shared" si="16"/>
        <v>171.82050699999999</v>
      </c>
      <c r="O136" s="211">
        <f t="shared" si="16"/>
        <v>159.55676600000001</v>
      </c>
    </row>
    <row r="137" spans="2:15">
      <c r="B137" s="210" t="s">
        <v>135</v>
      </c>
      <c r="C137" s="211">
        <f t="shared" si="16"/>
        <v>52.060037999999999</v>
      </c>
      <c r="D137" s="211">
        <f t="shared" si="16"/>
        <v>57.768275000000003</v>
      </c>
      <c r="E137" s="211">
        <f t="shared" si="16"/>
        <v>61.963368000000003</v>
      </c>
      <c r="F137" s="211">
        <f t="shared" si="16"/>
        <v>66.322567500000005</v>
      </c>
      <c r="G137" s="211">
        <f t="shared" si="16"/>
        <v>53.009402999999999</v>
      </c>
      <c r="H137" s="211">
        <f t="shared" si="16"/>
        <v>65.533088500000005</v>
      </c>
      <c r="I137" s="211">
        <f t="shared" si="16"/>
        <v>70.069195500000006</v>
      </c>
      <c r="J137" s="211">
        <f t="shared" si="16"/>
        <v>67.951940500000006</v>
      </c>
      <c r="K137" s="211">
        <f t="shared" si="16"/>
        <v>55.639892500000002</v>
      </c>
      <c r="L137" s="211">
        <f t="shared" si="16"/>
        <v>61.837724000000001</v>
      </c>
      <c r="M137" s="211">
        <f t="shared" si="16"/>
        <v>65.901263499999999</v>
      </c>
      <c r="N137" s="211">
        <f t="shared" si="16"/>
        <v>72.807829999999996</v>
      </c>
      <c r="O137" s="211">
        <f t="shared" si="16"/>
        <v>68.975128999999995</v>
      </c>
    </row>
    <row r="138" spans="2:15">
      <c r="B138" s="210" t="s">
        <v>136</v>
      </c>
      <c r="C138" s="211">
        <f t="shared" si="16"/>
        <v>390.17391600000002</v>
      </c>
      <c r="D138" s="211">
        <f t="shared" si="16"/>
        <v>364.41521899999998</v>
      </c>
      <c r="E138" s="211">
        <f t="shared" si="16"/>
        <v>358.41619500000002</v>
      </c>
      <c r="F138" s="211">
        <f t="shared" si="16"/>
        <v>391.394882</v>
      </c>
      <c r="G138" s="211">
        <f t="shared" si="16"/>
        <v>390.09045800000001</v>
      </c>
      <c r="H138" s="211">
        <f t="shared" si="16"/>
        <v>357.15935500000001</v>
      </c>
      <c r="I138" s="211">
        <f t="shared" si="16"/>
        <v>351.79724199999998</v>
      </c>
      <c r="J138" s="211">
        <f t="shared" si="16"/>
        <v>409.84376200000003</v>
      </c>
      <c r="K138" s="211">
        <f t="shared" si="16"/>
        <v>395.48078299999997</v>
      </c>
      <c r="L138" s="211">
        <f t="shared" si="16"/>
        <v>431.37135699999999</v>
      </c>
      <c r="M138" s="211">
        <f t="shared" si="16"/>
        <v>433.10227200000003</v>
      </c>
      <c r="N138" s="211">
        <f t="shared" si="16"/>
        <v>434.32822099999998</v>
      </c>
      <c r="O138" s="211">
        <f t="shared" si="16"/>
        <v>428.36274100000003</v>
      </c>
    </row>
    <row r="139" spans="2:15">
      <c r="B139" s="210" t="s">
        <v>137</v>
      </c>
      <c r="C139" s="211">
        <f t="shared" si="16"/>
        <v>23287.744394589994</v>
      </c>
      <c r="D139" s="211">
        <f t="shared" si="16"/>
        <v>20279.303541913996</v>
      </c>
      <c r="E139" s="211">
        <f t="shared" si="16"/>
        <v>21138.535882622</v>
      </c>
      <c r="F139" s="211">
        <f t="shared" si="16"/>
        <v>18981.208081104</v>
      </c>
      <c r="G139" s="211">
        <f t="shared" si="16"/>
        <v>19527.082811024004</v>
      </c>
      <c r="H139" s="211">
        <f t="shared" si="16"/>
        <v>18790.501991015997</v>
      </c>
      <c r="I139" s="211">
        <f t="shared" si="16"/>
        <v>21137.838781809998</v>
      </c>
      <c r="J139" s="211">
        <f t="shared" si="16"/>
        <v>20213.458366436</v>
      </c>
      <c r="K139" s="211">
        <f t="shared" si="16"/>
        <v>19406.958833196</v>
      </c>
      <c r="L139" s="211">
        <f t="shared" si="16"/>
        <v>19429.617165362004</v>
      </c>
      <c r="M139" s="211">
        <f t="shared" si="16"/>
        <v>21863.866866413995</v>
      </c>
      <c r="N139" s="211">
        <f t="shared" si="16"/>
        <v>22697.549147543999</v>
      </c>
      <c r="O139" s="211">
        <f t="shared" si="16"/>
        <v>23107.724675704001</v>
      </c>
    </row>
    <row r="140" spans="2:15">
      <c r="B140" s="210" t="s">
        <v>138</v>
      </c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</row>
    <row r="141" spans="2:15">
      <c r="B141" s="210" t="s">
        <v>139</v>
      </c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</row>
    <row r="142" spans="2:15">
      <c r="B142" s="210" t="s">
        <v>140</v>
      </c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</row>
    <row r="143" spans="2:15">
      <c r="B143" s="212" t="s">
        <v>141</v>
      </c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</row>
    <row r="145" spans="2:15">
      <c r="B145" s="214" t="s">
        <v>17</v>
      </c>
      <c r="C145" s="215">
        <f>SUM(C126,C132:C134,C137:C138)</f>
        <v>12444.350328181999</v>
      </c>
      <c r="D145" s="215">
        <f t="shared" ref="D145:N145" si="17">SUM(D126,D132:D134,D137:D138)</f>
        <v>12259.884330948002</v>
      </c>
      <c r="E145" s="215">
        <f t="shared" si="17"/>
        <v>11659.919330080002</v>
      </c>
      <c r="F145" s="215">
        <f t="shared" si="17"/>
        <v>9135.1600846319998</v>
      </c>
      <c r="G145" s="215">
        <f t="shared" si="17"/>
        <v>10204.121572960001</v>
      </c>
      <c r="H145" s="215">
        <f t="shared" si="17"/>
        <v>9067.0911969280005</v>
      </c>
      <c r="I145" s="215">
        <f t="shared" si="17"/>
        <v>10141.887676278</v>
      </c>
      <c r="J145" s="215">
        <f t="shared" si="17"/>
        <v>8958.3186266619996</v>
      </c>
      <c r="K145" s="215">
        <f t="shared" si="17"/>
        <v>7296.8285382400009</v>
      </c>
      <c r="L145" s="215">
        <f t="shared" si="17"/>
        <v>7797.6515401399993</v>
      </c>
      <c r="M145" s="215">
        <f t="shared" si="17"/>
        <v>9486.245382011999</v>
      </c>
      <c r="N145" s="215">
        <f t="shared" si="17"/>
        <v>10931.550719503999</v>
      </c>
      <c r="O145" s="215">
        <f>SUM(O126,O132:O134,O137:O138)</f>
        <v>9606.3295599440025</v>
      </c>
    </row>
    <row r="146" spans="2:15">
      <c r="B146" s="212" t="s">
        <v>16</v>
      </c>
      <c r="C146" s="213">
        <f>SUM(C127:C131,C135:C136)</f>
        <v>10843.394066408</v>
      </c>
      <c r="D146" s="213">
        <f t="shared" ref="D146:O146" si="18">SUM(D127:D131,D135:D136)</f>
        <v>8019.4192109659998</v>
      </c>
      <c r="E146" s="213">
        <f t="shared" si="18"/>
        <v>9478.6165525420001</v>
      </c>
      <c r="F146" s="213">
        <f t="shared" si="18"/>
        <v>9846.0479964719998</v>
      </c>
      <c r="G146" s="213">
        <f t="shared" si="18"/>
        <v>9322.9612380639992</v>
      </c>
      <c r="H146" s="213">
        <f t="shared" si="18"/>
        <v>9723.4107940880003</v>
      </c>
      <c r="I146" s="213">
        <f t="shared" si="18"/>
        <v>10995.951105532</v>
      </c>
      <c r="J146" s="213">
        <f t="shared" si="18"/>
        <v>11255.139739774</v>
      </c>
      <c r="K146" s="213">
        <f t="shared" si="18"/>
        <v>12110.130294956001</v>
      </c>
      <c r="L146" s="213">
        <f t="shared" si="18"/>
        <v>11631.965625222001</v>
      </c>
      <c r="M146" s="213">
        <f t="shared" si="18"/>
        <v>12377.621484402</v>
      </c>
      <c r="N146" s="213">
        <f t="shared" si="18"/>
        <v>11765.998428040002</v>
      </c>
      <c r="O146" s="213">
        <f t="shared" si="18"/>
        <v>13501.39511576</v>
      </c>
    </row>
    <row r="148" spans="2:15">
      <c r="B148" s="214" t="s">
        <v>17</v>
      </c>
      <c r="C148" s="216">
        <f>SUM(C126/SUM(C145:C146)*100,C132/SUM(C145:C146)*100,C133/SUM(C145:C146)*100,C134/SUM(C145:C146)*100,C137/SUM(C145:C146)*100,C138/SUM(C145:C146)*100)</f>
        <v>53.437336469018277</v>
      </c>
      <c r="D148" s="216">
        <f t="shared" ref="D148:I148" si="19">SUM(D126/SUM(D145:D146)*100,D132/SUM(D145:D146)*100,D133/SUM(D145:D146)*100,D134/SUM(D145:D146)*100,D137/SUM(D145:D146)*100,D138/SUM(D145:D146)*100)</f>
        <v>60.455154712827422</v>
      </c>
      <c r="E148" s="216">
        <f t="shared" si="19"/>
        <v>55.159540825462862</v>
      </c>
      <c r="F148" s="216">
        <f t="shared" si="19"/>
        <v>48.127390235641286</v>
      </c>
      <c r="G148" s="216">
        <f t="shared" si="19"/>
        <v>52.256251851399284</v>
      </c>
      <c r="H148" s="216">
        <f t="shared" si="19"/>
        <v>48.253586845434477</v>
      </c>
      <c r="I148" s="216">
        <f t="shared" si="19"/>
        <v>47.979775893671409</v>
      </c>
      <c r="J148" s="216">
        <f>SUM(J126/SUM(J145:J146)*100,J132/SUM(J145:J146)*100,J133/SUM(J145:J146)*100,J134/SUM(J145:J146)*100,J137/SUM(J145:J146)*100,J138/SUM(J145:J146)*100)</f>
        <v>44.318584500795225</v>
      </c>
      <c r="K148" s="216">
        <f t="shared" ref="K148:O148" si="20">SUM(K126/SUM(K145:K146)*100,K132/SUM(K145:K146)*100,K133/SUM(K145:K146)*100,K134/SUM(K145:K146)*100,K137/SUM(K145:K146)*100,K138/SUM(K145:K146)*100)</f>
        <v>37.599031362701837</v>
      </c>
      <c r="L148" s="216">
        <f t="shared" si="20"/>
        <v>40.132811026463266</v>
      </c>
      <c r="M148" s="216">
        <f t="shared" si="20"/>
        <v>43.387775090161291</v>
      </c>
      <c r="N148" s="216">
        <f t="shared" si="20"/>
        <v>48.161810988684891</v>
      </c>
      <c r="O148" s="216">
        <f t="shared" si="20"/>
        <v>41.571940529671963</v>
      </c>
    </row>
    <row r="149" spans="2:15">
      <c r="B149" s="212" t="s">
        <v>16</v>
      </c>
      <c r="C149" s="298">
        <f t="shared" ref="C149" si="21">100-C148</f>
        <v>46.562663530981723</v>
      </c>
      <c r="D149" s="298">
        <f t="shared" ref="D149:J149" si="22">100-D148</f>
        <v>39.544845287172578</v>
      </c>
      <c r="E149" s="298">
        <f t="shared" si="22"/>
        <v>44.840459174537138</v>
      </c>
      <c r="F149" s="298">
        <f t="shared" si="22"/>
        <v>51.872609764358714</v>
      </c>
      <c r="G149" s="298">
        <f t="shared" si="22"/>
        <v>47.743748148600716</v>
      </c>
      <c r="H149" s="298">
        <f t="shared" si="22"/>
        <v>51.746413154565523</v>
      </c>
      <c r="I149" s="298">
        <f t="shared" si="22"/>
        <v>52.020224106328591</v>
      </c>
      <c r="J149" s="298">
        <f t="shared" si="22"/>
        <v>55.681415499204775</v>
      </c>
      <c r="K149" s="298">
        <f t="shared" ref="K149:O149" si="23">100-K148</f>
        <v>62.400968637298163</v>
      </c>
      <c r="L149" s="298">
        <f t="shared" si="23"/>
        <v>59.867188973536734</v>
      </c>
      <c r="M149" s="298">
        <f t="shared" si="23"/>
        <v>56.612224909838709</v>
      </c>
      <c r="N149" s="298">
        <f t="shared" si="23"/>
        <v>51.838189011315109</v>
      </c>
      <c r="O149" s="298">
        <f t="shared" si="23"/>
        <v>58.428059470328037</v>
      </c>
    </row>
    <row r="153" spans="2:15">
      <c r="B153" s="149" t="s">
        <v>24</v>
      </c>
    </row>
    <row r="154" spans="2:15">
      <c r="B154" s="214"/>
      <c r="C154" s="214"/>
      <c r="D154" s="332" t="s">
        <v>22</v>
      </c>
      <c r="E154" s="332" t="s">
        <v>23</v>
      </c>
    </row>
    <row r="155" spans="2:15">
      <c r="B155" s="212" t="s">
        <v>144</v>
      </c>
      <c r="C155" s="212" t="s">
        <v>145</v>
      </c>
      <c r="D155" s="333"/>
      <c r="E155" s="333"/>
    </row>
    <row r="156" spans="2:15">
      <c r="B156" s="220">
        <f>DATE(YEAR(Dat_01!B$2),MONTH(Dat_01!B$2),Dat_01!A180)</f>
        <v>44562</v>
      </c>
      <c r="C156" s="210">
        <f>Dat_01!A180</f>
        <v>1</v>
      </c>
      <c r="D156" s="221">
        <f>Dat_01!W180</f>
        <v>139.41063399999999</v>
      </c>
      <c r="E156" s="222">
        <f>Dat_01!V180</f>
        <v>26.558100422750574</v>
      </c>
    </row>
    <row r="157" spans="2:15">
      <c r="B157" s="220">
        <f>DATE(YEAR(Dat_01!B$2),MONTH(Dat_01!B$2),Dat_01!A181)</f>
        <v>44563</v>
      </c>
      <c r="C157" s="210">
        <f>Dat_01!A181</f>
        <v>2</v>
      </c>
      <c r="D157" s="221">
        <f>Dat_01!W181</f>
        <v>103.22410799999999</v>
      </c>
      <c r="E157" s="222">
        <f>Dat_01!V181</f>
        <v>18.805347010531062</v>
      </c>
    </row>
    <row r="158" spans="2:15">
      <c r="B158" s="220">
        <f>DATE(YEAR(Dat_01!B$2),MONTH(Dat_01!B$2),Dat_01!A182)</f>
        <v>44564</v>
      </c>
      <c r="C158" s="210">
        <f>Dat_01!A182</f>
        <v>3</v>
      </c>
      <c r="D158" s="221">
        <f>Dat_01!W182</f>
        <v>151.45857500000002</v>
      </c>
      <c r="E158" s="222">
        <f>Dat_01!V182</f>
        <v>23.991953079088209</v>
      </c>
    </row>
    <row r="159" spans="2:15">
      <c r="B159" s="220">
        <f>DATE(YEAR(Dat_01!B$2),MONTH(Dat_01!B$2),Dat_01!A183)</f>
        <v>44565</v>
      </c>
      <c r="C159" s="210">
        <f>Dat_01!A183</f>
        <v>4</v>
      </c>
      <c r="D159" s="221">
        <f>Dat_01!W183</f>
        <v>302.57981100000001</v>
      </c>
      <c r="E159" s="222">
        <f>Dat_01!V183</f>
        <v>41.800087672501903</v>
      </c>
    </row>
    <row r="160" spans="2:15">
      <c r="B160" s="220">
        <f>DATE(YEAR(Dat_01!B$2),MONTH(Dat_01!B$2),Dat_01!A184)</f>
        <v>44566</v>
      </c>
      <c r="C160" s="210">
        <f>Dat_01!A184</f>
        <v>5</v>
      </c>
      <c r="D160" s="221">
        <f>Dat_01!W184</f>
        <v>288.11639100000002</v>
      </c>
      <c r="E160" s="222">
        <f>Dat_01!V184</f>
        <v>39.516072661553906</v>
      </c>
    </row>
    <row r="161" spans="2:5">
      <c r="B161" s="220">
        <f>DATE(YEAR(Dat_01!B$2),MONTH(Dat_01!B$2),Dat_01!A185)</f>
        <v>44567</v>
      </c>
      <c r="C161" s="210">
        <f>Dat_01!A185</f>
        <v>6</v>
      </c>
      <c r="D161" s="221">
        <f>Dat_01!W185</f>
        <v>195.94681899999998</v>
      </c>
      <c r="E161" s="222">
        <f>Dat_01!V185</f>
        <v>29.949975269337354</v>
      </c>
    </row>
    <row r="162" spans="2:5">
      <c r="B162" s="220">
        <f>DATE(YEAR(Dat_01!B$2),MONTH(Dat_01!B$2),Dat_01!A186)</f>
        <v>44568</v>
      </c>
      <c r="C162" s="210">
        <f>Dat_01!A186</f>
        <v>7</v>
      </c>
      <c r="D162" s="221">
        <f>Dat_01!W186</f>
        <v>208.094853</v>
      </c>
      <c r="E162" s="222">
        <f>Dat_01!V186</f>
        <v>29.221460081025668</v>
      </c>
    </row>
    <row r="163" spans="2:5">
      <c r="B163" s="220">
        <f>DATE(YEAR(Dat_01!B$2),MONTH(Dat_01!B$2),Dat_01!A187)</f>
        <v>44569</v>
      </c>
      <c r="C163" s="210">
        <f>Dat_01!A187</f>
        <v>8</v>
      </c>
      <c r="D163" s="221">
        <f>Dat_01!W187</f>
        <v>261.84683200000001</v>
      </c>
      <c r="E163" s="222">
        <f>Dat_01!V187</f>
        <v>39.002527112518052</v>
      </c>
    </row>
    <row r="164" spans="2:5">
      <c r="B164" s="220">
        <f>DATE(YEAR(Dat_01!B$2),MONTH(Dat_01!B$2),Dat_01!A188)</f>
        <v>44570</v>
      </c>
      <c r="C164" s="210">
        <f>Dat_01!A188</f>
        <v>9</v>
      </c>
      <c r="D164" s="221">
        <f>Dat_01!W188</f>
        <v>392.653907</v>
      </c>
      <c r="E164" s="222">
        <f>Dat_01!V188</f>
        <v>50.472066154559933</v>
      </c>
    </row>
    <row r="165" spans="2:5">
      <c r="B165" s="220">
        <f>DATE(YEAR(Dat_01!B$2),MONTH(Dat_01!B$2),Dat_01!A189)</f>
        <v>44571</v>
      </c>
      <c r="C165" s="210">
        <f>Dat_01!A189</f>
        <v>10</v>
      </c>
      <c r="D165" s="221">
        <f>Dat_01!W189</f>
        <v>306.26218699999998</v>
      </c>
      <c r="E165" s="222">
        <f>Dat_01!V189</f>
        <v>37.163557229798997</v>
      </c>
    </row>
    <row r="166" spans="2:5">
      <c r="B166" s="220">
        <f>DATE(YEAR(Dat_01!B$2),MONTH(Dat_01!B$2),Dat_01!A190)</f>
        <v>44572</v>
      </c>
      <c r="C166" s="210">
        <f>Dat_01!A190</f>
        <v>11</v>
      </c>
      <c r="D166" s="221">
        <f>Dat_01!W190</f>
        <v>243.33495199999999</v>
      </c>
      <c r="E166" s="222">
        <f>Dat_01!V190</f>
        <v>30.28958416106089</v>
      </c>
    </row>
    <row r="167" spans="2:5">
      <c r="B167" s="220">
        <f>DATE(YEAR(Dat_01!B$2),MONTH(Dat_01!B$2),Dat_01!A191)</f>
        <v>44573</v>
      </c>
      <c r="C167" s="210">
        <f>Dat_01!A191</f>
        <v>12</v>
      </c>
      <c r="D167" s="221">
        <f>Dat_01!W191</f>
        <v>262.76924200000002</v>
      </c>
      <c r="E167" s="222">
        <f>Dat_01!V191</f>
        <v>31.735936751671328</v>
      </c>
    </row>
    <row r="168" spans="2:5">
      <c r="B168" s="220">
        <f>DATE(YEAR(Dat_01!B$2),MONTH(Dat_01!B$2),Dat_01!A192)</f>
        <v>44574</v>
      </c>
      <c r="C168" s="210">
        <f>Dat_01!A192</f>
        <v>13</v>
      </c>
      <c r="D168" s="221">
        <f>Dat_01!W192</f>
        <v>128.97747000000001</v>
      </c>
      <c r="E168" s="222">
        <f>Dat_01!V192</f>
        <v>16.059967374360106</v>
      </c>
    </row>
    <row r="169" spans="2:5">
      <c r="B169" s="220">
        <f>DATE(YEAR(Dat_01!B$2),MONTH(Dat_01!B$2),Dat_01!A193)</f>
        <v>44575</v>
      </c>
      <c r="C169" s="210">
        <f>Dat_01!A193</f>
        <v>14</v>
      </c>
      <c r="D169" s="221">
        <f>Dat_01!W193</f>
        <v>84.028486999999998</v>
      </c>
      <c r="E169" s="222">
        <f>Dat_01!V193</f>
        <v>10.418536003857932</v>
      </c>
    </row>
    <row r="170" spans="2:5">
      <c r="B170" s="220">
        <f>DATE(YEAR(Dat_01!B$2),MONTH(Dat_01!B$2),Dat_01!A194)</f>
        <v>44576</v>
      </c>
      <c r="C170" s="210">
        <f>Dat_01!A194</f>
        <v>15</v>
      </c>
      <c r="D170" s="221">
        <f>Dat_01!W194</f>
        <v>62.010108000000002</v>
      </c>
      <c r="E170" s="222">
        <f>Dat_01!V194</f>
        <v>9.0930692733217278</v>
      </c>
    </row>
    <row r="171" spans="2:5">
      <c r="B171" s="220">
        <f>DATE(YEAR(Dat_01!B$2),MONTH(Dat_01!B$2),Dat_01!A195)</f>
        <v>44577</v>
      </c>
      <c r="C171" s="210">
        <f>Dat_01!A195</f>
        <v>16</v>
      </c>
      <c r="D171" s="221">
        <f>Dat_01!W195</f>
        <v>64.099561000000008</v>
      </c>
      <c r="E171" s="222">
        <f>Dat_01!V195</f>
        <v>9.7357595041744993</v>
      </c>
    </row>
    <row r="172" spans="2:5">
      <c r="B172" s="220">
        <f>DATE(YEAR(Dat_01!B$2),MONTH(Dat_01!B$2),Dat_01!A196)</f>
        <v>44578</v>
      </c>
      <c r="C172" s="210">
        <f>Dat_01!A196</f>
        <v>17</v>
      </c>
      <c r="D172" s="221">
        <f>Dat_01!W196</f>
        <v>76.092447000000007</v>
      </c>
      <c r="E172" s="222">
        <f>Dat_01!V196</f>
        <v>9.5679095346114131</v>
      </c>
    </row>
    <row r="173" spans="2:5">
      <c r="B173" s="220">
        <f>DATE(YEAR(Dat_01!B$2),MONTH(Dat_01!B$2),Dat_01!A197)</f>
        <v>44579</v>
      </c>
      <c r="C173" s="210">
        <f>Dat_01!A197</f>
        <v>18</v>
      </c>
      <c r="D173" s="221">
        <f>Dat_01!W197</f>
        <v>50.593656000000003</v>
      </c>
      <c r="E173" s="222">
        <f>Dat_01!V197</f>
        <v>6.1041602740302761</v>
      </c>
    </row>
    <row r="174" spans="2:5">
      <c r="B174" s="220">
        <f>DATE(YEAR(Dat_01!B$2),MONTH(Dat_01!B$2),Dat_01!A198)</f>
        <v>44580</v>
      </c>
      <c r="C174" s="210">
        <f>Dat_01!A198</f>
        <v>19</v>
      </c>
      <c r="D174" s="221">
        <f>Dat_01!W198</f>
        <v>95.962306999999996</v>
      </c>
      <c r="E174" s="222">
        <f>Dat_01!V198</f>
        <v>11.591900111536521</v>
      </c>
    </row>
    <row r="175" spans="2:5">
      <c r="B175" s="220">
        <f>DATE(YEAR(Dat_01!B$2),MONTH(Dat_01!B$2),Dat_01!A199)</f>
        <v>44581</v>
      </c>
      <c r="C175" s="210">
        <f>Dat_01!A199</f>
        <v>20</v>
      </c>
      <c r="D175" s="221">
        <f>Dat_01!W199</f>
        <v>208.363843</v>
      </c>
      <c r="E175" s="222">
        <f>Dat_01!V199</f>
        <v>24.657513474554595</v>
      </c>
    </row>
    <row r="176" spans="2:5">
      <c r="B176" s="220">
        <f>DATE(YEAR(Dat_01!B$2),MONTH(Dat_01!B$2),Dat_01!A200)</f>
        <v>44582</v>
      </c>
      <c r="C176" s="210">
        <f>Dat_01!A200</f>
        <v>21</v>
      </c>
      <c r="D176" s="221">
        <f>Dat_01!W200</f>
        <v>307.49030300000004</v>
      </c>
      <c r="E176" s="222">
        <f>Dat_01!V200</f>
        <v>35.978536059581657</v>
      </c>
    </row>
    <row r="177" spans="2:27">
      <c r="B177" s="220">
        <f>DATE(YEAR(Dat_01!B$2),MONTH(Dat_01!B$2),Dat_01!A201)</f>
        <v>44583</v>
      </c>
      <c r="C177" s="210">
        <f>Dat_01!A201</f>
        <v>22</v>
      </c>
      <c r="D177" s="221">
        <f>Dat_01!W201</f>
        <v>174.685461</v>
      </c>
      <c r="E177" s="222">
        <f>Dat_01!V201</f>
        <v>23.360942483702111</v>
      </c>
    </row>
    <row r="178" spans="2:27">
      <c r="B178" s="220">
        <f>DATE(YEAR(Dat_01!B$2),MONTH(Dat_01!B$2),Dat_01!A202)</f>
        <v>44584</v>
      </c>
      <c r="C178" s="210">
        <f>Dat_01!A202</f>
        <v>23</v>
      </c>
      <c r="D178" s="221">
        <f>Dat_01!W202</f>
        <v>95.040397999999996</v>
      </c>
      <c r="E178" s="222">
        <f>Dat_01!V202</f>
        <v>13.942641056968766</v>
      </c>
    </row>
    <row r="179" spans="2:27">
      <c r="B179" s="220">
        <f>DATE(YEAR(Dat_01!B$2),MONTH(Dat_01!B$2),Dat_01!A203)</f>
        <v>44585</v>
      </c>
      <c r="C179" s="210">
        <f>Dat_01!A203</f>
        <v>24</v>
      </c>
      <c r="D179" s="221">
        <f>Dat_01!W203</f>
        <v>82.144214000000005</v>
      </c>
      <c r="E179" s="222">
        <f>Dat_01!V203</f>
        <v>10.099304977873185</v>
      </c>
    </row>
    <row r="180" spans="2:27">
      <c r="B180" s="220">
        <f>DATE(YEAR(Dat_01!B$2),MONTH(Dat_01!B$2),Dat_01!A204)</f>
        <v>44586</v>
      </c>
      <c r="C180" s="210">
        <f>Dat_01!A204</f>
        <v>25</v>
      </c>
      <c r="D180" s="221">
        <f>Dat_01!W204</f>
        <v>99.789788000000001</v>
      </c>
      <c r="E180" s="222">
        <f>Dat_01!V204</f>
        <v>12.139189437498848</v>
      </c>
    </row>
    <row r="181" spans="2:27">
      <c r="B181" s="220">
        <f>DATE(YEAR(Dat_01!B$2),MONTH(Dat_01!B$2),Dat_01!A205)</f>
        <v>44587</v>
      </c>
      <c r="C181" s="210">
        <f>Dat_01!A205</f>
        <v>26</v>
      </c>
      <c r="D181" s="221">
        <f>Dat_01!W205</f>
        <v>122.86361100000001</v>
      </c>
      <c r="E181" s="222">
        <f>Dat_01!V205</f>
        <v>14.745606270322483</v>
      </c>
    </row>
    <row r="182" spans="2:27">
      <c r="B182" s="220">
        <f>DATE(YEAR(Dat_01!B$2),MONTH(Dat_01!B$2),Dat_01!A206)</f>
        <v>44588</v>
      </c>
      <c r="C182" s="210">
        <f>Dat_01!A206</f>
        <v>27</v>
      </c>
      <c r="D182" s="221">
        <f>Dat_01!W206</f>
        <v>134.06142199999999</v>
      </c>
      <c r="E182" s="222">
        <f>Dat_01!V206</f>
        <v>16.411597811881006</v>
      </c>
    </row>
    <row r="183" spans="2:27">
      <c r="B183" s="220">
        <f>DATE(YEAR(Dat_01!B$2),MONTH(Dat_01!B$2),Dat_01!A207)</f>
        <v>44589</v>
      </c>
      <c r="C183" s="210">
        <f>Dat_01!A207</f>
        <v>28</v>
      </c>
      <c r="D183" s="221">
        <f>Dat_01!W207</f>
        <v>212.922698</v>
      </c>
      <c r="E183" s="222">
        <f>Dat_01!V207</f>
        <v>26.925058248063159</v>
      </c>
    </row>
    <row r="184" spans="2:27">
      <c r="B184" s="220">
        <f>DATE(YEAR(Dat_01!B$2),MONTH(Dat_01!B$2),Dat_01!A208)</f>
        <v>44590</v>
      </c>
      <c r="C184" s="210">
        <f>Dat_01!A208</f>
        <v>29</v>
      </c>
      <c r="D184" s="221">
        <f>Dat_01!W208</f>
        <v>114.510508</v>
      </c>
      <c r="E184" s="222">
        <f>Dat_01!V208</f>
        <v>17.596331091349008</v>
      </c>
    </row>
    <row r="185" spans="2:27">
      <c r="B185" s="220">
        <f>DATE(YEAR(Dat_01!B$2),MONTH(Dat_01!B$2),Dat_01!A209)</f>
        <v>44591</v>
      </c>
      <c r="C185" s="210">
        <f>Dat_01!A209</f>
        <v>30</v>
      </c>
      <c r="D185" s="221">
        <f>Dat_01!W209</f>
        <v>91.924535999999989</v>
      </c>
      <c r="E185" s="222">
        <f>Dat_01!V209</f>
        <v>14.493488361691384</v>
      </c>
    </row>
    <row r="186" spans="2:27">
      <c r="B186" s="220">
        <f>DATE(YEAR(Dat_01!B$2),MONTH(Dat_01!B$2),Dat_01!A210)</f>
        <v>44592</v>
      </c>
      <c r="C186" s="210">
        <f>Dat_01!A210</f>
        <v>31</v>
      </c>
      <c r="D186" s="221">
        <f>Dat_01!W210</f>
        <v>291.05857600000002</v>
      </c>
      <c r="E186" s="222">
        <f>Dat_01!V210</f>
        <v>37.024420611250918</v>
      </c>
    </row>
    <row r="187" spans="2:27">
      <c r="B187" s="223"/>
      <c r="C187" s="210"/>
      <c r="D187" s="221"/>
      <c r="E187" s="221"/>
    </row>
    <row r="188" spans="2:27">
      <c r="B188" s="210"/>
      <c r="C188" s="210"/>
      <c r="D188" s="210"/>
      <c r="E188" s="210"/>
    </row>
    <row r="189" spans="2:27">
      <c r="B189" s="212" t="s">
        <v>146</v>
      </c>
      <c r="C189" s="212"/>
      <c r="D189" s="224">
        <f>MAX(D156:D186)</f>
        <v>392.653907</v>
      </c>
      <c r="E189" s="225">
        <f>VLOOKUP(D189,D156:E186,2)</f>
        <v>37.024420611250918</v>
      </c>
    </row>
    <row r="191" spans="2:27">
      <c r="B191" s="149" t="s">
        <v>147</v>
      </c>
    </row>
    <row r="192" spans="2:27">
      <c r="B192" s="226"/>
      <c r="C192" s="227">
        <v>1</v>
      </c>
      <c r="D192" s="227">
        <v>2</v>
      </c>
      <c r="E192" s="227">
        <v>3</v>
      </c>
      <c r="F192" s="227">
        <v>4</v>
      </c>
      <c r="G192" s="227">
        <v>5</v>
      </c>
      <c r="H192" s="227">
        <v>6</v>
      </c>
      <c r="I192" s="227">
        <v>7</v>
      </c>
      <c r="J192" s="227">
        <v>8</v>
      </c>
      <c r="K192" s="227">
        <v>9</v>
      </c>
      <c r="L192" s="227">
        <v>10</v>
      </c>
      <c r="M192" s="227">
        <v>11</v>
      </c>
      <c r="N192" s="227">
        <v>12</v>
      </c>
      <c r="O192" s="227">
        <v>13</v>
      </c>
      <c r="P192" s="227">
        <v>14</v>
      </c>
      <c r="Q192" s="227">
        <v>15</v>
      </c>
      <c r="R192" s="227">
        <v>16</v>
      </c>
      <c r="S192" s="227">
        <v>17</v>
      </c>
      <c r="T192" s="227">
        <v>18</v>
      </c>
      <c r="U192" s="227">
        <v>19</v>
      </c>
      <c r="V192" s="227">
        <v>20</v>
      </c>
      <c r="W192" s="227">
        <v>21</v>
      </c>
      <c r="X192" s="227">
        <v>22</v>
      </c>
      <c r="Y192" s="227">
        <v>23</v>
      </c>
      <c r="Z192" s="227">
        <v>24</v>
      </c>
      <c r="AA192" s="228" t="s">
        <v>15</v>
      </c>
    </row>
    <row r="193" spans="2:27">
      <c r="B193" s="210" t="s">
        <v>5</v>
      </c>
      <c r="C193" s="211">
        <v>9.1643000000000008</v>
      </c>
      <c r="D193" s="211">
        <v>8.7952999999999992</v>
      </c>
      <c r="E193" s="211">
        <v>8.8308</v>
      </c>
      <c r="F193" s="211">
        <v>8.5412999999999997</v>
      </c>
      <c r="G193" s="211">
        <v>8.3774999999999995</v>
      </c>
      <c r="H193" s="211">
        <v>8.2622</v>
      </c>
      <c r="I193" s="211">
        <v>8.3582999999999998</v>
      </c>
      <c r="J193" s="211">
        <v>8.2825000000000006</v>
      </c>
      <c r="K193" s="211">
        <v>7.7236000000000002</v>
      </c>
      <c r="L193" s="211">
        <v>7.4927000000000001</v>
      </c>
      <c r="M193" s="211">
        <v>7.0507</v>
      </c>
      <c r="N193" s="211">
        <v>6.7298999999999998</v>
      </c>
      <c r="O193" s="211">
        <v>5.7401</v>
      </c>
      <c r="P193" s="211">
        <v>5.3799000000000001</v>
      </c>
      <c r="Q193" s="211">
        <v>4.9191000000000003</v>
      </c>
      <c r="R193" s="211">
        <v>5.3954000000000004</v>
      </c>
      <c r="S193" s="211">
        <v>5.3757000000000001</v>
      </c>
      <c r="T193" s="211">
        <v>5.6306000000000003</v>
      </c>
      <c r="U193" s="211">
        <v>5.8331</v>
      </c>
      <c r="V193" s="211">
        <v>6.3666999999999998</v>
      </c>
      <c r="W193" s="211">
        <v>6.7653999999999996</v>
      </c>
      <c r="X193" s="211">
        <v>6.9931999999999999</v>
      </c>
      <c r="Y193" s="211">
        <v>7.2034000000000002</v>
      </c>
      <c r="Z193" s="211">
        <v>7.3064</v>
      </c>
      <c r="AA193" s="211">
        <f t="shared" ref="AA193:AA194" si="24">SUM(C193:Z193)</f>
        <v>170.5181</v>
      </c>
    </row>
    <row r="194" spans="2:27">
      <c r="B194" s="210" t="s">
        <v>10</v>
      </c>
      <c r="C194" s="211">
        <v>25.1279</v>
      </c>
      <c r="D194" s="211">
        <v>24.4297</v>
      </c>
      <c r="E194" s="211">
        <v>23.810600000000001</v>
      </c>
      <c r="F194" s="211">
        <v>23.1861</v>
      </c>
      <c r="G194" s="211">
        <v>22.812899999999999</v>
      </c>
      <c r="H194" s="211">
        <v>22.671399999999998</v>
      </c>
      <c r="I194" s="211">
        <v>22.881699999999999</v>
      </c>
      <c r="J194" s="211">
        <v>22.9634</v>
      </c>
      <c r="K194" s="211">
        <v>23.478000000000002</v>
      </c>
      <c r="L194" s="211">
        <v>24.83</v>
      </c>
      <c r="M194" s="211">
        <v>25.264600000000002</v>
      </c>
      <c r="N194" s="211">
        <v>26.226400000000002</v>
      </c>
      <c r="O194" s="211">
        <v>26.419699999999999</v>
      </c>
      <c r="P194" s="211">
        <v>26.6785</v>
      </c>
      <c r="Q194" s="211">
        <v>26.776900000000001</v>
      </c>
      <c r="R194" s="211">
        <v>26.777999999999999</v>
      </c>
      <c r="S194" s="211">
        <v>26.0596</v>
      </c>
      <c r="T194" s="211">
        <v>25.779599999999999</v>
      </c>
      <c r="U194" s="211">
        <v>26.1708</v>
      </c>
      <c r="V194" s="211">
        <v>27.240100000000002</v>
      </c>
      <c r="W194" s="211">
        <v>27.512499999999999</v>
      </c>
      <c r="X194" s="211">
        <v>27.726400000000002</v>
      </c>
      <c r="Y194" s="211">
        <v>27.232600000000001</v>
      </c>
      <c r="Z194" s="211">
        <v>25.386600000000001</v>
      </c>
      <c r="AA194" s="211">
        <f t="shared" si="24"/>
        <v>607.44400000000019</v>
      </c>
    </row>
    <row r="195" spans="2:27"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</row>
    <row r="196" spans="2:27"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</row>
    <row r="197" spans="2:27">
      <c r="B197" s="212" t="s">
        <v>125</v>
      </c>
      <c r="C197" s="229">
        <f>C193/C194*100</f>
        <v>36.470616326871728</v>
      </c>
      <c r="D197" s="229">
        <f t="shared" ref="D197:AA197" si="25">D193/D194*100</f>
        <v>36.002488773910443</v>
      </c>
      <c r="E197" s="229">
        <f t="shared" si="25"/>
        <v>37.087683636699623</v>
      </c>
      <c r="F197" s="229">
        <f t="shared" si="25"/>
        <v>36.838019330547176</v>
      </c>
      <c r="G197" s="229">
        <f t="shared" si="25"/>
        <v>36.722643767342163</v>
      </c>
      <c r="H197" s="229">
        <f t="shared" si="25"/>
        <v>36.443272140229546</v>
      </c>
      <c r="I197" s="229">
        <f t="shared" si="25"/>
        <v>36.528317389005188</v>
      </c>
      <c r="J197" s="229">
        <f t="shared" si="25"/>
        <v>36.068265152372909</v>
      </c>
      <c r="K197" s="229">
        <f t="shared" si="25"/>
        <v>32.897180339040801</v>
      </c>
      <c r="L197" s="229">
        <f t="shared" si="25"/>
        <v>30.175996778091026</v>
      </c>
      <c r="M197" s="229">
        <f t="shared" si="25"/>
        <v>27.90742778433064</v>
      </c>
      <c r="N197" s="229">
        <f t="shared" si="25"/>
        <v>25.660784552969524</v>
      </c>
      <c r="O197" s="229">
        <f t="shared" si="25"/>
        <v>21.726590385204979</v>
      </c>
      <c r="P197" s="229">
        <f t="shared" si="25"/>
        <v>20.165676481061528</v>
      </c>
      <c r="Q197" s="229">
        <f t="shared" si="25"/>
        <v>18.370685180136611</v>
      </c>
      <c r="R197" s="229">
        <f t="shared" si="25"/>
        <v>20.148629471954592</v>
      </c>
      <c r="S197" s="229">
        <f t="shared" si="25"/>
        <v>20.62848240187877</v>
      </c>
      <c r="T197" s="229">
        <f t="shared" si="25"/>
        <v>21.841300873558943</v>
      </c>
      <c r="U197" s="229">
        <f t="shared" si="25"/>
        <v>22.288581166796583</v>
      </c>
      <c r="V197" s="229">
        <f t="shared" si="25"/>
        <v>23.372528000998528</v>
      </c>
      <c r="W197" s="229">
        <f t="shared" si="25"/>
        <v>24.590277146751475</v>
      </c>
      <c r="X197" s="229">
        <f t="shared" si="25"/>
        <v>25.222170927347221</v>
      </c>
      <c r="Y197" s="229">
        <f t="shared" si="25"/>
        <v>26.451385471824214</v>
      </c>
      <c r="Z197" s="229">
        <f t="shared" si="25"/>
        <v>28.780537764017232</v>
      </c>
      <c r="AA197" s="229">
        <f t="shared" si="25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226" zoomScale="90" zoomScaleNormal="90" workbookViewId="0">
      <selection activeCell="Q262" sqref="Q262"/>
    </sheetView>
  </sheetViews>
  <sheetFormatPr baseColWidth="10" defaultRowHeight="12.75"/>
  <cols>
    <col min="1" max="1" width="17.28515625" bestFit="1" customWidth="1"/>
    <col min="2" max="2" width="26.7109375" bestFit="1" customWidth="1"/>
    <col min="3" max="15" width="13.7109375" bestFit="1" customWidth="1"/>
    <col min="16" max="19" width="21.7109375" customWidth="1"/>
    <col min="20" max="26" width="25.85546875" customWidth="1"/>
    <col min="27" max="235" width="14.7109375" customWidth="1"/>
  </cols>
  <sheetData>
    <row r="1" spans="1:13">
      <c r="A1" s="179" t="s">
        <v>30</v>
      </c>
      <c r="B1" s="179" t="s">
        <v>108</v>
      </c>
    </row>
    <row r="2" spans="1:13">
      <c r="A2" s="308" t="s">
        <v>223</v>
      </c>
      <c r="B2" s="308" t="s">
        <v>224</v>
      </c>
    </row>
    <row r="4" spans="1:13">
      <c r="A4" s="174" t="s">
        <v>30</v>
      </c>
      <c r="B4" s="334" t="s">
        <v>223</v>
      </c>
      <c r="C4" s="335"/>
      <c r="D4" s="335"/>
      <c r="E4" s="335"/>
      <c r="F4" s="335"/>
      <c r="G4" s="335"/>
      <c r="H4" s="335"/>
      <c r="I4" s="335"/>
      <c r="J4" s="335"/>
      <c r="L4" s="302" t="s">
        <v>106</v>
      </c>
      <c r="M4" s="303" t="s">
        <v>211</v>
      </c>
    </row>
    <row r="5" spans="1:13">
      <c r="A5" s="174" t="s">
        <v>105</v>
      </c>
      <c r="B5" s="336" t="s">
        <v>98</v>
      </c>
      <c r="C5" s="337"/>
      <c r="D5" s="337"/>
      <c r="E5" s="337"/>
      <c r="F5" s="337"/>
      <c r="G5" s="337"/>
      <c r="H5" s="337"/>
      <c r="I5" s="337"/>
      <c r="J5" s="337"/>
      <c r="L5" s="302" t="s">
        <v>30</v>
      </c>
      <c r="M5" s="303" t="s">
        <v>227</v>
      </c>
    </row>
    <row r="6" spans="1:13">
      <c r="A6" s="174" t="s">
        <v>106</v>
      </c>
      <c r="B6" s="175" t="s">
        <v>99</v>
      </c>
      <c r="C6" s="175" t="s">
        <v>171</v>
      </c>
      <c r="D6" s="175" t="s">
        <v>100</v>
      </c>
      <c r="E6" s="175" t="s">
        <v>101</v>
      </c>
      <c r="F6" s="175" t="s">
        <v>159</v>
      </c>
      <c r="G6" s="175" t="s">
        <v>102</v>
      </c>
      <c r="H6" s="175" t="s">
        <v>103</v>
      </c>
      <c r="I6" s="175" t="s">
        <v>172</v>
      </c>
      <c r="J6" s="175" t="s">
        <v>104</v>
      </c>
      <c r="L6" s="302" t="s">
        <v>212</v>
      </c>
      <c r="M6" s="304"/>
    </row>
    <row r="7" spans="1:13">
      <c r="A7" s="174" t="s">
        <v>107</v>
      </c>
      <c r="B7" s="176"/>
      <c r="C7" s="176"/>
      <c r="D7" s="176"/>
      <c r="E7" s="176"/>
      <c r="F7" s="176"/>
      <c r="G7" s="176"/>
      <c r="H7" s="176"/>
      <c r="I7" s="176"/>
      <c r="J7" s="176"/>
      <c r="L7" s="265" t="s">
        <v>4</v>
      </c>
      <c r="M7" s="305">
        <v>3522.9250000000002</v>
      </c>
    </row>
    <row r="8" spans="1:13">
      <c r="A8" s="308" t="s">
        <v>2</v>
      </c>
      <c r="B8" s="312">
        <v>2070239.4339439999</v>
      </c>
      <c r="C8" s="312">
        <v>4057049.1571820001</v>
      </c>
      <c r="D8" s="313">
        <v>-0.48971793200000002</v>
      </c>
      <c r="E8" s="312">
        <v>2070239.4339439999</v>
      </c>
      <c r="F8" s="312">
        <v>4057049.1571820001</v>
      </c>
      <c r="G8" s="313">
        <v>-0.48971793200000002</v>
      </c>
      <c r="H8" s="312">
        <v>27592113.671328001</v>
      </c>
      <c r="I8" s="312">
        <v>30956252.009587999</v>
      </c>
      <c r="J8" s="313">
        <v>-0.108673955</v>
      </c>
      <c r="L8" s="265" t="s">
        <v>131</v>
      </c>
      <c r="M8" s="305">
        <v>24561.845000000001</v>
      </c>
    </row>
    <row r="9" spans="1:13">
      <c r="A9" s="308" t="s">
        <v>81</v>
      </c>
      <c r="B9" s="312">
        <v>215450.53776000001</v>
      </c>
      <c r="C9" s="312">
        <v>320531.38740800001</v>
      </c>
      <c r="D9" s="313">
        <v>-0.32783325990000001</v>
      </c>
      <c r="E9" s="312">
        <v>215450.53776000001</v>
      </c>
      <c r="F9" s="312">
        <v>320531.38740800001</v>
      </c>
      <c r="G9" s="313">
        <v>-0.32783325990000001</v>
      </c>
      <c r="H9" s="312">
        <v>2544281.5558179999</v>
      </c>
      <c r="I9" s="312">
        <v>2838192.9865740002</v>
      </c>
      <c r="J9" s="313">
        <v>-0.1035558301</v>
      </c>
      <c r="L9" s="265" t="s">
        <v>9</v>
      </c>
      <c r="M9" s="305">
        <v>5592.9125000000004</v>
      </c>
    </row>
    <row r="10" spans="1:13">
      <c r="A10" s="308" t="s">
        <v>3</v>
      </c>
      <c r="B10" s="312">
        <v>5048326.8710000003</v>
      </c>
      <c r="C10" s="312">
        <v>5199740.5159999998</v>
      </c>
      <c r="D10" s="313">
        <v>-2.9119461700000002E-2</v>
      </c>
      <c r="E10" s="312">
        <v>5048326.8710000003</v>
      </c>
      <c r="F10" s="312">
        <v>5199740.5159999998</v>
      </c>
      <c r="G10" s="313">
        <v>-2.9119461700000002E-2</v>
      </c>
      <c r="H10" s="312">
        <v>53888662.578000002</v>
      </c>
      <c r="I10" s="312">
        <v>55668954.348999999</v>
      </c>
      <c r="J10" s="313">
        <v>-3.1979975000000001E-2</v>
      </c>
      <c r="L10" s="265" t="s">
        <v>5</v>
      </c>
      <c r="M10" s="305">
        <v>27626.2235</v>
      </c>
    </row>
    <row r="11" spans="1:13">
      <c r="A11" s="308" t="s">
        <v>4</v>
      </c>
      <c r="B11" s="312">
        <v>710591.2</v>
      </c>
      <c r="C11" s="312">
        <v>558504.97</v>
      </c>
      <c r="D11" s="313">
        <v>0.27230953740000002</v>
      </c>
      <c r="E11" s="312">
        <v>710591.2</v>
      </c>
      <c r="F11" s="312">
        <v>558504.97</v>
      </c>
      <c r="G11" s="313">
        <v>0.27230953740000002</v>
      </c>
      <c r="H11" s="312">
        <v>5094108.3609999996</v>
      </c>
      <c r="I11" s="312">
        <v>4488491.7050000001</v>
      </c>
      <c r="J11" s="313">
        <v>0.13492654009999999</v>
      </c>
      <c r="L11" s="265" t="s">
        <v>95</v>
      </c>
      <c r="M11" s="305">
        <v>7.95</v>
      </c>
    </row>
    <row r="12" spans="1:13">
      <c r="A12" s="308" t="s">
        <v>95</v>
      </c>
      <c r="B12" s="312">
        <v>0</v>
      </c>
      <c r="C12" s="312">
        <v>0</v>
      </c>
      <c r="D12" s="313">
        <v>0</v>
      </c>
      <c r="E12" s="312">
        <v>0</v>
      </c>
      <c r="F12" s="312">
        <v>0</v>
      </c>
      <c r="G12" s="313">
        <v>0</v>
      </c>
      <c r="H12" s="312">
        <v>-1E-3</v>
      </c>
      <c r="I12" s="312">
        <v>0</v>
      </c>
      <c r="J12" s="313">
        <v>0</v>
      </c>
      <c r="L12" s="265" t="s">
        <v>2</v>
      </c>
      <c r="M12" s="305">
        <v>17092.603029999998</v>
      </c>
    </row>
    <row r="13" spans="1:13">
      <c r="A13" s="308" t="s">
        <v>11</v>
      </c>
      <c r="B13" s="312">
        <v>5197219.2379999999</v>
      </c>
      <c r="C13" s="312">
        <v>2188304.4849999999</v>
      </c>
      <c r="D13" s="313">
        <v>1.3749982114999999</v>
      </c>
      <c r="E13" s="312">
        <v>5197219.2379999999</v>
      </c>
      <c r="F13" s="312">
        <v>2188304.4849999999</v>
      </c>
      <c r="G13" s="313">
        <v>1.3749982114999999</v>
      </c>
      <c r="H13" s="312">
        <v>40590170.588</v>
      </c>
      <c r="I13" s="312">
        <v>37272474.943000004</v>
      </c>
      <c r="J13" s="313">
        <v>8.9011949199999996E-2</v>
      </c>
      <c r="L13" s="265" t="s">
        <v>3</v>
      </c>
      <c r="M13" s="305">
        <v>7117.29</v>
      </c>
    </row>
    <row r="14" spans="1:13">
      <c r="A14" s="308" t="s">
        <v>5</v>
      </c>
      <c r="B14" s="312">
        <v>5352317.7050000001</v>
      </c>
      <c r="C14" s="312">
        <v>7019275.6399999997</v>
      </c>
      <c r="D14" s="313">
        <v>-0.2374829</v>
      </c>
      <c r="E14" s="312">
        <v>5352317.7050000001</v>
      </c>
      <c r="F14" s="312">
        <v>7019275.6399999997</v>
      </c>
      <c r="G14" s="313">
        <v>-0.2374829</v>
      </c>
      <c r="H14" s="312">
        <v>57508066.063000001</v>
      </c>
      <c r="I14" s="312">
        <v>56255027.601000004</v>
      </c>
      <c r="J14" s="313">
        <v>2.22742485E-2</v>
      </c>
      <c r="L14" s="265" t="s">
        <v>136</v>
      </c>
      <c r="M14" s="305">
        <v>1086.8399999999999</v>
      </c>
    </row>
    <row r="15" spans="1:13">
      <c r="A15" s="308" t="s">
        <v>6</v>
      </c>
      <c r="B15" s="312">
        <v>1515529.2180000001</v>
      </c>
      <c r="C15" s="312">
        <v>823157.54799999995</v>
      </c>
      <c r="D15" s="313">
        <v>0.84111683319999997</v>
      </c>
      <c r="E15" s="312">
        <v>1515529.2180000001</v>
      </c>
      <c r="F15" s="312">
        <v>823157.54799999995</v>
      </c>
      <c r="G15" s="313">
        <v>0.84111683319999997</v>
      </c>
      <c r="H15" s="312">
        <v>21157502.589000002</v>
      </c>
      <c r="I15" s="312">
        <v>15146989.664999999</v>
      </c>
      <c r="J15" s="313">
        <v>0.3968123737</v>
      </c>
      <c r="L15" s="265" t="s">
        <v>210</v>
      </c>
      <c r="M15" s="305">
        <v>402.37650000000002</v>
      </c>
    </row>
    <row r="16" spans="1:13">
      <c r="A16" s="308" t="s">
        <v>7</v>
      </c>
      <c r="B16" s="312">
        <v>170905.33300000001</v>
      </c>
      <c r="C16" s="312">
        <v>102634.02899999999</v>
      </c>
      <c r="D16" s="313">
        <v>0.66519169779999998</v>
      </c>
      <c r="E16" s="312">
        <v>170905.33300000001</v>
      </c>
      <c r="F16" s="312">
        <v>102634.02899999999</v>
      </c>
      <c r="G16" s="313">
        <v>0.66519169779999998</v>
      </c>
      <c r="H16" s="312">
        <v>4773764.0710000005</v>
      </c>
      <c r="I16" s="312">
        <v>4554976.3080000002</v>
      </c>
      <c r="J16" s="313">
        <v>4.8032689599999998E-2</v>
      </c>
      <c r="L16" s="265" t="s">
        <v>135</v>
      </c>
      <c r="M16" s="305">
        <v>131.6275</v>
      </c>
    </row>
    <row r="17" spans="1:13">
      <c r="A17" s="308" t="s">
        <v>8</v>
      </c>
      <c r="B17" s="312">
        <v>428362.74099999998</v>
      </c>
      <c r="C17" s="312">
        <v>390173.91600000003</v>
      </c>
      <c r="D17" s="313">
        <v>9.7876417199999996E-2</v>
      </c>
      <c r="E17" s="312">
        <v>428362.74099999998</v>
      </c>
      <c r="F17" s="312">
        <v>390173.91600000003</v>
      </c>
      <c r="G17" s="313">
        <v>9.7876417199999996E-2</v>
      </c>
      <c r="H17" s="312">
        <v>4745762.4869999997</v>
      </c>
      <c r="I17" s="312">
        <v>4527704.7359999996</v>
      </c>
      <c r="J17" s="313">
        <v>4.8160770999999998E-2</v>
      </c>
      <c r="L17" s="265" t="s">
        <v>132</v>
      </c>
      <c r="M17" s="305">
        <v>14597.631385999999</v>
      </c>
    </row>
    <row r="18" spans="1:13">
      <c r="A18" s="308" t="s">
        <v>9</v>
      </c>
      <c r="B18" s="312">
        <v>2170250.503</v>
      </c>
      <c r="C18" s="312">
        <v>2401170.8629999999</v>
      </c>
      <c r="D18" s="313">
        <v>-9.61698993E-2</v>
      </c>
      <c r="E18" s="312">
        <v>2170250.503</v>
      </c>
      <c r="F18" s="312">
        <v>2401170.8629999999</v>
      </c>
      <c r="G18" s="313">
        <v>-9.61698993E-2</v>
      </c>
      <c r="H18" s="312">
        <v>25818661.886999998</v>
      </c>
      <c r="I18" s="312">
        <v>26961167.616</v>
      </c>
      <c r="J18" s="313">
        <v>-4.23759737E-2</v>
      </c>
      <c r="L18" s="265" t="s">
        <v>133</v>
      </c>
      <c r="M18" s="305">
        <v>2304.0129999999999</v>
      </c>
    </row>
    <row r="19" spans="1:13">
      <c r="A19" s="308" t="s">
        <v>69</v>
      </c>
      <c r="B19" s="312">
        <v>68975.129000000001</v>
      </c>
      <c r="C19" s="312">
        <v>52060.038</v>
      </c>
      <c r="D19" s="313">
        <v>0.32491507209999998</v>
      </c>
      <c r="E19" s="312">
        <v>68975.129000000001</v>
      </c>
      <c r="F19" s="312">
        <v>52060.038</v>
      </c>
      <c r="G19" s="313">
        <v>0.32491507209999998</v>
      </c>
      <c r="H19" s="312">
        <v>767779.67700000003</v>
      </c>
      <c r="I19" s="312">
        <v>603000.50249999994</v>
      </c>
      <c r="J19" s="313">
        <v>0.27326540160000001</v>
      </c>
      <c r="L19" s="265" t="s">
        <v>81</v>
      </c>
      <c r="M19" s="305">
        <v>3331.4</v>
      </c>
    </row>
    <row r="20" spans="1:13">
      <c r="A20" s="308" t="s">
        <v>70</v>
      </c>
      <c r="B20" s="312">
        <v>159556.766</v>
      </c>
      <c r="C20" s="312">
        <v>175141.845</v>
      </c>
      <c r="D20" s="313">
        <v>-8.8985467799999995E-2</v>
      </c>
      <c r="E20" s="312">
        <v>159556.766</v>
      </c>
      <c r="F20" s="312">
        <v>175141.845</v>
      </c>
      <c r="G20" s="313">
        <v>-8.8985467799999995E-2</v>
      </c>
      <c r="H20" s="312">
        <v>2092772.6159999999</v>
      </c>
      <c r="I20" s="312">
        <v>1913825.4384999999</v>
      </c>
      <c r="J20" s="313">
        <v>9.3502350799999995E-2</v>
      </c>
      <c r="L20" s="306" t="s">
        <v>15</v>
      </c>
      <c r="M20" s="307">
        <v>107375.637416</v>
      </c>
    </row>
    <row r="21" spans="1:13">
      <c r="A21" s="309" t="s">
        <v>10</v>
      </c>
      <c r="B21" s="314">
        <v>23107724.675703999</v>
      </c>
      <c r="C21" s="314">
        <v>23287744.394590002</v>
      </c>
      <c r="D21" s="315">
        <v>-7.7302342E-3</v>
      </c>
      <c r="E21" s="314">
        <v>23107724.675703999</v>
      </c>
      <c r="F21" s="314">
        <v>23287744.394590002</v>
      </c>
      <c r="G21" s="315">
        <v>-7.7302342E-3</v>
      </c>
      <c r="H21" s="314">
        <v>246573646.14314601</v>
      </c>
      <c r="I21" s="314">
        <v>241187057.86016199</v>
      </c>
      <c r="J21" s="315">
        <v>2.23336539E-2</v>
      </c>
    </row>
    <row r="22" spans="1:13">
      <c r="A22" s="308" t="s">
        <v>122</v>
      </c>
      <c r="B22" s="312">
        <v>-413828.72399999999</v>
      </c>
      <c r="C22" s="312">
        <v>-610896.96299999999</v>
      </c>
      <c r="D22" s="313">
        <v>-0.32258834289999999</v>
      </c>
      <c r="E22" s="312">
        <v>-413828.72399999999</v>
      </c>
      <c r="F22" s="312">
        <v>-610896.96299999999</v>
      </c>
      <c r="G22" s="313">
        <v>-0.32258834289999999</v>
      </c>
      <c r="H22" s="312">
        <v>-4149568.7139949999</v>
      </c>
      <c r="I22" s="312">
        <v>-4839234.1374129998</v>
      </c>
      <c r="J22" s="313">
        <v>-0.1425154072</v>
      </c>
    </row>
    <row r="23" spans="1:13">
      <c r="A23" s="308" t="s">
        <v>97</v>
      </c>
      <c r="B23" s="312">
        <v>-31159.339</v>
      </c>
      <c r="C23" s="312">
        <v>-138250.41200000001</v>
      </c>
      <c r="D23" s="313">
        <v>-0.77461666439999999</v>
      </c>
      <c r="E23" s="312">
        <v>-31159.339</v>
      </c>
      <c r="F23" s="312">
        <v>-138250.41200000001</v>
      </c>
      <c r="G23" s="313">
        <v>-0.77461666439999999</v>
      </c>
      <c r="H23" s="312">
        <v>-783137.89399999997</v>
      </c>
      <c r="I23" s="312">
        <v>-1428632.0360000001</v>
      </c>
      <c r="J23" s="313">
        <v>-0.4518267306</v>
      </c>
    </row>
    <row r="24" spans="1:13">
      <c r="A24" s="308" t="s">
        <v>123</v>
      </c>
      <c r="B24" s="312">
        <v>-1173461.9029999999</v>
      </c>
      <c r="C24" s="312">
        <v>214906.90700000001</v>
      </c>
      <c r="D24" s="313">
        <v>-6.4603266102000001</v>
      </c>
      <c r="E24" s="312">
        <v>-1173461.9029999999</v>
      </c>
      <c r="F24" s="312">
        <v>214906.90700000001</v>
      </c>
      <c r="G24" s="313">
        <v>-6.4603266102000001</v>
      </c>
      <c r="H24" s="312">
        <v>-504561.15</v>
      </c>
      <c r="I24" s="312">
        <v>2012112.9669999999</v>
      </c>
      <c r="J24" s="313">
        <v>-1.2507618401</v>
      </c>
    </row>
    <row r="25" spans="1:13">
      <c r="A25" s="309" t="s">
        <v>124</v>
      </c>
      <c r="B25" s="314">
        <v>21489274.709704001</v>
      </c>
      <c r="C25" s="314">
        <v>22753503.926589999</v>
      </c>
      <c r="D25" s="315">
        <v>-5.55619574E-2</v>
      </c>
      <c r="E25" s="314">
        <v>21489274.709704001</v>
      </c>
      <c r="F25" s="314">
        <v>22753503.926589999</v>
      </c>
      <c r="G25" s="315">
        <v>-5.55619574E-2</v>
      </c>
      <c r="H25" s="314">
        <v>241136378.385151</v>
      </c>
      <c r="I25" s="314">
        <v>236931304.65374899</v>
      </c>
      <c r="J25" s="315">
        <v>1.77480715E-2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VLOOKUP(A33,L$7:M$21,2,FALSE)</f>
        <v>3331.4</v>
      </c>
      <c r="C33" s="109">
        <f>B33/$B$46*100</f>
        <v>3.1025659825359879</v>
      </c>
      <c r="D33" s="107"/>
      <c r="E33" s="167" t="s">
        <v>16</v>
      </c>
      <c r="F33" s="168">
        <f>SUM(C33:C39)</f>
        <v>41.477471120803429</v>
      </c>
      <c r="I33" s="44"/>
    </row>
    <row r="34" spans="1:9">
      <c r="A34" s="108" t="s">
        <v>3</v>
      </c>
      <c r="B34" s="127">
        <f t="shared" ref="B34:B45" si="0">VLOOKUP(A34,L$7:M$21,2,FALSE)</f>
        <v>7117.29</v>
      </c>
      <c r="C34" s="109">
        <f t="shared" ref="C34:C45" si="1">B34/$B$46*100</f>
        <v>6.6284030263083267</v>
      </c>
      <c r="D34" s="107"/>
      <c r="E34" s="171" t="s">
        <v>17</v>
      </c>
      <c r="F34" s="172">
        <f>SUM(C40:C45)</f>
        <v>58.522528879196571</v>
      </c>
      <c r="I34" s="44"/>
    </row>
    <row r="35" spans="1:9">
      <c r="A35" s="108" t="s">
        <v>4</v>
      </c>
      <c r="B35" s="127">
        <f t="shared" si="0"/>
        <v>3522.9250000000002</v>
      </c>
      <c r="C35" s="109">
        <f t="shared" si="1"/>
        <v>3.2809351215781941</v>
      </c>
      <c r="D35" s="107"/>
      <c r="E35" s="165"/>
      <c r="F35" s="165"/>
      <c r="I35" s="44"/>
    </row>
    <row r="36" spans="1:9">
      <c r="A36" s="108" t="s">
        <v>11</v>
      </c>
      <c r="B36" s="127">
        <f t="shared" si="0"/>
        <v>24561.845000000001</v>
      </c>
      <c r="C36" s="109">
        <f t="shared" si="1"/>
        <v>22.874690750231625</v>
      </c>
      <c r="D36" s="107"/>
      <c r="E36" s="165"/>
      <c r="F36" s="165"/>
      <c r="I36" s="44"/>
    </row>
    <row r="37" spans="1:9">
      <c r="A37" s="108" t="s">
        <v>9</v>
      </c>
      <c r="B37" s="127">
        <f t="shared" si="0"/>
        <v>5592.9125000000004</v>
      </c>
      <c r="C37" s="109">
        <f t="shared" si="1"/>
        <v>5.2087350860900248</v>
      </c>
      <c r="D37" s="107"/>
      <c r="E37" s="165"/>
      <c r="F37" s="165"/>
      <c r="I37" s="44"/>
    </row>
    <row r="38" spans="1:9">
      <c r="A38" s="108" t="s">
        <v>213</v>
      </c>
      <c r="B38" s="127">
        <f t="shared" si="0"/>
        <v>7.95</v>
      </c>
      <c r="C38" s="109">
        <f t="shared" si="1"/>
        <v>7.4039141385486892E-3</v>
      </c>
      <c r="D38" s="107"/>
      <c r="E38" s="165"/>
      <c r="F38" s="165"/>
      <c r="I38" s="44"/>
    </row>
    <row r="39" spans="1:9">
      <c r="A39" s="108" t="s">
        <v>70</v>
      </c>
      <c r="B39" s="127">
        <f t="shared" si="0"/>
        <v>402.37650000000002</v>
      </c>
      <c r="C39" s="109">
        <f t="shared" si="1"/>
        <v>0.37473723992072161</v>
      </c>
      <c r="D39" s="107"/>
      <c r="E39" s="165"/>
      <c r="F39" s="165"/>
      <c r="I39" s="44"/>
    </row>
    <row r="40" spans="1:9">
      <c r="A40" s="108" t="s">
        <v>69</v>
      </c>
      <c r="B40" s="127">
        <f t="shared" si="0"/>
        <v>131.6275</v>
      </c>
      <c r="C40" s="109">
        <f t="shared" si="1"/>
        <v>0.12258600104048019</v>
      </c>
      <c r="D40" s="107"/>
      <c r="E40" s="165"/>
      <c r="F40" s="165"/>
      <c r="I40" s="44"/>
    </row>
    <row r="41" spans="1:9">
      <c r="A41" s="108" t="s">
        <v>5</v>
      </c>
      <c r="B41" s="127">
        <f>VLOOKUP(A41,L$7:M$21,2,FALSE)</f>
        <v>27626.2235</v>
      </c>
      <c r="C41" s="109">
        <f t="shared" si="1"/>
        <v>25.728576951742898</v>
      </c>
      <c r="D41" s="107"/>
      <c r="E41" s="165"/>
      <c r="F41" s="165"/>
      <c r="I41" s="44"/>
    </row>
    <row r="42" spans="1:9">
      <c r="A42" s="108" t="s">
        <v>2</v>
      </c>
      <c r="B42" s="127">
        <f t="shared" si="0"/>
        <v>17092.603029999998</v>
      </c>
      <c r="C42" s="109">
        <f t="shared" si="1"/>
        <v>15.918511350744296</v>
      </c>
      <c r="D42" s="107"/>
      <c r="E42" s="165"/>
      <c r="F42" s="165"/>
      <c r="I42" s="44"/>
    </row>
    <row r="43" spans="1:9">
      <c r="A43" s="108" t="s">
        <v>6</v>
      </c>
      <c r="B43" s="127">
        <f t="shared" si="0"/>
        <v>14597.631385999999</v>
      </c>
      <c r="C43" s="109">
        <f t="shared" si="1"/>
        <v>13.594919422405974</v>
      </c>
      <c r="D43" s="107"/>
      <c r="E43" s="165"/>
      <c r="F43" s="165"/>
      <c r="I43" s="44"/>
    </row>
    <row r="44" spans="1:9">
      <c r="A44" s="108" t="s">
        <v>7</v>
      </c>
      <c r="B44" s="127">
        <f t="shared" si="0"/>
        <v>2304.0129999999999</v>
      </c>
      <c r="C44" s="109">
        <f t="shared" si="1"/>
        <v>2.1457502422767267</v>
      </c>
      <c r="D44" s="107"/>
      <c r="E44" s="165"/>
      <c r="F44" s="165"/>
    </row>
    <row r="45" spans="1:9">
      <c r="A45" s="108" t="s">
        <v>8</v>
      </c>
      <c r="B45" s="127">
        <f t="shared" si="0"/>
        <v>1086.8399999999999</v>
      </c>
      <c r="C45" s="109">
        <f t="shared" si="1"/>
        <v>1.0121849109861958</v>
      </c>
      <c r="E45" s="165"/>
      <c r="F45" s="165"/>
    </row>
    <row r="46" spans="1:9">
      <c r="A46" s="110" t="s">
        <v>15</v>
      </c>
      <c r="B46" s="128">
        <f>SUM(B33:B45)</f>
        <v>107375.637416</v>
      </c>
      <c r="C46" s="111">
        <f>SUM(C33:C45)</f>
        <v>100.00000000000001</v>
      </c>
      <c r="D46" s="107" t="str">
        <f>CONCATENATE(TEXT(B46,"#.##0")," MW")</f>
        <v>107.376 MW</v>
      </c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215.45053776</v>
      </c>
      <c r="C50" s="109">
        <f t="shared" ref="C50:C61" si="2">B50/$B$62*100</f>
        <v>0.93237452316769953</v>
      </c>
      <c r="D50" s="129"/>
      <c r="E50" s="167" t="s">
        <v>16</v>
      </c>
      <c r="F50" s="168">
        <f>SUM(C50:C55)</f>
        <v>58.428059470328023</v>
      </c>
      <c r="G50" s="168"/>
      <c r="J50" s="44"/>
    </row>
    <row r="51" spans="1:10">
      <c r="A51" s="108" t="s">
        <v>3</v>
      </c>
      <c r="B51" s="173">
        <f t="shared" ref="B51:B54" si="3">VLOOKUP(A34,A$8:B$22,2,FALSE)/1000</f>
        <v>5048.3268710000002</v>
      </c>
      <c r="C51" s="109">
        <f t="shared" si="2"/>
        <v>21.846923233891253</v>
      </c>
      <c r="D51" s="129"/>
      <c r="E51" s="171" t="s">
        <v>17</v>
      </c>
      <c r="F51" s="172">
        <f>SUM(C56:C61)</f>
        <v>41.571940529671963</v>
      </c>
      <c r="J51" s="44"/>
    </row>
    <row r="52" spans="1:10">
      <c r="A52" s="108" t="s">
        <v>4</v>
      </c>
      <c r="B52" s="173">
        <f t="shared" si="3"/>
        <v>710.59119999999996</v>
      </c>
      <c r="C52" s="109">
        <f t="shared" si="2"/>
        <v>3.075124054715487</v>
      </c>
      <c r="D52" s="129"/>
      <c r="E52" s="165"/>
      <c r="F52" s="165"/>
      <c r="J52" s="44"/>
    </row>
    <row r="53" spans="1:10">
      <c r="A53" s="108" t="s">
        <v>11</v>
      </c>
      <c r="B53" s="173">
        <f t="shared" si="3"/>
        <v>5197.2192379999997</v>
      </c>
      <c r="C53" s="109">
        <f t="shared" si="2"/>
        <v>22.491263466820151</v>
      </c>
      <c r="D53" s="129"/>
      <c r="E53" s="165"/>
      <c r="F53" s="165"/>
      <c r="J53" s="44"/>
    </row>
    <row r="54" spans="1:10">
      <c r="A54" s="108" t="s">
        <v>9</v>
      </c>
      <c r="B54" s="173">
        <f t="shared" si="3"/>
        <v>2170.2505030000002</v>
      </c>
      <c r="C54" s="109">
        <f t="shared" si="2"/>
        <v>9.3918831622650067</v>
      </c>
      <c r="D54" s="129"/>
      <c r="E54" s="165"/>
      <c r="F54" s="166"/>
      <c r="J54" s="44"/>
    </row>
    <row r="55" spans="1:10">
      <c r="A55" s="108" t="s">
        <v>70</v>
      </c>
      <c r="B55" s="173">
        <f t="shared" ref="B55:B61" si="4">VLOOKUP(A39,A$8:B$22,2,FALSE)/1000</f>
        <v>159.55676600000001</v>
      </c>
      <c r="C55" s="109">
        <f t="shared" si="2"/>
        <v>0.69049102946843444</v>
      </c>
      <c r="D55" s="129"/>
      <c r="E55" s="165"/>
      <c r="F55" s="165"/>
      <c r="J55" s="44"/>
    </row>
    <row r="56" spans="1:10">
      <c r="A56" s="108" t="s">
        <v>69</v>
      </c>
      <c r="B56" s="173">
        <f t="shared" si="4"/>
        <v>68.975128999999995</v>
      </c>
      <c r="C56" s="109">
        <f t="shared" si="2"/>
        <v>0.29849381524145496</v>
      </c>
      <c r="D56" s="129"/>
      <c r="E56" s="165"/>
      <c r="F56" s="165"/>
      <c r="J56" s="44"/>
    </row>
    <row r="57" spans="1:10">
      <c r="A57" s="108" t="s">
        <v>5</v>
      </c>
      <c r="B57" s="173">
        <f t="shared" si="4"/>
        <v>5352.3177050000004</v>
      </c>
      <c r="C57" s="109">
        <f t="shared" si="2"/>
        <v>23.162460952408491</v>
      </c>
      <c r="D57" s="129"/>
      <c r="E57" s="165"/>
      <c r="F57" s="165"/>
      <c r="J57" s="44"/>
    </row>
    <row r="58" spans="1:10">
      <c r="A58" s="108" t="s">
        <v>2</v>
      </c>
      <c r="B58" s="173">
        <f t="shared" si="4"/>
        <v>2070.2394339439998</v>
      </c>
      <c r="C58" s="109">
        <f t="shared" si="2"/>
        <v>8.9590795415729421</v>
      </c>
      <c r="D58" s="129"/>
      <c r="E58" s="165"/>
      <c r="F58" s="165"/>
      <c r="J58" s="44"/>
    </row>
    <row r="59" spans="1:10">
      <c r="A59" s="108" t="s">
        <v>6</v>
      </c>
      <c r="B59" s="173">
        <f t="shared" si="4"/>
        <v>1515.5292180000001</v>
      </c>
      <c r="C59" s="109">
        <f t="shared" si="2"/>
        <v>6.5585393597555832</v>
      </c>
      <c r="D59" s="129"/>
      <c r="E59" s="165"/>
      <c r="F59" s="165"/>
      <c r="J59" s="44"/>
    </row>
    <row r="60" spans="1:10">
      <c r="A60" s="108" t="s">
        <v>7</v>
      </c>
      <c r="B60" s="173">
        <f t="shared" si="4"/>
        <v>170.90533300000001</v>
      </c>
      <c r="C60" s="109">
        <f t="shared" si="2"/>
        <v>0.73960260215361595</v>
      </c>
      <c r="D60" s="129"/>
      <c r="E60" s="165"/>
      <c r="F60" s="165"/>
      <c r="J60" s="44"/>
    </row>
    <row r="61" spans="1:10">
      <c r="A61" s="108" t="s">
        <v>8</v>
      </c>
      <c r="B61" s="173">
        <f t="shared" si="4"/>
        <v>428.36274099999997</v>
      </c>
      <c r="C61" s="109">
        <f t="shared" si="2"/>
        <v>1.8537642585398746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23107.724675704001</v>
      </c>
      <c r="C62" s="111">
        <f>SUM(C50:C61)</f>
        <v>99.999999999999986</v>
      </c>
      <c r="D62" s="165"/>
      <c r="E62" s="165"/>
      <c r="F62" s="165"/>
    </row>
    <row r="66" spans="1:8">
      <c r="A66" s="174" t="s">
        <v>31</v>
      </c>
      <c r="B66" s="316" t="s">
        <v>229</v>
      </c>
      <c r="G66" s="174" t="s">
        <v>31</v>
      </c>
      <c r="H66" s="316" t="s">
        <v>197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308" t="s">
        <v>2</v>
      </c>
      <c r="B69" s="177">
        <v>47.529739913999997</v>
      </c>
      <c r="G69" s="308" t="s">
        <v>2</v>
      </c>
      <c r="H69" s="177">
        <v>121.007533024</v>
      </c>
    </row>
    <row r="70" spans="1:8">
      <c r="A70" s="308" t="s">
        <v>81</v>
      </c>
      <c r="B70" s="177">
        <v>13.63398479</v>
      </c>
      <c r="G70" s="308" t="s">
        <v>81</v>
      </c>
      <c r="H70" s="177">
        <v>5.3139561840000002</v>
      </c>
    </row>
    <row r="71" spans="1:8">
      <c r="A71" s="308" t="s">
        <v>3</v>
      </c>
      <c r="B71" s="177">
        <v>149.11075</v>
      </c>
      <c r="G71" s="308" t="s">
        <v>3</v>
      </c>
      <c r="H71" s="177">
        <v>133.41947400000001</v>
      </c>
    </row>
    <row r="72" spans="1:8">
      <c r="A72" s="308" t="s">
        <v>4</v>
      </c>
      <c r="B72" s="177">
        <v>23.091175</v>
      </c>
      <c r="G72" s="308" t="s">
        <v>4</v>
      </c>
      <c r="H72" s="177">
        <v>-0.45725399999999999</v>
      </c>
    </row>
    <row r="73" spans="1:8">
      <c r="A73" s="308" t="s">
        <v>95</v>
      </c>
      <c r="B73" s="177">
        <v>0</v>
      </c>
      <c r="G73" s="308" t="s">
        <v>95</v>
      </c>
      <c r="H73" s="177">
        <v>0</v>
      </c>
    </row>
    <row r="74" spans="1:8">
      <c r="A74" s="308" t="s">
        <v>11</v>
      </c>
      <c r="B74" s="177">
        <v>32.097628</v>
      </c>
      <c r="G74" s="308" t="s">
        <v>11</v>
      </c>
      <c r="H74" s="177">
        <v>22.139078999999999</v>
      </c>
    </row>
    <row r="75" spans="1:8">
      <c r="A75" s="308" t="s">
        <v>5</v>
      </c>
      <c r="B75" s="177">
        <v>392.653907</v>
      </c>
      <c r="G75" s="308" t="s">
        <v>5</v>
      </c>
      <c r="H75" s="177">
        <v>378.94424199999997</v>
      </c>
    </row>
    <row r="76" spans="1:8">
      <c r="A76" s="308" t="s">
        <v>6</v>
      </c>
      <c r="B76" s="177">
        <v>38.666414000000003</v>
      </c>
      <c r="G76" s="308" t="s">
        <v>6</v>
      </c>
      <c r="H76" s="177">
        <v>28.244253</v>
      </c>
    </row>
    <row r="77" spans="1:8">
      <c r="A77" s="308" t="s">
        <v>7</v>
      </c>
      <c r="B77" s="177">
        <v>4.320112</v>
      </c>
      <c r="G77" s="308" t="s">
        <v>7</v>
      </c>
      <c r="H77" s="177">
        <v>1.316433</v>
      </c>
    </row>
    <row r="78" spans="1:8">
      <c r="A78" s="308" t="s">
        <v>8</v>
      </c>
      <c r="B78" s="177">
        <v>14.084261</v>
      </c>
      <c r="G78" s="308" t="s">
        <v>8</v>
      </c>
      <c r="H78" s="177">
        <v>13.719782</v>
      </c>
    </row>
    <row r="79" spans="1:8">
      <c r="A79" s="308" t="s">
        <v>9</v>
      </c>
      <c r="B79" s="177">
        <v>55.407477999999998</v>
      </c>
      <c r="G79" s="308" t="s">
        <v>9</v>
      </c>
      <c r="H79" s="177">
        <v>56.536898000000001</v>
      </c>
    </row>
    <row r="80" spans="1:8">
      <c r="A80" s="308" t="s">
        <v>69</v>
      </c>
      <c r="B80" s="177">
        <v>2.3708714999999998</v>
      </c>
      <c r="G80" s="308" t="s">
        <v>69</v>
      </c>
      <c r="H80" s="177">
        <v>1.747736</v>
      </c>
    </row>
    <row r="81" spans="1:11">
      <c r="A81" s="308" t="s">
        <v>70</v>
      </c>
      <c r="B81" s="177">
        <v>4.9964944999999998</v>
      </c>
      <c r="G81" s="308" t="s">
        <v>70</v>
      </c>
      <c r="H81" s="177">
        <v>5.0778590000000001</v>
      </c>
    </row>
    <row r="82" spans="1:11">
      <c r="A82" s="309" t="s">
        <v>10</v>
      </c>
      <c r="B82" s="178">
        <v>777.96281570400004</v>
      </c>
      <c r="G82" s="309" t="s">
        <v>10</v>
      </c>
      <c r="H82" s="178">
        <v>767.00999120799997</v>
      </c>
    </row>
    <row r="83" spans="1:11">
      <c r="A83" s="308" t="s">
        <v>122</v>
      </c>
      <c r="B83" s="177">
        <v>-48.329607000000003</v>
      </c>
      <c r="G83" s="308" t="s">
        <v>122</v>
      </c>
      <c r="H83" s="177">
        <v>-65.728476000000001</v>
      </c>
    </row>
    <row r="84" spans="1:11">
      <c r="A84" s="308" t="s">
        <v>97</v>
      </c>
      <c r="B84" s="177">
        <v>-1.0630660000000001</v>
      </c>
      <c r="G84" s="308" t="s">
        <v>97</v>
      </c>
      <c r="H84" s="177">
        <v>-3.9743140000000001</v>
      </c>
    </row>
    <row r="85" spans="1:11">
      <c r="A85" s="308" t="s">
        <v>123</v>
      </c>
      <c r="B85" s="177">
        <v>-109.66046799999999</v>
      </c>
      <c r="G85" s="308" t="s">
        <v>123</v>
      </c>
      <c r="H85" s="177">
        <v>-58.300165</v>
      </c>
    </row>
    <row r="86" spans="1:11">
      <c r="A86" s="309" t="s">
        <v>124</v>
      </c>
      <c r="B86" s="178">
        <v>618.90967470400005</v>
      </c>
      <c r="G86" s="309" t="s">
        <v>124</v>
      </c>
      <c r="H86" s="178">
        <v>639.00703620800005</v>
      </c>
    </row>
    <row r="91" spans="1:11">
      <c r="B91" s="184" t="str">
        <f>"Mes " &amp;B66</f>
        <v>Mes 09/01/2022</v>
      </c>
      <c r="H91" s="184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09/01/2022</v>
      </c>
      <c r="B92" s="164"/>
      <c r="C92" s="164"/>
      <c r="D92" s="164"/>
      <c r="E92" s="183" t="str">
        <f>CONCATENATE("Mes",CHAR(13),MID(A92,66,10))</f>
        <v>Mes_x000D_09/01/2022</v>
      </c>
      <c r="G92" s="149" t="str">
        <f>"Estructura de generacion mensual de energía eléctrica peninsular " &amp; H66</f>
        <v>Estructura de generacion mensual de energía eléctrica peninsular 30/01/2021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2">
        <f>IF(B$72&lt;0,VLOOKUP(A94,A$69:B$84,2,FALSE)/SUM(B$69:B$71,B$73:B$81)*100,VLOOKUP(A94,A$69:B$84,2,FALSE)/VLOOKUP("Generación",A$69:B$84,2,FALSE)*100)</f>
        <v>1.7525239657710672</v>
      </c>
      <c r="C94" s="107"/>
      <c r="G94" s="108" t="s">
        <v>81</v>
      </c>
      <c r="H94" s="182">
        <f>VLOOKUP(G94,G$69:H$84,2,FALSE)/VLOOKUP("Generación",G$69:H$84,2,FALSE)*100</f>
        <v>0.69281446720541429</v>
      </c>
      <c r="I94" s="107"/>
    </row>
    <row r="95" spans="1:11">
      <c r="A95" s="108" t="s">
        <v>3</v>
      </c>
      <c r="B95" s="182">
        <f>IF(B$72&lt;0,VLOOKUP(A95,A$69:B$84,2,FALSE)/SUM(B$69:B$71,B$73:B$81)*100,VLOOKUP(A95,A$69:B$84,2,FALSE)/VLOOKUP("Generación",A$69:B$84,2,FALSE)*100)</f>
        <v>19.166822242662789</v>
      </c>
      <c r="C95" s="107"/>
      <c r="G95" s="108" t="s">
        <v>3</v>
      </c>
      <c r="H95" s="182">
        <f>VLOOKUP(G95,G$69:H$84,2,FALSE)/VLOOKUP("Generación",G$69:H$84,2,FALSE)*100</f>
        <v>17.394750463402886</v>
      </c>
      <c r="I95" s="107"/>
    </row>
    <row r="96" spans="1:11">
      <c r="A96" s="108" t="s">
        <v>4</v>
      </c>
      <c r="B96" s="182">
        <f>IF(B$72&lt;0,,VLOOKUP(A96,A$69:B$84,2,FALSE)/VLOOKUP("Generación",A$69:B$84,2,FALSE)*100)</f>
        <v>2.9681592145383142</v>
      </c>
      <c r="C96" s="107"/>
      <c r="D96" s="165"/>
      <c r="E96" s="165"/>
      <c r="G96" s="108" t="s">
        <v>4</v>
      </c>
      <c r="H96" s="182">
        <f>IF(H$72&lt;0,,VLOOKUP(G96,G$69:H$84,2,FALSE)/VLOOKUP("Generación",G$69:H$84,2,FALSE)*100)</f>
        <v>0</v>
      </c>
      <c r="I96" s="107"/>
      <c r="J96" s="165"/>
      <c r="K96" s="165"/>
    </row>
    <row r="97" spans="1:11">
      <c r="A97" s="108" t="s">
        <v>11</v>
      </c>
      <c r="B97" s="182">
        <f t="shared" ref="B97:B105" si="5">IF(B$72&lt;0,VLOOKUP(A97,A$69:B$84,2,FALSE)/SUM(B$69:B$71,B$73:B$81)*100,VLOOKUP(A97,A$69:B$84,2,FALSE)/VLOOKUP("Generación",A$69:B$84,2,FALSE)*100)</f>
        <v>4.1258563201319554</v>
      </c>
      <c r="C97" s="107"/>
      <c r="D97" s="165"/>
      <c r="E97" s="165"/>
      <c r="G97" s="108" t="s">
        <v>11</v>
      </c>
      <c r="H97" s="182">
        <f t="shared" ref="H97:H105" si="6">VLOOKUP(G97,G$69:H$84,2,FALSE)/VLOOKUP("Generación",G$69:H$84,2,FALSE)*100</f>
        <v>2.8864133784140313</v>
      </c>
      <c r="I97" s="107"/>
      <c r="J97" s="165"/>
      <c r="K97" s="165"/>
    </row>
    <row r="98" spans="1:11">
      <c r="A98" s="108" t="s">
        <v>9</v>
      </c>
      <c r="B98" s="182">
        <f t="shared" si="5"/>
        <v>7.1221242045945656</v>
      </c>
      <c r="C98" s="107"/>
      <c r="D98" s="107"/>
      <c r="E98" s="107"/>
      <c r="G98" s="108" t="s">
        <v>9</v>
      </c>
      <c r="H98" s="182">
        <f t="shared" si="6"/>
        <v>7.3710771239051773</v>
      </c>
      <c r="I98" s="107"/>
      <c r="J98" s="107"/>
      <c r="K98" s="107"/>
    </row>
    <row r="99" spans="1:11">
      <c r="A99" s="108" t="s">
        <v>70</v>
      </c>
      <c r="B99" s="182">
        <f t="shared" si="5"/>
        <v>0.64225363978078231</v>
      </c>
      <c r="C99" s="107"/>
      <c r="D99" s="107"/>
      <c r="E99" s="107"/>
      <c r="G99" s="108" t="s">
        <v>70</v>
      </c>
      <c r="H99" s="182">
        <f t="shared" si="6"/>
        <v>0.66203296674175549</v>
      </c>
      <c r="I99" s="107"/>
      <c r="J99" s="107"/>
      <c r="K99" s="107"/>
    </row>
    <row r="100" spans="1:11">
      <c r="A100" s="108" t="s">
        <v>69</v>
      </c>
      <c r="B100" s="182">
        <f t="shared" si="5"/>
        <v>0.30475383297780534</v>
      </c>
      <c r="C100" s="107"/>
      <c r="D100" s="107"/>
      <c r="E100" s="107"/>
      <c r="G100" s="108" t="s">
        <v>69</v>
      </c>
      <c r="H100" s="182">
        <f t="shared" si="6"/>
        <v>0.22786352459990888</v>
      </c>
      <c r="I100" s="107"/>
      <c r="J100" s="107"/>
      <c r="K100" s="107"/>
    </row>
    <row r="101" spans="1:11">
      <c r="A101" s="108" t="s">
        <v>5</v>
      </c>
      <c r="B101" s="182">
        <f t="shared" si="5"/>
        <v>50.472066154559926</v>
      </c>
      <c r="C101" s="107"/>
      <c r="D101" s="107"/>
      <c r="E101" s="107"/>
      <c r="G101" s="108" t="s">
        <v>5</v>
      </c>
      <c r="H101" s="182">
        <f t="shared" si="6"/>
        <v>49.405385372253484</v>
      </c>
      <c r="I101" s="107"/>
      <c r="J101" s="107"/>
      <c r="K101" s="107"/>
    </row>
    <row r="102" spans="1:11">
      <c r="A102" s="108" t="s">
        <v>2</v>
      </c>
      <c r="B102" s="182">
        <f t="shared" si="5"/>
        <v>6.1095130711342573</v>
      </c>
      <c r="C102" s="107"/>
      <c r="D102" s="107"/>
      <c r="E102" s="107"/>
      <c r="G102" s="108" t="s">
        <v>2</v>
      </c>
      <c r="H102" s="182">
        <f t="shared" si="6"/>
        <v>15.776526304881578</v>
      </c>
      <c r="I102" s="107"/>
      <c r="J102" s="107"/>
      <c r="K102" s="107"/>
    </row>
    <row r="103" spans="1:11">
      <c r="A103" s="108" t="s">
        <v>6</v>
      </c>
      <c r="B103" s="182">
        <f t="shared" si="5"/>
        <v>4.9702136425389041</v>
      </c>
      <c r="C103" s="107"/>
      <c r="D103" s="107"/>
      <c r="E103" s="107"/>
      <c r="G103" s="108" t="s">
        <v>6</v>
      </c>
      <c r="H103" s="182">
        <f t="shared" si="6"/>
        <v>3.6823839746229123</v>
      </c>
      <c r="I103" s="107"/>
      <c r="J103" s="107"/>
      <c r="K103" s="107"/>
    </row>
    <row r="104" spans="1:11">
      <c r="A104" s="108" t="s">
        <v>7</v>
      </c>
      <c r="B104" s="182">
        <f t="shared" si="5"/>
        <v>0.5553108596958598</v>
      </c>
      <c r="C104" s="107"/>
      <c r="D104" s="107"/>
      <c r="E104" s="107"/>
      <c r="G104" s="108" t="s">
        <v>7</v>
      </c>
      <c r="H104" s="182">
        <f t="shared" si="6"/>
        <v>0.17163179294792341</v>
      </c>
      <c r="I104" s="107"/>
      <c r="J104" s="107"/>
      <c r="K104" s="107"/>
    </row>
    <row r="105" spans="1:11">
      <c r="A105" s="108" t="s">
        <v>8</v>
      </c>
      <c r="B105" s="182">
        <f t="shared" si="5"/>
        <v>1.8104028516137707</v>
      </c>
      <c r="C105" s="164"/>
      <c r="D105" s="164"/>
      <c r="E105" s="164"/>
      <c r="G105" s="108" t="s">
        <v>8</v>
      </c>
      <c r="H105" s="182">
        <f t="shared" si="6"/>
        <v>1.7887357605853444</v>
      </c>
      <c r="I105" s="165"/>
      <c r="J105" s="165"/>
      <c r="K105" s="165"/>
    </row>
    <row r="106" spans="1:11">
      <c r="A106" s="110" t="s">
        <v>15</v>
      </c>
      <c r="B106" s="111">
        <f>SUM(B94:B105)</f>
        <v>100.00000000000001</v>
      </c>
      <c r="C106" s="164"/>
      <c r="D106" s="164"/>
      <c r="E106" s="164"/>
      <c r="G106" s="110" t="s">
        <v>15</v>
      </c>
      <c r="H106" s="111">
        <f>SUM(H94:H105)</f>
        <v>100.0596151295604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35.777739587479473</v>
      </c>
      <c r="G109" s="167" t="s">
        <v>16</v>
      </c>
      <c r="H109" s="168">
        <f>SUM(H94:H99)</f>
        <v>29.007088399669264</v>
      </c>
    </row>
    <row r="110" spans="1:11">
      <c r="A110" s="171" t="s">
        <v>17</v>
      </c>
      <c r="B110" s="172">
        <f>SUM(B100:B105)</f>
        <v>64.222260412520512</v>
      </c>
      <c r="G110" s="171" t="s">
        <v>17</v>
      </c>
      <c r="H110" s="172">
        <f>SUM(H100:H105)</f>
        <v>71.052526729891142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34" t="s">
        <v>98</v>
      </c>
      <c r="C115" s="335"/>
      <c r="D115" s="335"/>
      <c r="E115" s="335"/>
      <c r="F115" s="335"/>
      <c r="G115" s="335"/>
      <c r="H115" s="335"/>
      <c r="I115" s="335"/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35"/>
      <c r="X115" s="335"/>
      <c r="Y115" s="335"/>
      <c r="Z115" s="335"/>
    </row>
    <row r="116" spans="1:26">
      <c r="A116" s="174" t="s">
        <v>106</v>
      </c>
      <c r="B116" s="338" t="s">
        <v>109</v>
      </c>
      <c r="C116" s="339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39"/>
      <c r="X116" s="339"/>
      <c r="Y116" s="339"/>
      <c r="Z116" s="339"/>
    </row>
    <row r="117" spans="1:26">
      <c r="A117" s="179" t="s">
        <v>30</v>
      </c>
      <c r="B117" s="316" t="s">
        <v>180</v>
      </c>
      <c r="C117" s="316" t="s">
        <v>181</v>
      </c>
      <c r="D117" s="316" t="s">
        <v>183</v>
      </c>
      <c r="E117" s="316" t="s">
        <v>187</v>
      </c>
      <c r="F117" s="316" t="s">
        <v>188</v>
      </c>
      <c r="G117" s="316" t="s">
        <v>189</v>
      </c>
      <c r="H117" s="316" t="s">
        <v>190</v>
      </c>
      <c r="I117" s="316" t="s">
        <v>191</v>
      </c>
      <c r="J117" s="316" t="s">
        <v>192</v>
      </c>
      <c r="K117" s="316" t="s">
        <v>193</v>
      </c>
      <c r="L117" s="316" t="s">
        <v>194</v>
      </c>
      <c r="M117" s="316" t="s">
        <v>195</v>
      </c>
      <c r="N117" s="316" t="s">
        <v>196</v>
      </c>
      <c r="O117" s="316" t="s">
        <v>198</v>
      </c>
      <c r="P117" s="316" t="s">
        <v>199</v>
      </c>
      <c r="Q117" s="316" t="s">
        <v>201</v>
      </c>
      <c r="R117" s="316" t="s">
        <v>207</v>
      </c>
      <c r="S117" s="316" t="s">
        <v>209</v>
      </c>
      <c r="T117" s="316" t="s">
        <v>214</v>
      </c>
      <c r="U117" s="316" t="s">
        <v>215</v>
      </c>
      <c r="V117" s="316" t="s">
        <v>217</v>
      </c>
      <c r="W117" s="316" t="s">
        <v>218</v>
      </c>
      <c r="X117" s="316" t="s">
        <v>219</v>
      </c>
      <c r="Y117" s="316" t="s">
        <v>220</v>
      </c>
      <c r="Z117" s="316" t="s">
        <v>223</v>
      </c>
    </row>
    <row r="118" spans="1:26">
      <c r="A118" s="174" t="s">
        <v>107</v>
      </c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</row>
    <row r="119" spans="1:26">
      <c r="A119" s="308" t="s">
        <v>2</v>
      </c>
      <c r="B119" s="177">
        <v>3729.0395239300001</v>
      </c>
      <c r="C119" s="177">
        <v>2838.3377134379998</v>
      </c>
      <c r="D119" s="177">
        <v>3113.7620234460001</v>
      </c>
      <c r="E119" s="177">
        <v>2862.0862255259999</v>
      </c>
      <c r="F119" s="177">
        <v>2859.971565626</v>
      </c>
      <c r="G119" s="177">
        <v>2266.1504495600002</v>
      </c>
      <c r="H119" s="177">
        <v>1837.7447382079999</v>
      </c>
      <c r="I119" s="177">
        <v>1889.222701444</v>
      </c>
      <c r="J119" s="177">
        <v>1671.404721372</v>
      </c>
      <c r="K119" s="177">
        <v>1905.510075942</v>
      </c>
      <c r="L119" s="177">
        <v>2463.028327296</v>
      </c>
      <c r="M119" s="177">
        <v>3191.9843105479999</v>
      </c>
      <c r="N119" s="177">
        <v>4057.0491571819998</v>
      </c>
      <c r="O119" s="177">
        <v>4517.3439469479999</v>
      </c>
      <c r="P119" s="177">
        <v>3713.6790790800001</v>
      </c>
      <c r="Q119" s="177">
        <v>2742.5670331319998</v>
      </c>
      <c r="R119" s="177">
        <v>2156.7115169600002</v>
      </c>
      <c r="S119" s="177">
        <v>2179.4227844279999</v>
      </c>
      <c r="T119" s="177">
        <v>2206.5567297779999</v>
      </c>
      <c r="U119" s="177">
        <v>1879.983812162</v>
      </c>
      <c r="V119" s="177">
        <v>1393.78333174</v>
      </c>
      <c r="W119" s="177">
        <v>1020.47985714</v>
      </c>
      <c r="X119" s="177">
        <v>1192.550182512</v>
      </c>
      <c r="Y119" s="177">
        <v>2518.7959635040002</v>
      </c>
      <c r="Z119" s="177">
        <v>2070.2394339440002</v>
      </c>
    </row>
    <row r="120" spans="1:26">
      <c r="A120" s="308" t="s">
        <v>81</v>
      </c>
      <c r="B120" s="177">
        <v>233.77888705199999</v>
      </c>
      <c r="C120" s="177">
        <v>229.83714941400001</v>
      </c>
      <c r="D120" s="177">
        <v>303.52379088800001</v>
      </c>
      <c r="E120" s="177">
        <v>314.35098405000002</v>
      </c>
      <c r="F120" s="177">
        <v>243.63992918599999</v>
      </c>
      <c r="G120" s="177">
        <v>152.41030189599999</v>
      </c>
      <c r="H120" s="177">
        <v>167.16093403400001</v>
      </c>
      <c r="I120" s="177">
        <v>158.85512120000001</v>
      </c>
      <c r="J120" s="177">
        <v>187.66733834799999</v>
      </c>
      <c r="K120" s="177">
        <v>233.25786839</v>
      </c>
      <c r="L120" s="177">
        <v>206.00259686199999</v>
      </c>
      <c r="M120" s="177">
        <v>320.95558489799998</v>
      </c>
      <c r="N120" s="177">
        <v>320.531387408</v>
      </c>
      <c r="O120" s="177">
        <v>401.29321896599998</v>
      </c>
      <c r="P120" s="177">
        <v>330.79456254199999</v>
      </c>
      <c r="Q120" s="177">
        <v>153.67971897199999</v>
      </c>
      <c r="R120" s="177">
        <v>238.70894406400001</v>
      </c>
      <c r="S120" s="177">
        <v>105.70565758799999</v>
      </c>
      <c r="T120" s="177">
        <v>115.791574032</v>
      </c>
      <c r="U120" s="177">
        <v>159.80881627400001</v>
      </c>
      <c r="V120" s="177">
        <v>118.239862456</v>
      </c>
      <c r="W120" s="177">
        <v>232.11320922199999</v>
      </c>
      <c r="X120" s="177">
        <v>202.78682990199999</v>
      </c>
      <c r="Y120" s="177">
        <v>269.90862404000001</v>
      </c>
      <c r="Z120" s="177">
        <v>215.45053776</v>
      </c>
    </row>
    <row r="121" spans="1:26">
      <c r="A121" s="308" t="s">
        <v>3</v>
      </c>
      <c r="B121" s="177">
        <v>5289.1460239999997</v>
      </c>
      <c r="C121" s="177">
        <v>4885.6830239999999</v>
      </c>
      <c r="D121" s="177">
        <v>5174.9451150000004</v>
      </c>
      <c r="E121" s="177">
        <v>4085.604789</v>
      </c>
      <c r="F121" s="177">
        <v>3078.9577610000001</v>
      </c>
      <c r="G121" s="177">
        <v>3621.3812859999998</v>
      </c>
      <c r="H121" s="177">
        <v>5159.0058550000003</v>
      </c>
      <c r="I121" s="177">
        <v>5151.9174220000004</v>
      </c>
      <c r="J121" s="177">
        <v>4871.2094020000004</v>
      </c>
      <c r="K121" s="177">
        <v>4530.2764660000003</v>
      </c>
      <c r="L121" s="177">
        <v>4639.700503</v>
      </c>
      <c r="M121" s="177">
        <v>5270.5322100000003</v>
      </c>
      <c r="N121" s="177">
        <v>5199.7405159999998</v>
      </c>
      <c r="O121" s="177">
        <v>4358.5151070000002</v>
      </c>
      <c r="P121" s="177">
        <v>4833.1364599999997</v>
      </c>
      <c r="Q121" s="177">
        <v>4197.3329299999996</v>
      </c>
      <c r="R121" s="177">
        <v>4373.2505520000004</v>
      </c>
      <c r="S121" s="177">
        <v>3684.3838430000001</v>
      </c>
      <c r="T121" s="177">
        <v>5119.3289409999998</v>
      </c>
      <c r="U121" s="177">
        <v>5150.2640140000003</v>
      </c>
      <c r="V121" s="177">
        <v>4890.5065249999998</v>
      </c>
      <c r="W121" s="177">
        <v>4748.3949460000003</v>
      </c>
      <c r="X121" s="177">
        <v>3562.3582710000001</v>
      </c>
      <c r="Y121" s="177">
        <v>3922.864118</v>
      </c>
      <c r="Z121" s="177">
        <v>5048.3268710000002</v>
      </c>
    </row>
    <row r="122" spans="1:26">
      <c r="A122" s="308" t="s">
        <v>4</v>
      </c>
      <c r="B122" s="177">
        <v>869.06435199999999</v>
      </c>
      <c r="C122" s="177">
        <v>822.65919599999995</v>
      </c>
      <c r="D122" s="177">
        <v>476.48416300000002</v>
      </c>
      <c r="E122" s="177">
        <v>306.82421299999999</v>
      </c>
      <c r="F122" s="177">
        <v>244.56557599999999</v>
      </c>
      <c r="G122" s="177">
        <v>362.74042200000002</v>
      </c>
      <c r="H122" s="177">
        <v>302.88836099999997</v>
      </c>
      <c r="I122" s="177">
        <v>338.292575</v>
      </c>
      <c r="J122" s="177">
        <v>282.41486099999997</v>
      </c>
      <c r="K122" s="177">
        <v>234.94852399999999</v>
      </c>
      <c r="L122" s="177">
        <v>336.17887100000002</v>
      </c>
      <c r="M122" s="177">
        <v>221.98997299999999</v>
      </c>
      <c r="N122" s="177">
        <v>558.50496999999996</v>
      </c>
      <c r="O122" s="177">
        <v>176.80514199999999</v>
      </c>
      <c r="P122" s="177">
        <v>242.90612300000001</v>
      </c>
      <c r="Q122" s="177">
        <v>270.94085699999999</v>
      </c>
      <c r="R122" s="177">
        <v>333.46752600000002</v>
      </c>
      <c r="S122" s="177">
        <v>431.99096700000001</v>
      </c>
      <c r="T122" s="177">
        <v>302.41718100000003</v>
      </c>
      <c r="U122" s="177">
        <v>320.34443199999998</v>
      </c>
      <c r="V122" s="177">
        <v>477.92579699999999</v>
      </c>
      <c r="W122" s="177">
        <v>528.18759499999999</v>
      </c>
      <c r="X122" s="177">
        <v>577.43674399999998</v>
      </c>
      <c r="Y122" s="177">
        <v>721.09479699999997</v>
      </c>
      <c r="Z122" s="177">
        <v>710.59119999999996</v>
      </c>
    </row>
    <row r="123" spans="1:26">
      <c r="A123" s="308" t="s">
        <v>95</v>
      </c>
      <c r="B123" s="177">
        <v>0</v>
      </c>
      <c r="C123" s="177">
        <v>0</v>
      </c>
      <c r="D123" s="177">
        <v>9.9999999999999995E-7</v>
      </c>
      <c r="E123" s="177">
        <v>0</v>
      </c>
      <c r="F123" s="177">
        <v>-9.9999999999999995E-7</v>
      </c>
      <c r="G123" s="177">
        <v>0</v>
      </c>
      <c r="H123" s="177">
        <v>0</v>
      </c>
      <c r="I123" s="177">
        <v>0</v>
      </c>
      <c r="J123" s="177">
        <v>0</v>
      </c>
      <c r="K123" s="177">
        <v>0</v>
      </c>
      <c r="L123" s="177">
        <v>0</v>
      </c>
      <c r="M123" s="177">
        <v>0</v>
      </c>
      <c r="N123" s="177">
        <v>0</v>
      </c>
      <c r="O123" s="177">
        <v>0</v>
      </c>
      <c r="P123" s="177">
        <v>0</v>
      </c>
      <c r="Q123" s="177">
        <v>0</v>
      </c>
      <c r="R123" s="177">
        <v>0</v>
      </c>
      <c r="S123" s="177">
        <v>0</v>
      </c>
      <c r="T123" s="177">
        <v>-9.9999999999999995E-7</v>
      </c>
      <c r="U123" s="177">
        <v>0</v>
      </c>
      <c r="V123" s="177">
        <v>0</v>
      </c>
      <c r="W123" s="177">
        <v>0</v>
      </c>
      <c r="X123" s="177">
        <v>0</v>
      </c>
      <c r="Y123" s="177">
        <v>0</v>
      </c>
      <c r="Z123" s="177">
        <v>0</v>
      </c>
    </row>
    <row r="124" spans="1:26">
      <c r="A124" s="308" t="s">
        <v>11</v>
      </c>
      <c r="B124" s="177">
        <v>3272.2781909999999</v>
      </c>
      <c r="C124" s="177">
        <v>2388.361879</v>
      </c>
      <c r="D124" s="177">
        <v>1386.2401620000001</v>
      </c>
      <c r="E124" s="177">
        <v>1730.7334739999999</v>
      </c>
      <c r="F124" s="177">
        <v>2017.855785</v>
      </c>
      <c r="G124" s="177">
        <v>3556.3490299999999</v>
      </c>
      <c r="H124" s="177">
        <v>5829.9045759999999</v>
      </c>
      <c r="I124" s="177">
        <v>5051.1759519999996</v>
      </c>
      <c r="J124" s="177">
        <v>4546.3016939999998</v>
      </c>
      <c r="K124" s="177">
        <v>2791.077628</v>
      </c>
      <c r="L124" s="177">
        <v>3221.2788070000001</v>
      </c>
      <c r="M124" s="177">
        <v>2564.8914709999999</v>
      </c>
      <c r="N124" s="177">
        <v>2188.3044850000001</v>
      </c>
      <c r="O124" s="177">
        <v>1086.83896</v>
      </c>
      <c r="P124" s="177">
        <v>1649.4189409999999</v>
      </c>
      <c r="Q124" s="177">
        <v>2864.730763</v>
      </c>
      <c r="R124" s="177">
        <v>2004.776314</v>
      </c>
      <c r="S124" s="177">
        <v>3136.247484</v>
      </c>
      <c r="T124" s="177">
        <v>3024.7339200000001</v>
      </c>
      <c r="U124" s="177">
        <v>3325.1444550000001</v>
      </c>
      <c r="V124" s="177">
        <v>4296.9849320000003</v>
      </c>
      <c r="W124" s="177">
        <v>3806.1083130000002</v>
      </c>
      <c r="X124" s="177">
        <v>5697.6167089999999</v>
      </c>
      <c r="Y124" s="177">
        <v>4500.3505590000004</v>
      </c>
      <c r="Z124" s="177">
        <v>5197.2192379999997</v>
      </c>
    </row>
    <row r="125" spans="1:26">
      <c r="A125" s="308" t="s">
        <v>5</v>
      </c>
      <c r="B125" s="177">
        <v>4566.3040510000001</v>
      </c>
      <c r="C125" s="177">
        <v>4177.8132310000001</v>
      </c>
      <c r="D125" s="177">
        <v>5503.5027019999998</v>
      </c>
      <c r="E125" s="177">
        <v>3639.796961</v>
      </c>
      <c r="F125" s="177">
        <v>3894.5800979999999</v>
      </c>
      <c r="G125" s="177">
        <v>3240.3944019999999</v>
      </c>
      <c r="H125" s="177">
        <v>4101.0742440000004</v>
      </c>
      <c r="I125" s="177">
        <v>3509.000794</v>
      </c>
      <c r="J125" s="177">
        <v>3962.2042179999999</v>
      </c>
      <c r="K125" s="177">
        <v>5673.8364600000004</v>
      </c>
      <c r="L125" s="177">
        <v>4154.8920449999996</v>
      </c>
      <c r="M125" s="177">
        <v>7378.656806</v>
      </c>
      <c r="N125" s="177">
        <v>7019.2756399999998</v>
      </c>
      <c r="O125" s="177">
        <v>6236.045451</v>
      </c>
      <c r="P125" s="177">
        <v>5521.6130549999998</v>
      </c>
      <c r="Q125" s="177">
        <v>4041.8016459999999</v>
      </c>
      <c r="R125" s="177">
        <v>4620.8358829999997</v>
      </c>
      <c r="S125" s="177">
        <v>3533.4356429999998</v>
      </c>
      <c r="T125" s="177">
        <v>4121.6008309999997</v>
      </c>
      <c r="U125" s="177">
        <v>3597.0922369999998</v>
      </c>
      <c r="V125" s="177">
        <v>3123.0617010000001</v>
      </c>
      <c r="W125" s="177">
        <v>4229.363085</v>
      </c>
      <c r="X125" s="177">
        <v>6318.0829219999996</v>
      </c>
      <c r="Y125" s="177">
        <v>6812.815904</v>
      </c>
      <c r="Z125" s="177">
        <v>5352.3177050000004</v>
      </c>
    </row>
    <row r="126" spans="1:26">
      <c r="A126" s="308" t="s">
        <v>6</v>
      </c>
      <c r="B126" s="177">
        <v>600.905395</v>
      </c>
      <c r="C126" s="177">
        <v>944.41641100000004</v>
      </c>
      <c r="D126" s="177">
        <v>1036.7663419999999</v>
      </c>
      <c r="E126" s="177">
        <v>1115.1015640000001</v>
      </c>
      <c r="F126" s="177">
        <v>1597.8024949999999</v>
      </c>
      <c r="G126" s="177">
        <v>1761.6896790000001</v>
      </c>
      <c r="H126" s="177">
        <v>1863.4338660000001</v>
      </c>
      <c r="I126" s="177">
        <v>1779.0468550000001</v>
      </c>
      <c r="J126" s="177">
        <v>1428.9023930000001</v>
      </c>
      <c r="K126" s="177">
        <v>1285.2068999999999</v>
      </c>
      <c r="L126" s="177">
        <v>790.714696</v>
      </c>
      <c r="M126" s="177">
        <v>720.75091599999996</v>
      </c>
      <c r="N126" s="177">
        <v>823.15754800000002</v>
      </c>
      <c r="O126" s="177">
        <v>946.13011200000005</v>
      </c>
      <c r="P126" s="177">
        <v>1649.2322059999999</v>
      </c>
      <c r="Q126" s="177">
        <v>1626.286437</v>
      </c>
      <c r="R126" s="177">
        <v>2337.876855</v>
      </c>
      <c r="S126" s="177">
        <v>2276.176676</v>
      </c>
      <c r="T126" s="177">
        <v>2563.3711840000001</v>
      </c>
      <c r="U126" s="177">
        <v>2342.001773</v>
      </c>
      <c r="V126" s="177">
        <v>1881.418173</v>
      </c>
      <c r="W126" s="177">
        <v>1726.4504890000001</v>
      </c>
      <c r="X126" s="177">
        <v>1304.1826659999999</v>
      </c>
      <c r="Y126" s="177">
        <v>988.84680000000003</v>
      </c>
      <c r="Z126" s="177">
        <v>1515.5292179999999</v>
      </c>
    </row>
    <row r="127" spans="1:26">
      <c r="A127" s="308" t="s">
        <v>7</v>
      </c>
      <c r="B127" s="177">
        <v>85.967850999999996</v>
      </c>
      <c r="C127" s="177">
        <v>227.955996</v>
      </c>
      <c r="D127" s="177">
        <v>235.96742</v>
      </c>
      <c r="E127" s="177">
        <v>206.86543699999999</v>
      </c>
      <c r="F127" s="177">
        <v>552.48475099999996</v>
      </c>
      <c r="G127" s="177">
        <v>711.64684799999998</v>
      </c>
      <c r="H127" s="177">
        <v>796.17204200000003</v>
      </c>
      <c r="I127" s="177">
        <v>744.54166099999998</v>
      </c>
      <c r="J127" s="177">
        <v>452.15923299999997</v>
      </c>
      <c r="K127" s="177">
        <v>340.27470899999997</v>
      </c>
      <c r="L127" s="177">
        <v>108.048269</v>
      </c>
      <c r="M127" s="177">
        <v>76.225913000000006</v>
      </c>
      <c r="N127" s="177">
        <v>102.634029</v>
      </c>
      <c r="O127" s="177">
        <v>138.18132700000001</v>
      </c>
      <c r="P127" s="177">
        <v>355.01542699999999</v>
      </c>
      <c r="Q127" s="177">
        <v>266.78751899999997</v>
      </c>
      <c r="R127" s="177">
        <v>645.59745699999996</v>
      </c>
      <c r="S127" s="177">
        <v>655.36365000000001</v>
      </c>
      <c r="T127" s="177">
        <v>828.49249399999997</v>
      </c>
      <c r="U127" s="177">
        <v>661.44510200000002</v>
      </c>
      <c r="V127" s="177">
        <v>447.44465700000001</v>
      </c>
      <c r="W127" s="177">
        <v>328.14902799999999</v>
      </c>
      <c r="X127" s="177">
        <v>172.42607599999999</v>
      </c>
      <c r="Y127" s="177">
        <v>103.956001</v>
      </c>
      <c r="Z127" s="177">
        <v>170.90533300000001</v>
      </c>
    </row>
    <row r="128" spans="1:26">
      <c r="A128" s="308" t="s">
        <v>8</v>
      </c>
      <c r="B128" s="177">
        <v>334.23399499999999</v>
      </c>
      <c r="C128" s="177">
        <v>346.68957799999998</v>
      </c>
      <c r="D128" s="177">
        <v>345.447835</v>
      </c>
      <c r="E128" s="177">
        <v>336.902581</v>
      </c>
      <c r="F128" s="177">
        <v>386.581592</v>
      </c>
      <c r="G128" s="177">
        <v>379.163185</v>
      </c>
      <c r="H128" s="177">
        <v>348.81331</v>
      </c>
      <c r="I128" s="177">
        <v>368.076976</v>
      </c>
      <c r="J128" s="177">
        <v>395.43069100000002</v>
      </c>
      <c r="K128" s="177">
        <v>414.55981100000002</v>
      </c>
      <c r="L128" s="177">
        <v>393.76221500000003</v>
      </c>
      <c r="M128" s="177">
        <v>422.10304600000001</v>
      </c>
      <c r="N128" s="177">
        <v>390.17391600000002</v>
      </c>
      <c r="O128" s="177">
        <v>364.41521899999998</v>
      </c>
      <c r="P128" s="177">
        <v>358.41619500000002</v>
      </c>
      <c r="Q128" s="177">
        <v>391.394882</v>
      </c>
      <c r="R128" s="177">
        <v>390.09045800000001</v>
      </c>
      <c r="S128" s="177">
        <v>357.15935500000001</v>
      </c>
      <c r="T128" s="177">
        <v>351.79724199999998</v>
      </c>
      <c r="U128" s="177">
        <v>409.84376200000003</v>
      </c>
      <c r="V128" s="177">
        <v>395.48078299999997</v>
      </c>
      <c r="W128" s="177">
        <v>431.37135699999999</v>
      </c>
      <c r="X128" s="177">
        <v>433.10227200000003</v>
      </c>
      <c r="Y128" s="177">
        <v>434.32822099999998</v>
      </c>
      <c r="Z128" s="177">
        <v>428.36274100000003</v>
      </c>
    </row>
    <row r="129" spans="1:26">
      <c r="A129" s="308" t="s">
        <v>9</v>
      </c>
      <c r="B129" s="177">
        <v>2436.4933970000002</v>
      </c>
      <c r="C129" s="177">
        <v>2231.5593079999999</v>
      </c>
      <c r="D129" s="177">
        <v>2233.481276</v>
      </c>
      <c r="E129" s="177">
        <v>1926.0522579999999</v>
      </c>
      <c r="F129" s="177">
        <v>2084.4744719999999</v>
      </c>
      <c r="G129" s="177">
        <v>2187.0754889999998</v>
      </c>
      <c r="H129" s="177">
        <v>2301.8315189999998</v>
      </c>
      <c r="I129" s="177">
        <v>2192.3780729999999</v>
      </c>
      <c r="J129" s="177">
        <v>2308.1109540000002</v>
      </c>
      <c r="K129" s="177">
        <v>2351.6789010000002</v>
      </c>
      <c r="L129" s="177">
        <v>2390.2806930000002</v>
      </c>
      <c r="M129" s="177">
        <v>2353.0738099999999</v>
      </c>
      <c r="N129" s="177">
        <v>2401.1708629999998</v>
      </c>
      <c r="O129" s="177">
        <v>1834.5240309999999</v>
      </c>
      <c r="P129" s="177">
        <v>2248.6531970000001</v>
      </c>
      <c r="Q129" s="177">
        <v>2189.3046859999999</v>
      </c>
      <c r="R129" s="177">
        <v>2202.0104940000001</v>
      </c>
      <c r="S129" s="177">
        <v>2182.4178189999998</v>
      </c>
      <c r="T129" s="177">
        <v>2240.5457550000001</v>
      </c>
      <c r="U129" s="177">
        <v>2101.175643</v>
      </c>
      <c r="V129" s="177">
        <v>2159.0921499999999</v>
      </c>
      <c r="W129" s="177">
        <v>2138.1116240000001</v>
      </c>
      <c r="X129" s="177">
        <v>2172.6161619999998</v>
      </c>
      <c r="Y129" s="177">
        <v>2179.9598230000001</v>
      </c>
      <c r="Z129" s="177">
        <v>2170.2505030000002</v>
      </c>
    </row>
    <row r="130" spans="1:26">
      <c r="A130" s="308" t="s">
        <v>69</v>
      </c>
      <c r="B130" s="177">
        <v>55.184336000000002</v>
      </c>
      <c r="C130" s="177">
        <v>55.978365500000002</v>
      </c>
      <c r="D130" s="177">
        <v>51.389567499999998</v>
      </c>
      <c r="E130" s="177">
        <v>29.749654499999998</v>
      </c>
      <c r="F130" s="177">
        <v>30.791229000000001</v>
      </c>
      <c r="G130" s="177">
        <v>27.458276000000001</v>
      </c>
      <c r="H130" s="177">
        <v>31.820180000000001</v>
      </c>
      <c r="I130" s="177">
        <v>66.037119500000003</v>
      </c>
      <c r="J130" s="177">
        <v>58.507686499999998</v>
      </c>
      <c r="K130" s="177">
        <v>64.967821499999999</v>
      </c>
      <c r="L130" s="177">
        <v>67.556750500000007</v>
      </c>
      <c r="M130" s="177">
        <v>66.683813999999998</v>
      </c>
      <c r="N130" s="177">
        <v>52.060037999999999</v>
      </c>
      <c r="O130" s="177">
        <v>57.768275000000003</v>
      </c>
      <c r="P130" s="177">
        <v>61.963368000000003</v>
      </c>
      <c r="Q130" s="177">
        <v>66.322567500000005</v>
      </c>
      <c r="R130" s="177">
        <v>53.009402999999999</v>
      </c>
      <c r="S130" s="177">
        <v>65.533088500000005</v>
      </c>
      <c r="T130" s="177">
        <v>70.069195500000006</v>
      </c>
      <c r="U130" s="177">
        <v>67.951940500000006</v>
      </c>
      <c r="V130" s="177">
        <v>55.639892500000002</v>
      </c>
      <c r="W130" s="177">
        <v>61.837724000000001</v>
      </c>
      <c r="X130" s="177">
        <v>65.901263499999999</v>
      </c>
      <c r="Y130" s="177">
        <v>72.807829999999996</v>
      </c>
      <c r="Z130" s="177">
        <v>68.975128999999995</v>
      </c>
    </row>
    <row r="131" spans="1:26">
      <c r="A131" s="308" t="s">
        <v>70</v>
      </c>
      <c r="B131" s="177">
        <v>157.97660099999999</v>
      </c>
      <c r="C131" s="177">
        <v>163.5454105</v>
      </c>
      <c r="D131" s="177">
        <v>166.0983985</v>
      </c>
      <c r="E131" s="177">
        <v>134.23411250000001</v>
      </c>
      <c r="F131" s="177">
        <v>139.503086</v>
      </c>
      <c r="G131" s="177">
        <v>134.24086700000001</v>
      </c>
      <c r="H131" s="177">
        <v>129.766637</v>
      </c>
      <c r="I131" s="177">
        <v>178.96316150000001</v>
      </c>
      <c r="J131" s="177">
        <v>173.89508950000001</v>
      </c>
      <c r="K131" s="177">
        <v>156.7486255</v>
      </c>
      <c r="L131" s="177">
        <v>180.74303649999999</v>
      </c>
      <c r="M131" s="177">
        <v>180.94516899999999</v>
      </c>
      <c r="N131" s="177">
        <v>175.14184499999999</v>
      </c>
      <c r="O131" s="177">
        <v>161.44275200000001</v>
      </c>
      <c r="P131" s="177">
        <v>173.707269</v>
      </c>
      <c r="Q131" s="177">
        <v>170.05904150000001</v>
      </c>
      <c r="R131" s="177">
        <v>170.74740800000001</v>
      </c>
      <c r="S131" s="177">
        <v>182.66502349999999</v>
      </c>
      <c r="T131" s="177">
        <v>193.1337345</v>
      </c>
      <c r="U131" s="177">
        <v>198.4023795</v>
      </c>
      <c r="V131" s="177">
        <v>167.38102850000001</v>
      </c>
      <c r="W131" s="177">
        <v>179.049938</v>
      </c>
      <c r="X131" s="177">
        <v>164.8067685</v>
      </c>
      <c r="Y131" s="177">
        <v>171.82050699999999</v>
      </c>
      <c r="Z131" s="177">
        <v>159.55676600000001</v>
      </c>
    </row>
    <row r="132" spans="1:26">
      <c r="A132" s="309" t="s">
        <v>10</v>
      </c>
      <c r="B132" s="178">
        <v>21630.372603981999</v>
      </c>
      <c r="C132" s="178">
        <v>19312.837261852001</v>
      </c>
      <c r="D132" s="178">
        <v>20027.608796334</v>
      </c>
      <c r="E132" s="178">
        <v>16688.302253575999</v>
      </c>
      <c r="F132" s="178">
        <v>17131.208338812001</v>
      </c>
      <c r="G132" s="178">
        <v>18400.700235455999</v>
      </c>
      <c r="H132" s="178">
        <v>22869.616262242002</v>
      </c>
      <c r="I132" s="178">
        <v>21427.508411644001</v>
      </c>
      <c r="J132" s="178">
        <v>20338.208281719999</v>
      </c>
      <c r="K132" s="178">
        <v>19982.343790332001</v>
      </c>
      <c r="L132" s="178">
        <v>18952.186810158</v>
      </c>
      <c r="M132" s="178">
        <v>22768.793023446</v>
      </c>
      <c r="N132" s="178">
        <v>23287.744394590001</v>
      </c>
      <c r="O132" s="178">
        <v>20279.303541914</v>
      </c>
      <c r="P132" s="178">
        <v>21138.535882622</v>
      </c>
      <c r="Q132" s="178">
        <v>18981.208081104</v>
      </c>
      <c r="R132" s="178">
        <v>19527.082811024</v>
      </c>
      <c r="S132" s="178">
        <v>18790.501991016001</v>
      </c>
      <c r="T132" s="178">
        <v>21137.838780810001</v>
      </c>
      <c r="U132" s="178">
        <v>20213.458366436</v>
      </c>
      <c r="V132" s="178">
        <v>19406.958833196</v>
      </c>
      <c r="W132" s="178">
        <v>19429.617165362</v>
      </c>
      <c r="X132" s="178">
        <v>21863.866866413999</v>
      </c>
      <c r="Y132" s="178">
        <v>22697.549147543999</v>
      </c>
      <c r="Z132" s="178">
        <v>23107.724675704001</v>
      </c>
    </row>
    <row r="133" spans="1:26">
      <c r="A133" s="308" t="s">
        <v>122</v>
      </c>
      <c r="B133" s="177">
        <v>-399.378153</v>
      </c>
      <c r="C133" s="177">
        <v>-392.60482500000001</v>
      </c>
      <c r="D133" s="177">
        <v>-600.24192497599995</v>
      </c>
      <c r="E133" s="177">
        <v>-679.70917919199997</v>
      </c>
      <c r="F133" s="177">
        <v>-366.54343990900003</v>
      </c>
      <c r="G133" s="177">
        <v>-213.838335</v>
      </c>
      <c r="H133" s="177">
        <v>-303.18012404799998</v>
      </c>
      <c r="I133" s="177">
        <v>-259.28085923999998</v>
      </c>
      <c r="J133" s="177">
        <v>-221.76098604800001</v>
      </c>
      <c r="K133" s="177">
        <v>-366.70103899999998</v>
      </c>
      <c r="L133" s="177">
        <v>-296.43086299999999</v>
      </c>
      <c r="M133" s="177">
        <v>-528.04559900000004</v>
      </c>
      <c r="N133" s="177">
        <v>-610.89696300000003</v>
      </c>
      <c r="O133" s="177">
        <v>-789.64869999999996</v>
      </c>
      <c r="P133" s="177">
        <v>-463.99294998200003</v>
      </c>
      <c r="Q133" s="177">
        <v>-216.71217380799999</v>
      </c>
      <c r="R133" s="177">
        <v>-393.88363104799998</v>
      </c>
      <c r="S133" s="177">
        <v>-149.061462288</v>
      </c>
      <c r="T133" s="177">
        <v>-180.989155856</v>
      </c>
      <c r="U133" s="177">
        <v>-186.659437096</v>
      </c>
      <c r="V133" s="177">
        <v>-161.032901917</v>
      </c>
      <c r="W133" s="177">
        <v>-369.80918800000001</v>
      </c>
      <c r="X133" s="177">
        <v>-273.34553799999998</v>
      </c>
      <c r="Y133" s="177">
        <v>-550.60485200000005</v>
      </c>
      <c r="Z133" s="177">
        <v>-413.82872400000002</v>
      </c>
    </row>
    <row r="134" spans="1:26">
      <c r="A134" s="308" t="s">
        <v>97</v>
      </c>
      <c r="B134" s="177">
        <v>-136.155901</v>
      </c>
      <c r="C134" s="177">
        <v>-115.92849699999999</v>
      </c>
      <c r="D134" s="177">
        <v>-112.780382</v>
      </c>
      <c r="E134" s="177">
        <v>-80.581305999999998</v>
      </c>
      <c r="F134" s="177">
        <v>-79.946523999999997</v>
      </c>
      <c r="G134" s="177">
        <v>-93.289579000000003</v>
      </c>
      <c r="H134" s="177">
        <v>-168.331695</v>
      </c>
      <c r="I134" s="177">
        <v>-182.71595500000001</v>
      </c>
      <c r="J134" s="177">
        <v>-116.274961</v>
      </c>
      <c r="K134" s="177">
        <v>-105.943506</v>
      </c>
      <c r="L134" s="177">
        <v>-96.327618999999999</v>
      </c>
      <c r="M134" s="177">
        <v>-138.26159999999999</v>
      </c>
      <c r="N134" s="177">
        <v>-138.25041200000001</v>
      </c>
      <c r="O134" s="177">
        <v>-113.412009</v>
      </c>
      <c r="P134" s="177">
        <v>-127.985573</v>
      </c>
      <c r="Q134" s="177">
        <v>-111.02179700000001</v>
      </c>
      <c r="R134" s="177">
        <v>-111.601713</v>
      </c>
      <c r="S134" s="177">
        <v>-65.429468</v>
      </c>
      <c r="T134" s="177">
        <v>-45.879221000000001</v>
      </c>
      <c r="U134" s="177">
        <v>-40.107311000000003</v>
      </c>
      <c r="V134" s="177">
        <v>-37.549396999999999</v>
      </c>
      <c r="W134" s="177">
        <v>-38.285525</v>
      </c>
      <c r="X134" s="177">
        <v>-28.435708999999999</v>
      </c>
      <c r="Y134" s="177">
        <v>-32.270831999999999</v>
      </c>
      <c r="Z134" s="177">
        <v>-31.159338999999999</v>
      </c>
    </row>
    <row r="135" spans="1:26">
      <c r="A135" s="308" t="s">
        <v>123</v>
      </c>
      <c r="B135" s="177">
        <v>1482.378827</v>
      </c>
      <c r="C135" s="177">
        <v>1035.7817219999999</v>
      </c>
      <c r="D135" s="177">
        <v>493.77581300000003</v>
      </c>
      <c r="E135" s="177">
        <v>232.43756099999999</v>
      </c>
      <c r="F135" s="177">
        <v>683.67150800000002</v>
      </c>
      <c r="G135" s="177">
        <v>268.89827500000001</v>
      </c>
      <c r="H135" s="177">
        <v>-450.84462000000002</v>
      </c>
      <c r="I135" s="177">
        <v>-239.66814099999999</v>
      </c>
      <c r="J135" s="177">
        <v>-625.62728200000004</v>
      </c>
      <c r="K135" s="177">
        <v>108.16498300000001</v>
      </c>
      <c r="L135" s="177">
        <v>1090.931722</v>
      </c>
      <c r="M135" s="177">
        <v>-800.31548099999998</v>
      </c>
      <c r="N135" s="177">
        <v>214.90690699999999</v>
      </c>
      <c r="O135" s="177">
        <v>-162.58580799999999</v>
      </c>
      <c r="P135" s="177">
        <v>189.854399</v>
      </c>
      <c r="Q135" s="177">
        <v>256.56955599999998</v>
      </c>
      <c r="R135" s="177">
        <v>273.70189699999997</v>
      </c>
      <c r="S135" s="177">
        <v>1012.957181</v>
      </c>
      <c r="T135" s="177">
        <v>627.15375300000005</v>
      </c>
      <c r="U135" s="177">
        <v>661.42574100000002</v>
      </c>
      <c r="V135" s="177">
        <v>482.31085000000002</v>
      </c>
      <c r="W135" s="177">
        <v>-47.903595000000003</v>
      </c>
      <c r="X135" s="177">
        <v>-1300.504203</v>
      </c>
      <c r="Y135" s="177">
        <v>-1324.0790179999999</v>
      </c>
      <c r="Z135" s="177">
        <v>-1173.4619029999999</v>
      </c>
    </row>
    <row r="136" spans="1:26">
      <c r="A136" s="309" t="s">
        <v>124</v>
      </c>
      <c r="B136" s="178">
        <v>22577.217376982</v>
      </c>
      <c r="C136" s="178">
        <v>19840.085661852001</v>
      </c>
      <c r="D136" s="178">
        <v>19808.362302358</v>
      </c>
      <c r="E136" s="178">
        <v>16160.449329384001</v>
      </c>
      <c r="F136" s="178">
        <v>17368.389882903</v>
      </c>
      <c r="G136" s="178">
        <v>18362.470596456002</v>
      </c>
      <c r="H136" s="178">
        <v>21947.259823193999</v>
      </c>
      <c r="I136" s="178">
        <v>20745.843456404</v>
      </c>
      <c r="J136" s="178">
        <v>19374.545052672001</v>
      </c>
      <c r="K136" s="178">
        <v>19617.864228332</v>
      </c>
      <c r="L136" s="178">
        <v>19650.360050158</v>
      </c>
      <c r="M136" s="178">
        <v>21302.170343446</v>
      </c>
      <c r="N136" s="178">
        <v>22753.503926590001</v>
      </c>
      <c r="O136" s="178">
        <v>19213.657024913999</v>
      </c>
      <c r="P136" s="178">
        <v>20736.411758639999</v>
      </c>
      <c r="Q136" s="178">
        <v>18910.043666295998</v>
      </c>
      <c r="R136" s="178">
        <v>19295.299363975999</v>
      </c>
      <c r="S136" s="178">
        <v>19588.968241727998</v>
      </c>
      <c r="T136" s="178">
        <v>21538.124156954</v>
      </c>
      <c r="U136" s="178">
        <v>20648.117359340002</v>
      </c>
      <c r="V136" s="178">
        <v>19690.687384279001</v>
      </c>
      <c r="W136" s="178">
        <v>18973.618857361998</v>
      </c>
      <c r="X136" s="178">
        <v>20261.581416413999</v>
      </c>
      <c r="Y136" s="178">
        <v>20790.594445544</v>
      </c>
      <c r="Z136" s="178">
        <v>21489.274709704001</v>
      </c>
    </row>
    <row r="140" spans="1:26" s="185" customFormat="1" ht="12">
      <c r="A140" s="191" t="s">
        <v>30</v>
      </c>
      <c r="B140" s="191" t="str">
        <f t="shared" ref="B140:N140" si="7">MID(UPPER(TEXT(B141,"mmm")),1,1)</f>
        <v>E</v>
      </c>
      <c r="C140" s="191" t="str">
        <f t="shared" si="7"/>
        <v>F</v>
      </c>
      <c r="D140" s="191" t="str">
        <f t="shared" si="7"/>
        <v>M</v>
      </c>
      <c r="E140" s="191" t="str">
        <f t="shared" si="7"/>
        <v>A</v>
      </c>
      <c r="F140" s="191" t="str">
        <f t="shared" si="7"/>
        <v>M</v>
      </c>
      <c r="G140" s="191" t="str">
        <f t="shared" si="7"/>
        <v>J</v>
      </c>
      <c r="H140" s="191" t="str">
        <f t="shared" si="7"/>
        <v>J</v>
      </c>
      <c r="I140" s="191" t="str">
        <f t="shared" si="7"/>
        <v>A</v>
      </c>
      <c r="J140" s="191" t="str">
        <f t="shared" si="7"/>
        <v>S</v>
      </c>
      <c r="K140" s="191" t="str">
        <f t="shared" si="7"/>
        <v>O</v>
      </c>
      <c r="L140" s="191" t="str">
        <f t="shared" si="7"/>
        <v>N</v>
      </c>
      <c r="M140" s="191" t="str">
        <f t="shared" si="7"/>
        <v>D</v>
      </c>
      <c r="N140" s="191" t="str">
        <f t="shared" si="7"/>
        <v>E</v>
      </c>
    </row>
    <row r="141" spans="1:26" s="185" customFormat="1" ht="12">
      <c r="A141" s="191" t="s">
        <v>112</v>
      </c>
      <c r="B141" s="191" t="str">
        <f>TEXT(EDATE(C141,-1),"mmmm aaaa")</f>
        <v>enero 2021</v>
      </c>
      <c r="C141" s="191" t="str">
        <f t="shared" ref="C141:M141" si="8">TEXT(EDATE(D141,-1),"mmmm aaaa")</f>
        <v>febrero 2021</v>
      </c>
      <c r="D141" s="191" t="str">
        <f t="shared" si="8"/>
        <v>marzo 2021</v>
      </c>
      <c r="E141" s="191" t="str">
        <f t="shared" si="8"/>
        <v>abril 2021</v>
      </c>
      <c r="F141" s="191" t="str">
        <f t="shared" si="8"/>
        <v>mayo 2021</v>
      </c>
      <c r="G141" s="191" t="str">
        <f t="shared" si="8"/>
        <v>junio 2021</v>
      </c>
      <c r="H141" s="191" t="str">
        <f t="shared" si="8"/>
        <v>julio 2021</v>
      </c>
      <c r="I141" s="191" t="str">
        <f t="shared" si="8"/>
        <v>agosto 2021</v>
      </c>
      <c r="J141" s="191" t="str">
        <f t="shared" si="8"/>
        <v>septiembre 2021</v>
      </c>
      <c r="K141" s="191" t="str">
        <f t="shared" si="8"/>
        <v>octubre 2021</v>
      </c>
      <c r="L141" s="191" t="str">
        <f t="shared" si="8"/>
        <v>noviembre 2021</v>
      </c>
      <c r="M141" s="191" t="str">
        <f t="shared" si="8"/>
        <v>diciembre 2021</v>
      </c>
      <c r="N141" s="191" t="str">
        <f>A2</f>
        <v>Enero 2022</v>
      </c>
    </row>
    <row r="142" spans="1:26" s="188" customFormat="1" ht="12">
      <c r="A142" s="186" t="s">
        <v>2</v>
      </c>
      <c r="B142" s="187">
        <f t="shared" ref="B142:N142" si="9">HLOOKUP(B$141,$117:$133,3,FALSE)</f>
        <v>4057.0491571819998</v>
      </c>
      <c r="C142" s="187">
        <f t="shared" si="9"/>
        <v>4517.3439469479999</v>
      </c>
      <c r="D142" s="187">
        <f t="shared" si="9"/>
        <v>3713.6790790800001</v>
      </c>
      <c r="E142" s="187">
        <f t="shared" si="9"/>
        <v>2742.5670331319998</v>
      </c>
      <c r="F142" s="187">
        <f t="shared" si="9"/>
        <v>2156.7115169600002</v>
      </c>
      <c r="G142" s="187">
        <f t="shared" si="9"/>
        <v>2179.4227844279999</v>
      </c>
      <c r="H142" s="187">
        <f t="shared" si="9"/>
        <v>2206.5567297779999</v>
      </c>
      <c r="I142" s="187">
        <f t="shared" si="9"/>
        <v>1879.983812162</v>
      </c>
      <c r="J142" s="187">
        <f t="shared" si="9"/>
        <v>1393.78333174</v>
      </c>
      <c r="K142" s="187">
        <f t="shared" si="9"/>
        <v>1020.47985714</v>
      </c>
      <c r="L142" s="187">
        <f t="shared" si="9"/>
        <v>1192.550182512</v>
      </c>
      <c r="M142" s="187">
        <f t="shared" si="9"/>
        <v>2518.7959635040002</v>
      </c>
      <c r="N142" s="187">
        <f t="shared" si="9"/>
        <v>2070.2394339440002</v>
      </c>
    </row>
    <row r="143" spans="1:26" s="188" customFormat="1" ht="12">
      <c r="A143" s="186" t="s">
        <v>81</v>
      </c>
      <c r="B143" s="187">
        <f t="shared" ref="B143:N143" si="10">HLOOKUP(B$141,$117:$133,4,FALSE)</f>
        <v>320.531387408</v>
      </c>
      <c r="C143" s="187">
        <f t="shared" si="10"/>
        <v>401.29321896599998</v>
      </c>
      <c r="D143" s="187">
        <f t="shared" si="10"/>
        <v>330.79456254199999</v>
      </c>
      <c r="E143" s="187">
        <f t="shared" si="10"/>
        <v>153.67971897199999</v>
      </c>
      <c r="F143" s="187">
        <f t="shared" si="10"/>
        <v>238.70894406400001</v>
      </c>
      <c r="G143" s="187">
        <f t="shared" si="10"/>
        <v>105.70565758799999</v>
      </c>
      <c r="H143" s="187">
        <f t="shared" si="10"/>
        <v>115.791574032</v>
      </c>
      <c r="I143" s="187">
        <f t="shared" si="10"/>
        <v>159.80881627400001</v>
      </c>
      <c r="J143" s="187">
        <f t="shared" si="10"/>
        <v>118.239862456</v>
      </c>
      <c r="K143" s="187">
        <f t="shared" si="10"/>
        <v>232.11320922199999</v>
      </c>
      <c r="L143" s="187">
        <f t="shared" si="10"/>
        <v>202.78682990199999</v>
      </c>
      <c r="M143" s="187">
        <f t="shared" si="10"/>
        <v>269.90862404000001</v>
      </c>
      <c r="N143" s="187">
        <f t="shared" si="10"/>
        <v>215.45053776</v>
      </c>
    </row>
    <row r="144" spans="1:26" s="188" customFormat="1" ht="12">
      <c r="A144" s="186" t="s">
        <v>3</v>
      </c>
      <c r="B144" s="187">
        <f t="shared" ref="B144:N144" si="11">HLOOKUP(B$141,$117:$133,5,FALSE)</f>
        <v>5199.7405159999998</v>
      </c>
      <c r="C144" s="187">
        <f t="shared" si="11"/>
        <v>4358.5151070000002</v>
      </c>
      <c r="D144" s="187">
        <f t="shared" si="11"/>
        <v>4833.1364599999997</v>
      </c>
      <c r="E144" s="187">
        <f t="shared" si="11"/>
        <v>4197.3329299999996</v>
      </c>
      <c r="F144" s="187">
        <f t="shared" si="11"/>
        <v>4373.2505520000004</v>
      </c>
      <c r="G144" s="187">
        <f t="shared" si="11"/>
        <v>3684.3838430000001</v>
      </c>
      <c r="H144" s="187">
        <f t="shared" si="11"/>
        <v>5119.3289409999998</v>
      </c>
      <c r="I144" s="187">
        <f t="shared" si="11"/>
        <v>5150.2640140000003</v>
      </c>
      <c r="J144" s="187">
        <f t="shared" si="11"/>
        <v>4890.5065249999998</v>
      </c>
      <c r="K144" s="187">
        <f t="shared" si="11"/>
        <v>4748.3949460000003</v>
      </c>
      <c r="L144" s="187">
        <f t="shared" si="11"/>
        <v>3562.3582710000001</v>
      </c>
      <c r="M144" s="187">
        <f t="shared" si="11"/>
        <v>3922.864118</v>
      </c>
      <c r="N144" s="187">
        <f t="shared" si="11"/>
        <v>5048.3268710000002</v>
      </c>
    </row>
    <row r="145" spans="1:15" s="188" customFormat="1" ht="12">
      <c r="A145" s="186" t="s">
        <v>4</v>
      </c>
      <c r="B145" s="187">
        <f t="shared" ref="B145:N145" si="12">HLOOKUP(B$141,$117:$133,6,FALSE)</f>
        <v>558.50496999999996</v>
      </c>
      <c r="C145" s="187">
        <f t="shared" si="12"/>
        <v>176.80514199999999</v>
      </c>
      <c r="D145" s="187">
        <f t="shared" si="12"/>
        <v>242.90612300000001</v>
      </c>
      <c r="E145" s="187">
        <f t="shared" si="12"/>
        <v>270.94085699999999</v>
      </c>
      <c r="F145" s="187">
        <f t="shared" si="12"/>
        <v>333.46752600000002</v>
      </c>
      <c r="G145" s="187">
        <f t="shared" si="12"/>
        <v>431.99096700000001</v>
      </c>
      <c r="H145" s="187">
        <f t="shared" si="12"/>
        <v>302.41718100000003</v>
      </c>
      <c r="I145" s="187">
        <f t="shared" si="12"/>
        <v>320.34443199999998</v>
      </c>
      <c r="J145" s="187">
        <f t="shared" si="12"/>
        <v>477.92579699999999</v>
      </c>
      <c r="K145" s="187">
        <f t="shared" si="12"/>
        <v>528.18759499999999</v>
      </c>
      <c r="L145" s="187">
        <f t="shared" si="12"/>
        <v>577.43674399999998</v>
      </c>
      <c r="M145" s="187">
        <f t="shared" si="12"/>
        <v>721.09479699999997</v>
      </c>
      <c r="N145" s="187">
        <f t="shared" si="12"/>
        <v>710.59119999999996</v>
      </c>
    </row>
    <row r="146" spans="1:15" s="188" customFormat="1" ht="12">
      <c r="A146" s="186" t="s">
        <v>11</v>
      </c>
      <c r="B146" s="187">
        <f t="shared" ref="B146:N146" si="13">HLOOKUP(B$141,$117:$133,8,FALSE)</f>
        <v>2188.3044850000001</v>
      </c>
      <c r="C146" s="187">
        <f t="shared" si="13"/>
        <v>1086.83896</v>
      </c>
      <c r="D146" s="187">
        <f t="shared" si="13"/>
        <v>1649.4189409999999</v>
      </c>
      <c r="E146" s="187">
        <f t="shared" si="13"/>
        <v>2864.730763</v>
      </c>
      <c r="F146" s="187">
        <f t="shared" si="13"/>
        <v>2004.776314</v>
      </c>
      <c r="G146" s="187">
        <f t="shared" si="13"/>
        <v>3136.247484</v>
      </c>
      <c r="H146" s="187">
        <f t="shared" si="13"/>
        <v>3024.7339200000001</v>
      </c>
      <c r="I146" s="187">
        <f t="shared" si="13"/>
        <v>3325.1444550000001</v>
      </c>
      <c r="J146" s="187">
        <f t="shared" si="13"/>
        <v>4296.9849320000003</v>
      </c>
      <c r="K146" s="187">
        <f t="shared" si="13"/>
        <v>3806.1083130000002</v>
      </c>
      <c r="L146" s="187">
        <f t="shared" si="13"/>
        <v>5697.6167089999999</v>
      </c>
      <c r="M146" s="187">
        <f t="shared" si="13"/>
        <v>4500.3505590000004</v>
      </c>
      <c r="N146" s="187">
        <f t="shared" si="13"/>
        <v>5197.2192379999997</v>
      </c>
    </row>
    <row r="147" spans="1:15" s="188" customFormat="1" ht="12">
      <c r="A147" s="186" t="s">
        <v>5</v>
      </c>
      <c r="B147" s="187">
        <f t="shared" ref="B147:N147" si="14">HLOOKUP(B$141,$117:$133,9,FALSE)</f>
        <v>7019.2756399999998</v>
      </c>
      <c r="C147" s="187">
        <f t="shared" si="14"/>
        <v>6236.045451</v>
      </c>
      <c r="D147" s="187">
        <f t="shared" si="14"/>
        <v>5521.6130549999998</v>
      </c>
      <c r="E147" s="187">
        <f t="shared" si="14"/>
        <v>4041.8016459999999</v>
      </c>
      <c r="F147" s="187">
        <f t="shared" si="14"/>
        <v>4620.8358829999997</v>
      </c>
      <c r="G147" s="187">
        <f t="shared" si="14"/>
        <v>3533.4356429999998</v>
      </c>
      <c r="H147" s="187">
        <f t="shared" si="14"/>
        <v>4121.6008309999997</v>
      </c>
      <c r="I147" s="187">
        <f t="shared" si="14"/>
        <v>3597.0922369999998</v>
      </c>
      <c r="J147" s="187">
        <f t="shared" si="14"/>
        <v>3123.0617010000001</v>
      </c>
      <c r="K147" s="187">
        <f t="shared" si="14"/>
        <v>4229.363085</v>
      </c>
      <c r="L147" s="187">
        <f t="shared" si="14"/>
        <v>6318.0829219999996</v>
      </c>
      <c r="M147" s="187">
        <f t="shared" si="14"/>
        <v>6812.815904</v>
      </c>
      <c r="N147" s="187">
        <f t="shared" si="14"/>
        <v>5352.3177050000004</v>
      </c>
    </row>
    <row r="148" spans="1:15" s="188" customFormat="1" ht="12">
      <c r="A148" s="186" t="s">
        <v>6</v>
      </c>
      <c r="B148" s="187">
        <f t="shared" ref="B148:N148" si="15">HLOOKUP(B$141,$117:$133,10,FALSE)</f>
        <v>823.15754800000002</v>
      </c>
      <c r="C148" s="187">
        <f t="shared" si="15"/>
        <v>946.13011200000005</v>
      </c>
      <c r="D148" s="187">
        <f t="shared" si="15"/>
        <v>1649.2322059999999</v>
      </c>
      <c r="E148" s="187">
        <f t="shared" si="15"/>
        <v>1626.286437</v>
      </c>
      <c r="F148" s="187">
        <f t="shared" si="15"/>
        <v>2337.876855</v>
      </c>
      <c r="G148" s="187">
        <f t="shared" si="15"/>
        <v>2276.176676</v>
      </c>
      <c r="H148" s="187">
        <f t="shared" si="15"/>
        <v>2563.3711840000001</v>
      </c>
      <c r="I148" s="187">
        <f t="shared" si="15"/>
        <v>2342.001773</v>
      </c>
      <c r="J148" s="187">
        <f t="shared" si="15"/>
        <v>1881.418173</v>
      </c>
      <c r="K148" s="187">
        <f t="shared" si="15"/>
        <v>1726.4504890000001</v>
      </c>
      <c r="L148" s="187">
        <f t="shared" si="15"/>
        <v>1304.1826659999999</v>
      </c>
      <c r="M148" s="187">
        <f t="shared" si="15"/>
        <v>988.84680000000003</v>
      </c>
      <c r="N148" s="187">
        <f t="shared" si="15"/>
        <v>1515.5292179999999</v>
      </c>
    </row>
    <row r="149" spans="1:15" s="188" customFormat="1" ht="12">
      <c r="A149" s="186" t="s">
        <v>7</v>
      </c>
      <c r="B149" s="187">
        <f t="shared" ref="B149:N149" si="16">HLOOKUP(B$141,$117:$133,11,FALSE)</f>
        <v>102.634029</v>
      </c>
      <c r="C149" s="187">
        <f t="shared" si="16"/>
        <v>138.18132700000001</v>
      </c>
      <c r="D149" s="187">
        <f t="shared" si="16"/>
        <v>355.01542699999999</v>
      </c>
      <c r="E149" s="187">
        <f t="shared" si="16"/>
        <v>266.78751899999997</v>
      </c>
      <c r="F149" s="187">
        <f t="shared" si="16"/>
        <v>645.59745699999996</v>
      </c>
      <c r="G149" s="187">
        <f t="shared" si="16"/>
        <v>655.36365000000001</v>
      </c>
      <c r="H149" s="187">
        <f t="shared" si="16"/>
        <v>828.49249399999997</v>
      </c>
      <c r="I149" s="187">
        <f t="shared" si="16"/>
        <v>661.44510200000002</v>
      </c>
      <c r="J149" s="187">
        <f t="shared" si="16"/>
        <v>447.44465700000001</v>
      </c>
      <c r="K149" s="187">
        <f t="shared" si="16"/>
        <v>328.14902799999999</v>
      </c>
      <c r="L149" s="187">
        <f t="shared" si="16"/>
        <v>172.42607599999999</v>
      </c>
      <c r="M149" s="187">
        <f t="shared" si="16"/>
        <v>103.956001</v>
      </c>
      <c r="N149" s="187">
        <f t="shared" si="16"/>
        <v>170.90533300000001</v>
      </c>
    </row>
    <row r="150" spans="1:15" s="188" customFormat="1" ht="12">
      <c r="A150" s="186" t="s">
        <v>8</v>
      </c>
      <c r="B150" s="187">
        <f t="shared" ref="B150:N150" si="17">HLOOKUP(B$141,$117:$133,12,FALSE)</f>
        <v>390.17391600000002</v>
      </c>
      <c r="C150" s="187">
        <f t="shared" si="17"/>
        <v>364.41521899999998</v>
      </c>
      <c r="D150" s="187">
        <f t="shared" si="17"/>
        <v>358.41619500000002</v>
      </c>
      <c r="E150" s="187">
        <f t="shared" si="17"/>
        <v>391.394882</v>
      </c>
      <c r="F150" s="187">
        <f t="shared" si="17"/>
        <v>390.09045800000001</v>
      </c>
      <c r="G150" s="187">
        <f t="shared" si="17"/>
        <v>357.15935500000001</v>
      </c>
      <c r="H150" s="187">
        <f t="shared" si="17"/>
        <v>351.79724199999998</v>
      </c>
      <c r="I150" s="187">
        <f t="shared" si="17"/>
        <v>409.84376200000003</v>
      </c>
      <c r="J150" s="187">
        <f t="shared" si="17"/>
        <v>395.48078299999997</v>
      </c>
      <c r="K150" s="187">
        <f t="shared" si="17"/>
        <v>431.37135699999999</v>
      </c>
      <c r="L150" s="187">
        <f t="shared" si="17"/>
        <v>433.10227200000003</v>
      </c>
      <c r="M150" s="187">
        <f t="shared" si="17"/>
        <v>434.32822099999998</v>
      </c>
      <c r="N150" s="187">
        <f t="shared" si="17"/>
        <v>428.36274100000003</v>
      </c>
    </row>
    <row r="151" spans="1:15" s="188" customFormat="1" ht="12">
      <c r="A151" s="186" t="s">
        <v>9</v>
      </c>
      <c r="B151" s="187">
        <f t="shared" ref="B151:N151" si="18">HLOOKUP(B$141,$117:$133,13,FALSE)</f>
        <v>2401.1708629999998</v>
      </c>
      <c r="C151" s="187">
        <f t="shared" si="18"/>
        <v>1834.5240309999999</v>
      </c>
      <c r="D151" s="187">
        <f t="shared" si="18"/>
        <v>2248.6531970000001</v>
      </c>
      <c r="E151" s="187">
        <f t="shared" si="18"/>
        <v>2189.3046859999999</v>
      </c>
      <c r="F151" s="187">
        <f t="shared" si="18"/>
        <v>2202.0104940000001</v>
      </c>
      <c r="G151" s="187">
        <f t="shared" si="18"/>
        <v>2182.4178189999998</v>
      </c>
      <c r="H151" s="187">
        <f t="shared" si="18"/>
        <v>2240.5457550000001</v>
      </c>
      <c r="I151" s="187">
        <f t="shared" si="18"/>
        <v>2101.175643</v>
      </c>
      <c r="J151" s="187">
        <f t="shared" si="18"/>
        <v>2159.0921499999999</v>
      </c>
      <c r="K151" s="187">
        <f t="shared" si="18"/>
        <v>2138.1116240000001</v>
      </c>
      <c r="L151" s="187">
        <f t="shared" si="18"/>
        <v>2172.6161619999998</v>
      </c>
      <c r="M151" s="187">
        <f t="shared" si="18"/>
        <v>2179.9598230000001</v>
      </c>
      <c r="N151" s="187">
        <f t="shared" si="18"/>
        <v>2170.2505030000002</v>
      </c>
    </row>
    <row r="152" spans="1:15" s="188" customFormat="1" ht="12">
      <c r="A152" s="186" t="s">
        <v>70</v>
      </c>
      <c r="B152" s="187">
        <f t="shared" ref="B152:N152" si="19">HLOOKUP(B$141,$117:$133,15,FALSE)</f>
        <v>175.14184499999999</v>
      </c>
      <c r="C152" s="187">
        <f t="shared" si="19"/>
        <v>161.44275200000001</v>
      </c>
      <c r="D152" s="187">
        <f t="shared" si="19"/>
        <v>173.707269</v>
      </c>
      <c r="E152" s="187">
        <f t="shared" si="19"/>
        <v>170.05904150000001</v>
      </c>
      <c r="F152" s="187">
        <f t="shared" si="19"/>
        <v>170.74740800000001</v>
      </c>
      <c r="G152" s="187">
        <f t="shared" si="19"/>
        <v>182.66502349999999</v>
      </c>
      <c r="H152" s="187">
        <f t="shared" si="19"/>
        <v>193.1337345</v>
      </c>
      <c r="I152" s="187">
        <f t="shared" si="19"/>
        <v>198.4023795</v>
      </c>
      <c r="J152" s="187">
        <f t="shared" si="19"/>
        <v>167.38102850000001</v>
      </c>
      <c r="K152" s="187">
        <f t="shared" si="19"/>
        <v>179.049938</v>
      </c>
      <c r="L152" s="187">
        <f t="shared" si="19"/>
        <v>164.8067685</v>
      </c>
      <c r="M152" s="187">
        <f t="shared" si="19"/>
        <v>171.82050699999999</v>
      </c>
      <c r="N152" s="187">
        <f t="shared" si="19"/>
        <v>159.55676600000001</v>
      </c>
    </row>
    <row r="153" spans="1:15" s="188" customFormat="1" ht="12">
      <c r="A153" s="186" t="s">
        <v>69</v>
      </c>
      <c r="B153" s="187">
        <f t="shared" ref="B153:N153" si="20">HLOOKUP(B$141,$117:$133,14,FALSE)</f>
        <v>52.060037999999999</v>
      </c>
      <c r="C153" s="187">
        <f t="shared" si="20"/>
        <v>57.768275000000003</v>
      </c>
      <c r="D153" s="187">
        <f t="shared" si="20"/>
        <v>61.963368000000003</v>
      </c>
      <c r="E153" s="187">
        <f t="shared" si="20"/>
        <v>66.322567500000005</v>
      </c>
      <c r="F153" s="187">
        <f t="shared" si="20"/>
        <v>53.009402999999999</v>
      </c>
      <c r="G153" s="187">
        <f t="shared" si="20"/>
        <v>65.533088500000005</v>
      </c>
      <c r="H153" s="187">
        <f t="shared" si="20"/>
        <v>70.069195500000006</v>
      </c>
      <c r="I153" s="187">
        <f t="shared" si="20"/>
        <v>67.951940500000006</v>
      </c>
      <c r="J153" s="187">
        <f t="shared" si="20"/>
        <v>55.639892500000002</v>
      </c>
      <c r="K153" s="187">
        <f t="shared" si="20"/>
        <v>61.837724000000001</v>
      </c>
      <c r="L153" s="187">
        <f t="shared" si="20"/>
        <v>65.901263499999999</v>
      </c>
      <c r="M153" s="187">
        <f t="shared" si="20"/>
        <v>72.807829999999996</v>
      </c>
      <c r="N153" s="187">
        <f t="shared" si="20"/>
        <v>68.975128999999995</v>
      </c>
    </row>
    <row r="154" spans="1:15" s="188" customFormat="1" ht="12">
      <c r="A154" s="189" t="s">
        <v>96</v>
      </c>
      <c r="B154" s="190">
        <f>SUM(B142:B153)</f>
        <v>23287.744394589994</v>
      </c>
      <c r="C154" s="190">
        <f t="shared" ref="C154:N154" si="21">SUM(C142:C153)</f>
        <v>20279.303541913996</v>
      </c>
      <c r="D154" s="190">
        <f t="shared" si="21"/>
        <v>21138.535882622</v>
      </c>
      <c r="E154" s="190">
        <f t="shared" si="21"/>
        <v>18981.208081104</v>
      </c>
      <c r="F154" s="190">
        <f t="shared" si="21"/>
        <v>19527.082811024004</v>
      </c>
      <c r="G154" s="190">
        <f t="shared" si="21"/>
        <v>18790.501991015997</v>
      </c>
      <c r="H154" s="190">
        <f t="shared" si="21"/>
        <v>21137.838781809998</v>
      </c>
      <c r="I154" s="190">
        <f t="shared" si="21"/>
        <v>20213.458366436</v>
      </c>
      <c r="J154" s="190">
        <f t="shared" si="21"/>
        <v>19406.958833196</v>
      </c>
      <c r="K154" s="190">
        <f t="shared" si="21"/>
        <v>19429.617165362004</v>
      </c>
      <c r="L154" s="190">
        <f t="shared" si="21"/>
        <v>21863.866866413995</v>
      </c>
      <c r="M154" s="190">
        <f t="shared" si="21"/>
        <v>22697.549147543999</v>
      </c>
      <c r="N154" s="190">
        <f t="shared" si="21"/>
        <v>23107.724675704001</v>
      </c>
    </row>
    <row r="156" spans="1:15" s="188" customFormat="1" ht="12">
      <c r="A156" s="192" t="s">
        <v>115</v>
      </c>
      <c r="B156" s="202">
        <f>B142+B147+B148+B149+B150+B153</f>
        <v>12444.350328181999</v>
      </c>
      <c r="C156" s="202">
        <f t="shared" ref="C156:M156" si="22">C142+C147+C148+C149+C150+C153</f>
        <v>12259.884330948002</v>
      </c>
      <c r="D156" s="202">
        <f t="shared" si="22"/>
        <v>11659.919330080002</v>
      </c>
      <c r="E156" s="202">
        <f t="shared" si="22"/>
        <v>9135.1600846319998</v>
      </c>
      <c r="F156" s="202">
        <f t="shared" si="22"/>
        <v>10204.121572960001</v>
      </c>
      <c r="G156" s="202">
        <f t="shared" si="22"/>
        <v>9067.0911969280005</v>
      </c>
      <c r="H156" s="202">
        <f t="shared" si="22"/>
        <v>10141.887676278</v>
      </c>
      <c r="I156" s="202">
        <f t="shared" si="22"/>
        <v>8958.3186266619996</v>
      </c>
      <c r="J156" s="202">
        <f t="shared" si="22"/>
        <v>7296.8285382400009</v>
      </c>
      <c r="K156" s="202">
        <f t="shared" si="22"/>
        <v>7797.6515401399993</v>
      </c>
      <c r="L156" s="202">
        <f t="shared" si="22"/>
        <v>9486.245382011999</v>
      </c>
      <c r="M156" s="202">
        <f t="shared" si="22"/>
        <v>10931.550719503999</v>
      </c>
      <c r="N156" s="202">
        <f>N142+N147+N148+N149+N150+N153</f>
        <v>9606.3295599440025</v>
      </c>
    </row>
    <row r="157" spans="1:15" s="188" customFormat="1" ht="12">
      <c r="A157" s="192" t="s">
        <v>116</v>
      </c>
      <c r="B157" s="202">
        <f>B143+B144+B145+B146+B151+B152</f>
        <v>10843.394066408</v>
      </c>
      <c r="C157" s="202">
        <f t="shared" ref="C157:N157" si="23">C143+C144+C145+C146+C151+C152</f>
        <v>8019.4192109659998</v>
      </c>
      <c r="D157" s="202">
        <f t="shared" si="23"/>
        <v>9478.6165525420001</v>
      </c>
      <c r="E157" s="202">
        <f t="shared" si="23"/>
        <v>9846.0479964719998</v>
      </c>
      <c r="F157" s="202">
        <f t="shared" si="23"/>
        <v>9322.9612380639992</v>
      </c>
      <c r="G157" s="202">
        <f t="shared" si="23"/>
        <v>9723.4107940880003</v>
      </c>
      <c r="H157" s="202">
        <f t="shared" si="23"/>
        <v>10995.951105532</v>
      </c>
      <c r="I157" s="202">
        <f t="shared" si="23"/>
        <v>11255.139739774</v>
      </c>
      <c r="J157" s="202">
        <f t="shared" si="23"/>
        <v>12110.130294956001</v>
      </c>
      <c r="K157" s="202">
        <f t="shared" si="23"/>
        <v>11631.965625222001</v>
      </c>
      <c r="L157" s="202">
        <f t="shared" si="23"/>
        <v>12377.621484402</v>
      </c>
      <c r="M157" s="202">
        <f t="shared" si="23"/>
        <v>11765.998428040002</v>
      </c>
      <c r="N157" s="202">
        <f t="shared" si="23"/>
        <v>13501.39511576</v>
      </c>
    </row>
    <row r="158" spans="1:15" s="188" customFormat="1" ht="12">
      <c r="A158" s="192" t="s">
        <v>117</v>
      </c>
      <c r="B158" s="193">
        <f>B142/B$154*100+B147/B$154*100+B148/B$154*100+B149/B$154*100+B150/B$154*100+B153/B$154*100</f>
        <v>53.437336469018277</v>
      </c>
      <c r="C158" s="193">
        <f t="shared" ref="C158:N158" si="24">C142/C$154*100+C147/C$154*100+C148/C$154*100+C149/C$154*100+C150/C$154*100+C153/C$154*100</f>
        <v>60.455154712827422</v>
      </c>
      <c r="D158" s="193">
        <f t="shared" si="24"/>
        <v>55.159540825462877</v>
      </c>
      <c r="E158" s="193">
        <f t="shared" si="24"/>
        <v>48.127390235641286</v>
      </c>
      <c r="F158" s="193">
        <f t="shared" si="24"/>
        <v>52.25625185139927</v>
      </c>
      <c r="G158" s="193">
        <f t="shared" si="24"/>
        <v>48.253586845434484</v>
      </c>
      <c r="H158" s="193">
        <f t="shared" si="24"/>
        <v>47.979775893671409</v>
      </c>
      <c r="I158" s="193">
        <f t="shared" si="24"/>
        <v>44.318584500795225</v>
      </c>
      <c r="J158" s="193">
        <f t="shared" si="24"/>
        <v>37.599031362701837</v>
      </c>
      <c r="K158" s="193">
        <f t="shared" si="24"/>
        <v>40.132811026463266</v>
      </c>
      <c r="L158" s="193">
        <f t="shared" si="24"/>
        <v>43.387775090161291</v>
      </c>
      <c r="M158" s="193">
        <f t="shared" si="24"/>
        <v>48.161810988684891</v>
      </c>
      <c r="N158" s="193">
        <f t="shared" si="24"/>
        <v>41.571940529671963</v>
      </c>
      <c r="O158" s="255">
        <f>N158-B158</f>
        <v>-11.865395939346314</v>
      </c>
    </row>
    <row r="159" spans="1:15" s="188" customFormat="1" ht="12">
      <c r="A159" s="192" t="s">
        <v>118</v>
      </c>
      <c r="B159" s="193">
        <f>B143/B$154*100+B144/B$154*100+B145/B$154*100+B151/B$154*100+B152/B$154*100+B146/B$154*100</f>
        <v>46.562663530981737</v>
      </c>
      <c r="C159" s="193">
        <f>C143/C$154*100+C144/C$154*100+C145/C$154*100+C151/C$154*100+C152/C$154*100+C146/C$154*100</f>
        <v>39.544845287172592</v>
      </c>
      <c r="D159" s="193">
        <f>D143/D$154*100+D144/D$154*100+D145/D$154*100+D151/D$154*100+D152/D$154*100+D146/D$154*100</f>
        <v>44.840459174537123</v>
      </c>
      <c r="E159" s="193">
        <f>E143/E$154*100+E144/E$154*100+E145/E$154*100+E151/E$154*100+E152/E$154*100+E146/E$154*100</f>
        <v>51.872609764358721</v>
      </c>
      <c r="F159" s="193">
        <f t="shared" ref="F159:M159" si="25">100-F158</f>
        <v>47.74374814860073</v>
      </c>
      <c r="G159" s="193">
        <f t="shared" si="25"/>
        <v>51.746413154565516</v>
      </c>
      <c r="H159" s="193">
        <f t="shared" si="25"/>
        <v>52.020224106328591</v>
      </c>
      <c r="I159" s="193">
        <f t="shared" si="25"/>
        <v>55.681415499204775</v>
      </c>
      <c r="J159" s="193">
        <f t="shared" si="25"/>
        <v>62.400968637298163</v>
      </c>
      <c r="K159" s="193">
        <f t="shared" si="25"/>
        <v>59.867188973536734</v>
      </c>
      <c r="L159" s="193">
        <f t="shared" si="25"/>
        <v>56.612224909838709</v>
      </c>
      <c r="M159" s="193">
        <f t="shared" si="25"/>
        <v>51.838189011315109</v>
      </c>
      <c r="N159" s="193">
        <f t="shared" ref="N159" si="26">100-N158</f>
        <v>58.428059470328037</v>
      </c>
    </row>
    <row r="160" spans="1:15" s="188" customFormat="1" ht="12">
      <c r="A160" s="192"/>
      <c r="B160" s="192"/>
    </row>
    <row r="161" spans="1:19" s="188" customFormat="1" ht="12">
      <c r="A161" s="192" t="s">
        <v>84</v>
      </c>
      <c r="B161" s="192"/>
      <c r="N161" s="255"/>
    </row>
    <row r="162" spans="1:19" s="188" customFormat="1" ht="12">
      <c r="A162" s="192" t="s">
        <v>85</v>
      </c>
      <c r="B162" s="192"/>
    </row>
    <row r="164" spans="1:19" s="188" customFormat="1" ht="12">
      <c r="A164" s="192" t="s">
        <v>19</v>
      </c>
      <c r="B164" s="187">
        <f>B142+B143+B144+B147+B148+B149+B150+B153</f>
        <v>17964.622231589998</v>
      </c>
      <c r="C164" s="187">
        <f t="shared" ref="C164:M164" si="27">C142+C143+C144+C147+C148+C149+C150+C153</f>
        <v>17019.692656913994</v>
      </c>
      <c r="D164" s="187">
        <f t="shared" si="27"/>
        <v>16823.850352622001</v>
      </c>
      <c r="E164" s="187">
        <f t="shared" si="27"/>
        <v>13486.172733603998</v>
      </c>
      <c r="F164" s="187">
        <f t="shared" si="27"/>
        <v>14816.081069024001</v>
      </c>
      <c r="G164" s="187">
        <f t="shared" si="27"/>
        <v>12857.180697516</v>
      </c>
      <c r="H164" s="187">
        <f t="shared" si="27"/>
        <v>15377.00819131</v>
      </c>
      <c r="I164" s="187">
        <f t="shared" si="27"/>
        <v>14268.391456936</v>
      </c>
      <c r="J164" s="187">
        <f t="shared" si="27"/>
        <v>12305.574925696001</v>
      </c>
      <c r="K164" s="187">
        <f t="shared" si="27"/>
        <v>12778.159695362001</v>
      </c>
      <c r="L164" s="187">
        <f t="shared" si="27"/>
        <v>13251.390482914001</v>
      </c>
      <c r="M164" s="187">
        <f t="shared" si="27"/>
        <v>15124.323461544</v>
      </c>
      <c r="N164" s="187">
        <f>N142+N143+N144+N147+N148+N149+N150+N153</f>
        <v>14870.106968704004</v>
      </c>
    </row>
    <row r="165" spans="1:19" s="188" customFormat="1" ht="12">
      <c r="A165" s="192" t="s">
        <v>20</v>
      </c>
      <c r="B165" s="187">
        <f t="shared" ref="B165:M165" si="28">B145+B146+B151+B152</f>
        <v>5323.122163</v>
      </c>
      <c r="C165" s="187">
        <f t="shared" si="28"/>
        <v>3259.6108850000001</v>
      </c>
      <c r="D165" s="187">
        <f t="shared" si="28"/>
        <v>4314.6855300000007</v>
      </c>
      <c r="E165" s="187">
        <f t="shared" si="28"/>
        <v>5495.0353475000002</v>
      </c>
      <c r="F165" s="187">
        <f t="shared" si="28"/>
        <v>4711.0017420000004</v>
      </c>
      <c r="G165" s="187">
        <f t="shared" si="28"/>
        <v>5933.3212934999992</v>
      </c>
      <c r="H165" s="187">
        <f t="shared" si="28"/>
        <v>5760.8305905000007</v>
      </c>
      <c r="I165" s="187">
        <f t="shared" si="28"/>
        <v>5945.0669095000003</v>
      </c>
      <c r="J165" s="187">
        <f t="shared" si="28"/>
        <v>7101.3839074999996</v>
      </c>
      <c r="K165" s="187">
        <f t="shared" si="28"/>
        <v>6651.4574700000003</v>
      </c>
      <c r="L165" s="187">
        <f t="shared" si="28"/>
        <v>8612.4763834999994</v>
      </c>
      <c r="M165" s="187">
        <f t="shared" si="28"/>
        <v>7573.2256860000007</v>
      </c>
      <c r="N165" s="187">
        <f>N145+N146+N151+N152</f>
        <v>8237.6177069999994</v>
      </c>
    </row>
    <row r="166" spans="1:19" s="188" customFormat="1" ht="12">
      <c r="A166" s="192" t="s">
        <v>113</v>
      </c>
      <c r="B166" s="193">
        <f>B142/B$154*100+B143/B$154*100+B147/B$154*100+B148/B$154*100+B149/B$154*100+B150/B$154*100+B144/B$154*100+B153/B$154*100</f>
        <v>77.141958994377234</v>
      </c>
      <c r="C166" s="193">
        <f>C142/C$154*100+C143/C$154*100+C147/C$154*100+C148/C$154*100+C149/C$154*100+C150/C$154*100+C144/C$154*100+C153/C$154*100</f>
        <v>83.926416021817928</v>
      </c>
      <c r="D166" s="193">
        <f t="shared" ref="D166:N166" si="29">D142/D$154*100+D143/D$154*100+D147/D$154*100+D148/D$154*100+D149/D$154*100+D150/D$154*100+D144/D$154*100+D153/D$154*100</f>
        <v>79.588531798235365</v>
      </c>
      <c r="E166" s="193">
        <f t="shared" si="29"/>
        <v>71.05012850593863</v>
      </c>
      <c r="F166" s="193">
        <f t="shared" si="29"/>
        <v>75.874523667506494</v>
      </c>
      <c r="G166" s="193">
        <f t="shared" si="29"/>
        <v>68.423827653264397</v>
      </c>
      <c r="H166" s="193">
        <f t="shared" si="29"/>
        <v>72.746359502668568</v>
      </c>
      <c r="I166" s="193">
        <f t="shared" si="29"/>
        <v>70.588571229495045</v>
      </c>
      <c r="J166" s="193">
        <f t="shared" si="29"/>
        <v>63.408053943243608</v>
      </c>
      <c r="K166" s="193">
        <f t="shared" si="29"/>
        <v>65.766399752549745</v>
      </c>
      <c r="L166" s="193">
        <f t="shared" si="29"/>
        <v>60.60863141858048</v>
      </c>
      <c r="M166" s="193">
        <f t="shared" si="29"/>
        <v>66.634169897504265</v>
      </c>
      <c r="N166" s="193">
        <f t="shared" si="29"/>
        <v>64.351238286730919</v>
      </c>
      <c r="O166" s="290">
        <f>N166-B166</f>
        <v>-12.790720707646315</v>
      </c>
    </row>
    <row r="167" spans="1:19" s="188" customFormat="1" ht="12">
      <c r="A167" s="192" t="s">
        <v>114</v>
      </c>
      <c r="B167" s="193">
        <f>B151/B$154*100+B152/B$154*100+B145/B$154*100+B146/B$154*100</f>
        <v>22.858041005622777</v>
      </c>
      <c r="C167" s="193">
        <f>C151/C$154*100+C152/C$154*100+C145/C$154*100+C146/C$154*100</f>
        <v>16.073583978182082</v>
      </c>
      <c r="D167" s="193">
        <f>D151/D$154*100+D152/D$154*100+D145/D$154*100+D146/D$154*100</f>
        <v>20.411468201764649</v>
      </c>
      <c r="E167" s="193">
        <f>E151/E$154*100+E152/E$154*100+E145/E$154*100+E146/E$154*100</f>
        <v>28.94987149406137</v>
      </c>
      <c r="F167" s="193">
        <f t="shared" ref="F167:N167" si="30">F151/F$154*100+F152/F$154*100+F145/F$154*100+F146/F$154*100</f>
        <v>24.125476332493488</v>
      </c>
      <c r="G167" s="193">
        <f t="shared" si="30"/>
        <v>31.576172346735621</v>
      </c>
      <c r="H167" s="193">
        <f t="shared" si="30"/>
        <v>27.253640497331439</v>
      </c>
      <c r="I167" s="193">
        <f t="shared" si="30"/>
        <v>29.411428770504962</v>
      </c>
      <c r="J167" s="193">
        <f t="shared" si="30"/>
        <v>36.591946056756392</v>
      </c>
      <c r="K167" s="193">
        <f t="shared" si="30"/>
        <v>34.233600247450234</v>
      </c>
      <c r="L167" s="193">
        <f t="shared" si="30"/>
        <v>39.391368581419542</v>
      </c>
      <c r="M167" s="193">
        <f t="shared" si="30"/>
        <v>33.365830102495735</v>
      </c>
      <c r="N167" s="193">
        <f t="shared" si="30"/>
        <v>35.648761713269081</v>
      </c>
    </row>
    <row r="168" spans="1:19" s="188" customFormat="1" ht="12">
      <c r="A168" s="192"/>
      <c r="B168" s="192"/>
    </row>
    <row r="169" spans="1:19" s="188" customFormat="1" ht="12">
      <c r="A169" s="192" t="s">
        <v>127</v>
      </c>
      <c r="B169" s="192"/>
      <c r="N169" s="255"/>
    </row>
    <row r="170" spans="1:19" s="188" customFormat="1" ht="12">
      <c r="A170" s="192" t="s">
        <v>128</v>
      </c>
      <c r="B170" s="192"/>
    </row>
    <row r="175" spans="1:19">
      <c r="A175" s="174" t="s">
        <v>105</v>
      </c>
      <c r="B175" s="334" t="s">
        <v>98</v>
      </c>
      <c r="C175" s="335"/>
      <c r="D175" s="335"/>
      <c r="E175" s="335"/>
      <c r="F175" s="335"/>
      <c r="G175" s="335"/>
      <c r="H175" s="335"/>
      <c r="I175" s="335"/>
      <c r="J175" s="335"/>
      <c r="K175" s="335"/>
      <c r="L175" s="335"/>
      <c r="M175" s="335"/>
      <c r="N175" s="335"/>
      <c r="O175" s="335"/>
      <c r="P175" s="335"/>
      <c r="Q175" s="335"/>
      <c r="R175" s="335"/>
      <c r="S175" s="335"/>
    </row>
    <row r="176" spans="1:19">
      <c r="A176" s="174" t="s">
        <v>106</v>
      </c>
      <c r="B176" s="338" t="s">
        <v>119</v>
      </c>
      <c r="C176" s="339"/>
      <c r="D176" s="339"/>
      <c r="E176" s="339"/>
      <c r="F176" s="339"/>
      <c r="G176" s="339"/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</row>
    <row r="177" spans="1:23">
      <c r="A177" s="179" t="s">
        <v>30</v>
      </c>
      <c r="B177" s="336" t="s">
        <v>223</v>
      </c>
      <c r="C177" s="337"/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337"/>
      <c r="P177" s="337"/>
      <c r="Q177" s="337"/>
      <c r="R177" s="337"/>
      <c r="S177" s="337"/>
    </row>
    <row r="178" spans="1:23">
      <c r="A178" s="179" t="s">
        <v>107</v>
      </c>
      <c r="B178" s="316" t="s">
        <v>2</v>
      </c>
      <c r="C178" s="316" t="s">
        <v>81</v>
      </c>
      <c r="D178" s="316" t="s">
        <v>3</v>
      </c>
      <c r="E178" s="316" t="s">
        <v>4</v>
      </c>
      <c r="F178" s="316" t="s">
        <v>95</v>
      </c>
      <c r="G178" s="316" t="s">
        <v>11</v>
      </c>
      <c r="H178" s="316" t="s">
        <v>5</v>
      </c>
      <c r="I178" s="316" t="s">
        <v>6</v>
      </c>
      <c r="J178" s="316" t="s">
        <v>7</v>
      </c>
      <c r="K178" s="316" t="s">
        <v>8</v>
      </c>
      <c r="L178" s="316" t="s">
        <v>9</v>
      </c>
      <c r="M178" s="316" t="s">
        <v>69</v>
      </c>
      <c r="N178" s="316" t="s">
        <v>70</v>
      </c>
      <c r="O178" s="194" t="s">
        <v>10</v>
      </c>
      <c r="P178" s="316" t="s">
        <v>122</v>
      </c>
      <c r="Q178" s="316" t="s">
        <v>97</v>
      </c>
      <c r="R178" s="316" t="s">
        <v>123</v>
      </c>
      <c r="S178" s="194" t="s">
        <v>124</v>
      </c>
      <c r="V178" s="196" t="s">
        <v>23</v>
      </c>
      <c r="W178" s="196" t="s">
        <v>22</v>
      </c>
    </row>
    <row r="179" spans="1:23" ht="14.25">
      <c r="A179" s="174" t="s">
        <v>31</v>
      </c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195"/>
      <c r="P179" s="310"/>
      <c r="Q179" s="310"/>
      <c r="R179" s="310"/>
      <c r="S179" s="195"/>
      <c r="V179" s="197"/>
      <c r="W179" s="197"/>
    </row>
    <row r="180" spans="1:23" ht="14.25">
      <c r="A180" s="311">
        <v>1</v>
      </c>
      <c r="B180" s="177">
        <v>49726.459777999997</v>
      </c>
      <c r="C180" s="177">
        <v>7986.19236</v>
      </c>
      <c r="D180" s="177">
        <v>146330.70000000001</v>
      </c>
      <c r="E180" s="177">
        <v>19976.492999999999</v>
      </c>
      <c r="F180" s="177">
        <v>0</v>
      </c>
      <c r="G180" s="177">
        <v>47777.084999999999</v>
      </c>
      <c r="H180" s="177">
        <v>139410.63399999999</v>
      </c>
      <c r="I180" s="177">
        <v>44505.67</v>
      </c>
      <c r="J180" s="177">
        <v>6705.4660000000003</v>
      </c>
      <c r="K180" s="177">
        <v>13949.624</v>
      </c>
      <c r="L180" s="177">
        <v>41075.097999999998</v>
      </c>
      <c r="M180" s="177">
        <v>2420.1875</v>
      </c>
      <c r="N180" s="177">
        <v>5063.3684999999996</v>
      </c>
      <c r="O180" s="178">
        <v>524926.97813800001</v>
      </c>
      <c r="P180" s="177">
        <v>-48967.099000000002</v>
      </c>
      <c r="Q180" s="177">
        <v>-1004.659</v>
      </c>
      <c r="R180" s="177">
        <v>24225.058000000001</v>
      </c>
      <c r="S180" s="178">
        <v>499180.27813799999</v>
      </c>
      <c r="V180" s="198">
        <f>IFERROR($H180/$O180*100,"")</f>
        <v>26.558100422750574</v>
      </c>
      <c r="W180" s="197">
        <f>IF($H180=0,"",$H180/1000)</f>
        <v>139.41063399999999</v>
      </c>
    </row>
    <row r="181" spans="1:23" ht="14.25">
      <c r="A181" s="311">
        <v>2</v>
      </c>
      <c r="B181" s="177">
        <v>52426.591075999997</v>
      </c>
      <c r="C181" s="177">
        <v>11216.71018</v>
      </c>
      <c r="D181" s="177">
        <v>146138.51</v>
      </c>
      <c r="E181" s="177">
        <v>21559.757000000001</v>
      </c>
      <c r="F181" s="177">
        <v>0</v>
      </c>
      <c r="G181" s="177">
        <v>95008.555999999997</v>
      </c>
      <c r="H181" s="177">
        <v>103224.10799999999</v>
      </c>
      <c r="I181" s="177">
        <v>41826.048000000003</v>
      </c>
      <c r="J181" s="177">
        <v>4438.1580000000004</v>
      </c>
      <c r="K181" s="177">
        <v>14216.871999999999</v>
      </c>
      <c r="L181" s="177">
        <v>51339.843000000001</v>
      </c>
      <c r="M181" s="177">
        <v>2387.7820000000002</v>
      </c>
      <c r="N181" s="177">
        <v>5125.3509999999997</v>
      </c>
      <c r="O181" s="178">
        <v>548908.28625600005</v>
      </c>
      <c r="P181" s="177">
        <v>-27664.38</v>
      </c>
      <c r="Q181" s="177">
        <v>-1004.14</v>
      </c>
      <c r="R181" s="177">
        <v>21705.651999999998</v>
      </c>
      <c r="S181" s="178">
        <v>541945.41825600003</v>
      </c>
      <c r="V181" s="198">
        <f t="shared" ref="V181:V210" si="31">IFERROR($H181/$O181*100,"")</f>
        <v>18.805347010531062</v>
      </c>
      <c r="W181" s="197">
        <f t="shared" ref="W181:W210" si="32">IF($H181=0,"",$H181/1000)</f>
        <v>103.22410799999999</v>
      </c>
    </row>
    <row r="182" spans="1:23" ht="14.25">
      <c r="A182" s="311">
        <v>3</v>
      </c>
      <c r="B182" s="177">
        <v>52708.786805999996</v>
      </c>
      <c r="C182" s="177">
        <v>8326.018908</v>
      </c>
      <c r="D182" s="177">
        <v>146274.348</v>
      </c>
      <c r="E182" s="177">
        <v>24843.824000000001</v>
      </c>
      <c r="F182" s="177">
        <v>0</v>
      </c>
      <c r="G182" s="177">
        <v>112041.693</v>
      </c>
      <c r="H182" s="177">
        <v>151458.57500000001</v>
      </c>
      <c r="I182" s="177">
        <v>46228.766000000003</v>
      </c>
      <c r="J182" s="177">
        <v>6250.7579999999998</v>
      </c>
      <c r="K182" s="177">
        <v>14287.563</v>
      </c>
      <c r="L182" s="177">
        <v>60705.694000000003</v>
      </c>
      <c r="M182" s="177">
        <v>2388.4349999999999</v>
      </c>
      <c r="N182" s="177">
        <v>5774.598</v>
      </c>
      <c r="O182" s="178">
        <v>631289.05971399997</v>
      </c>
      <c r="P182" s="177">
        <v>-23086.543000000001</v>
      </c>
      <c r="Q182" s="177">
        <v>-1003.4930000000001</v>
      </c>
      <c r="R182" s="177">
        <v>44846.313999999998</v>
      </c>
      <c r="S182" s="178">
        <v>652045.33771400002</v>
      </c>
      <c r="V182" s="198">
        <f t="shared" si="31"/>
        <v>23.991953079088209</v>
      </c>
      <c r="W182" s="197">
        <f t="shared" si="32"/>
        <v>151.45857500000002</v>
      </c>
    </row>
    <row r="183" spans="1:23" ht="14.25">
      <c r="A183" s="311">
        <v>4</v>
      </c>
      <c r="B183" s="177">
        <v>51177.420769999997</v>
      </c>
      <c r="C183" s="177">
        <v>24094.744890000002</v>
      </c>
      <c r="D183" s="177">
        <v>146072.361</v>
      </c>
      <c r="E183" s="177">
        <v>24106.821</v>
      </c>
      <c r="F183" s="177">
        <v>0</v>
      </c>
      <c r="G183" s="177">
        <v>60182.423000000003</v>
      </c>
      <c r="H183" s="177">
        <v>302579.81099999999</v>
      </c>
      <c r="I183" s="177">
        <v>26848.76</v>
      </c>
      <c r="J183" s="177">
        <v>1141.307</v>
      </c>
      <c r="K183" s="177">
        <v>14995.751</v>
      </c>
      <c r="L183" s="177">
        <v>64529.527999999998</v>
      </c>
      <c r="M183" s="177">
        <v>2361.4625000000001</v>
      </c>
      <c r="N183" s="177">
        <v>5783.2375000000002</v>
      </c>
      <c r="O183" s="178">
        <v>723873.62766</v>
      </c>
      <c r="P183" s="177">
        <v>-32356.58</v>
      </c>
      <c r="Q183" s="177">
        <v>-1003.752</v>
      </c>
      <c r="R183" s="177">
        <v>-12042.244000000001</v>
      </c>
      <c r="S183" s="178">
        <v>678471.05166</v>
      </c>
      <c r="V183" s="198">
        <f t="shared" si="31"/>
        <v>41.800087672501903</v>
      </c>
      <c r="W183" s="197">
        <f t="shared" si="32"/>
        <v>302.57981100000001</v>
      </c>
    </row>
    <row r="184" spans="1:23" ht="14.25">
      <c r="A184" s="311">
        <v>5</v>
      </c>
      <c r="B184" s="177">
        <v>56754.274336000002</v>
      </c>
      <c r="C184" s="177">
        <v>14542.68578</v>
      </c>
      <c r="D184" s="177">
        <v>145973.99799999999</v>
      </c>
      <c r="E184" s="177">
        <v>25487.493999999999</v>
      </c>
      <c r="F184" s="177">
        <v>0</v>
      </c>
      <c r="G184" s="177">
        <v>72492.328999999998</v>
      </c>
      <c r="H184" s="177">
        <v>288116.391</v>
      </c>
      <c r="I184" s="177">
        <v>33874.099000000002</v>
      </c>
      <c r="J184" s="177">
        <v>1970</v>
      </c>
      <c r="K184" s="177">
        <v>14799.210999999999</v>
      </c>
      <c r="L184" s="177">
        <v>66907.887000000002</v>
      </c>
      <c r="M184" s="177">
        <v>2387.6545000000001</v>
      </c>
      <c r="N184" s="177">
        <v>5805.8834999999999</v>
      </c>
      <c r="O184" s="178">
        <v>729111.90711599996</v>
      </c>
      <c r="P184" s="177">
        <v>-26404.039000000001</v>
      </c>
      <c r="Q184" s="177">
        <v>-1003.753</v>
      </c>
      <c r="R184" s="177">
        <v>-26924.240000000002</v>
      </c>
      <c r="S184" s="178">
        <v>674779.87511599995</v>
      </c>
      <c r="V184" s="198">
        <f t="shared" si="31"/>
        <v>39.516072661553906</v>
      </c>
      <c r="W184" s="197">
        <f t="shared" si="32"/>
        <v>288.11639100000002</v>
      </c>
    </row>
    <row r="185" spans="1:23" ht="14.25">
      <c r="A185" s="311">
        <v>6</v>
      </c>
      <c r="B185" s="177">
        <v>60267.471193999998</v>
      </c>
      <c r="C185" s="177">
        <v>13304.322162</v>
      </c>
      <c r="D185" s="177">
        <v>146056.704</v>
      </c>
      <c r="E185" s="177">
        <v>26684.004000000001</v>
      </c>
      <c r="F185" s="177">
        <v>0</v>
      </c>
      <c r="G185" s="177">
        <v>63190.591999999997</v>
      </c>
      <c r="H185" s="177">
        <v>195946.81899999999</v>
      </c>
      <c r="I185" s="177">
        <v>51518.356</v>
      </c>
      <c r="J185" s="177">
        <v>6858.9160000000002</v>
      </c>
      <c r="K185" s="177">
        <v>14551.3</v>
      </c>
      <c r="L185" s="177">
        <v>68317.303</v>
      </c>
      <c r="M185" s="177">
        <v>2363.1080000000002</v>
      </c>
      <c r="N185" s="177">
        <v>5188.1189999999997</v>
      </c>
      <c r="O185" s="178">
        <v>654247.014356</v>
      </c>
      <c r="P185" s="177">
        <v>-19693</v>
      </c>
      <c r="Q185" s="177">
        <v>-988.02599999999995</v>
      </c>
      <c r="R185" s="177">
        <v>-53085.714999999997</v>
      </c>
      <c r="S185" s="178">
        <v>580480.27335599996</v>
      </c>
      <c r="V185" s="198">
        <f t="shared" si="31"/>
        <v>29.949975269337354</v>
      </c>
      <c r="W185" s="197">
        <f t="shared" si="32"/>
        <v>195.94681899999998</v>
      </c>
    </row>
    <row r="186" spans="1:23" ht="14.25">
      <c r="A186" s="311">
        <v>7</v>
      </c>
      <c r="B186" s="177">
        <v>61303.942600000002</v>
      </c>
      <c r="C186" s="177">
        <v>13942.540639999999</v>
      </c>
      <c r="D186" s="177">
        <v>146065.25099999999</v>
      </c>
      <c r="E186" s="177">
        <v>26674.293000000001</v>
      </c>
      <c r="F186" s="177">
        <v>0</v>
      </c>
      <c r="G186" s="177">
        <v>106574.02</v>
      </c>
      <c r="H186" s="177">
        <v>208094.853</v>
      </c>
      <c r="I186" s="177">
        <v>49919.993999999999</v>
      </c>
      <c r="J186" s="177">
        <v>7903.4520000000002</v>
      </c>
      <c r="K186" s="177">
        <v>14995.993</v>
      </c>
      <c r="L186" s="177">
        <v>70300.243000000002</v>
      </c>
      <c r="M186" s="177">
        <v>1868.2004999999999</v>
      </c>
      <c r="N186" s="177">
        <v>4487.4544999999998</v>
      </c>
      <c r="O186" s="178">
        <v>712130.23724000005</v>
      </c>
      <c r="P186" s="177">
        <v>-14440.339</v>
      </c>
      <c r="Q186" s="177">
        <v>-1004.444</v>
      </c>
      <c r="R186" s="177">
        <v>-35533.792999999998</v>
      </c>
      <c r="S186" s="178">
        <v>661151.66124000004</v>
      </c>
      <c r="V186" s="198">
        <f t="shared" si="31"/>
        <v>29.221460081025668</v>
      </c>
      <c r="W186" s="197">
        <f t="shared" si="32"/>
        <v>208.094853</v>
      </c>
    </row>
    <row r="187" spans="1:23" ht="14.25">
      <c r="A187" s="311">
        <v>8</v>
      </c>
      <c r="B187" s="177">
        <v>55957.233630000002</v>
      </c>
      <c r="C187" s="177">
        <v>7989.8191699999998</v>
      </c>
      <c r="D187" s="177">
        <v>145395.111</v>
      </c>
      <c r="E187" s="177">
        <v>26288.351999999999</v>
      </c>
      <c r="F187" s="177">
        <v>0</v>
      </c>
      <c r="G187" s="177">
        <v>37663.822</v>
      </c>
      <c r="H187" s="177">
        <v>261846.83199999999</v>
      </c>
      <c r="I187" s="177">
        <v>43072.267</v>
      </c>
      <c r="J187" s="177">
        <v>2736.09</v>
      </c>
      <c r="K187" s="177">
        <v>14904.143</v>
      </c>
      <c r="L187" s="177">
        <v>68019.025999999998</v>
      </c>
      <c r="M187" s="177">
        <v>2358.3015</v>
      </c>
      <c r="N187" s="177">
        <v>5127.6334999999999</v>
      </c>
      <c r="O187" s="178">
        <v>671358.63080000004</v>
      </c>
      <c r="P187" s="177">
        <v>-10845.856</v>
      </c>
      <c r="Q187" s="177">
        <v>-1003.579</v>
      </c>
      <c r="R187" s="177">
        <v>-13038.911</v>
      </c>
      <c r="S187" s="178">
        <v>646470.28480000002</v>
      </c>
      <c r="V187" s="198">
        <f t="shared" si="31"/>
        <v>39.002527112518052</v>
      </c>
      <c r="W187" s="197">
        <f t="shared" si="32"/>
        <v>261.84683200000001</v>
      </c>
    </row>
    <row r="188" spans="1:23" ht="14.25">
      <c r="A188" s="311">
        <v>9</v>
      </c>
      <c r="B188" s="177">
        <v>47529.739913999998</v>
      </c>
      <c r="C188" s="177">
        <v>13633.98479</v>
      </c>
      <c r="D188" s="177">
        <v>149110.75</v>
      </c>
      <c r="E188" s="177">
        <v>23091.174999999999</v>
      </c>
      <c r="F188" s="177">
        <v>0</v>
      </c>
      <c r="G188" s="177">
        <v>32097.628000000001</v>
      </c>
      <c r="H188" s="177">
        <v>392653.90700000001</v>
      </c>
      <c r="I188" s="177">
        <v>38666.413999999997</v>
      </c>
      <c r="J188" s="177">
        <v>4320.1120000000001</v>
      </c>
      <c r="K188" s="177">
        <v>14084.261</v>
      </c>
      <c r="L188" s="177">
        <v>55407.478000000003</v>
      </c>
      <c r="M188" s="177">
        <v>2370.8715000000002</v>
      </c>
      <c r="N188" s="177">
        <v>4996.4944999999998</v>
      </c>
      <c r="O188" s="178">
        <v>777962.81570399995</v>
      </c>
      <c r="P188" s="177">
        <v>-48329.607000000004</v>
      </c>
      <c r="Q188" s="177">
        <v>-1063.066</v>
      </c>
      <c r="R188" s="177">
        <v>-109660.46799999999</v>
      </c>
      <c r="S188" s="178">
        <v>618909.674704</v>
      </c>
      <c r="V188" s="198">
        <f t="shared" si="31"/>
        <v>50.472066154559933</v>
      </c>
      <c r="W188" s="197">
        <f t="shared" si="32"/>
        <v>392.653907</v>
      </c>
    </row>
    <row r="189" spans="1:23" ht="14.25">
      <c r="A189" s="311">
        <v>10</v>
      </c>
      <c r="B189" s="177">
        <v>71020.139995999998</v>
      </c>
      <c r="C189" s="177">
        <v>13338.886759999999</v>
      </c>
      <c r="D189" s="177">
        <v>157582.53200000001</v>
      </c>
      <c r="E189" s="177">
        <v>25781.845000000001</v>
      </c>
      <c r="F189" s="177">
        <v>0</v>
      </c>
      <c r="G189" s="177">
        <v>118935.64</v>
      </c>
      <c r="H189" s="177">
        <v>306262.18699999998</v>
      </c>
      <c r="I189" s="177">
        <v>36708.133000000002</v>
      </c>
      <c r="J189" s="177">
        <v>3047.808</v>
      </c>
      <c r="K189" s="177">
        <v>14274.143</v>
      </c>
      <c r="L189" s="177">
        <v>69677.066999999995</v>
      </c>
      <c r="M189" s="177">
        <v>2332.08</v>
      </c>
      <c r="N189" s="177">
        <v>5132.3050000000003</v>
      </c>
      <c r="O189" s="178">
        <v>824092.766756</v>
      </c>
      <c r="P189" s="177">
        <v>-17716.159</v>
      </c>
      <c r="Q189" s="177">
        <v>-1003.838</v>
      </c>
      <c r="R189" s="177">
        <v>-90416.885999999999</v>
      </c>
      <c r="S189" s="178">
        <v>714955.88375599997</v>
      </c>
      <c r="V189" s="198">
        <f t="shared" si="31"/>
        <v>37.163557229798997</v>
      </c>
      <c r="W189" s="197">
        <f t="shared" si="32"/>
        <v>306.26218699999998</v>
      </c>
    </row>
    <row r="190" spans="1:23" ht="14.25">
      <c r="A190" s="311">
        <v>11</v>
      </c>
      <c r="B190" s="177">
        <v>71896.505428000004</v>
      </c>
      <c r="C190" s="177">
        <v>1614.1570320000001</v>
      </c>
      <c r="D190" s="177">
        <v>163915.897</v>
      </c>
      <c r="E190" s="177">
        <v>19910.782999999999</v>
      </c>
      <c r="F190" s="177">
        <v>0</v>
      </c>
      <c r="G190" s="177">
        <v>158167.56400000001</v>
      </c>
      <c r="H190" s="177">
        <v>243334.95199999999</v>
      </c>
      <c r="I190" s="177">
        <v>42832.012999999999</v>
      </c>
      <c r="J190" s="177">
        <v>5742.2120000000004</v>
      </c>
      <c r="K190" s="177">
        <v>14466.004000000001</v>
      </c>
      <c r="L190" s="177">
        <v>74145.34</v>
      </c>
      <c r="M190" s="177">
        <v>2166.616</v>
      </c>
      <c r="N190" s="177">
        <v>5169.768</v>
      </c>
      <c r="O190" s="178">
        <v>803361.81146</v>
      </c>
      <c r="P190" s="177">
        <v>-13876.696</v>
      </c>
      <c r="Q190" s="177">
        <v>-1003.968</v>
      </c>
      <c r="R190" s="177">
        <v>-57264.88</v>
      </c>
      <c r="S190" s="178">
        <v>731216.26746</v>
      </c>
      <c r="V190" s="198">
        <f t="shared" si="31"/>
        <v>30.28958416106089</v>
      </c>
      <c r="W190" s="197">
        <f t="shared" si="32"/>
        <v>243.33495199999999</v>
      </c>
    </row>
    <row r="191" spans="1:23" ht="14.25">
      <c r="A191" s="311">
        <v>12</v>
      </c>
      <c r="B191" s="177">
        <v>63249.467270000001</v>
      </c>
      <c r="C191" s="177">
        <v>1361.62735</v>
      </c>
      <c r="D191" s="177">
        <v>169839.20800000001</v>
      </c>
      <c r="E191" s="177">
        <v>18881.661</v>
      </c>
      <c r="F191" s="177">
        <v>0</v>
      </c>
      <c r="G191" s="177">
        <v>156852.74900000001</v>
      </c>
      <c r="H191" s="177">
        <v>262769.24200000003</v>
      </c>
      <c r="I191" s="177">
        <v>52834.847999999998</v>
      </c>
      <c r="J191" s="177">
        <v>7250.3779999999997</v>
      </c>
      <c r="K191" s="177">
        <v>13884.87</v>
      </c>
      <c r="L191" s="177">
        <v>74050.445999999996</v>
      </c>
      <c r="M191" s="177">
        <v>2093.5749999999998</v>
      </c>
      <c r="N191" s="177">
        <v>4918.3339999999998</v>
      </c>
      <c r="O191" s="178">
        <v>827986.40561999998</v>
      </c>
      <c r="P191" s="177">
        <v>-31129.584999999999</v>
      </c>
      <c r="Q191" s="177">
        <v>-1004.011</v>
      </c>
      <c r="R191" s="177">
        <v>-60222.262999999999</v>
      </c>
      <c r="S191" s="178">
        <v>735630.54662000004</v>
      </c>
      <c r="V191" s="198">
        <f t="shared" si="31"/>
        <v>31.735936751671328</v>
      </c>
      <c r="W191" s="197">
        <f t="shared" si="32"/>
        <v>262.76924200000002</v>
      </c>
    </row>
    <row r="192" spans="1:23" ht="14.25">
      <c r="A192" s="311">
        <v>13</v>
      </c>
      <c r="B192" s="177">
        <v>92253.659820000001</v>
      </c>
      <c r="C192" s="177">
        <v>4175.5262700000003</v>
      </c>
      <c r="D192" s="177">
        <v>170732.06700000001</v>
      </c>
      <c r="E192" s="177">
        <v>16649.579000000002</v>
      </c>
      <c r="F192" s="177">
        <v>0</v>
      </c>
      <c r="G192" s="177">
        <v>235216.94200000001</v>
      </c>
      <c r="H192" s="177">
        <v>128977.47</v>
      </c>
      <c r="I192" s="177">
        <v>50807.201999999997</v>
      </c>
      <c r="J192" s="177">
        <v>6936.3459999999995</v>
      </c>
      <c r="K192" s="177">
        <v>14371.370999999999</v>
      </c>
      <c r="L192" s="177">
        <v>76116.524000000005</v>
      </c>
      <c r="M192" s="177">
        <v>2069.9639999999999</v>
      </c>
      <c r="N192" s="177">
        <v>4792.5519999999997</v>
      </c>
      <c r="O192" s="178">
        <v>803099.20308999997</v>
      </c>
      <c r="P192" s="177">
        <v>-6061.4650000000001</v>
      </c>
      <c r="Q192" s="177">
        <v>-1004.184</v>
      </c>
      <c r="R192" s="177">
        <v>-48843.112000000001</v>
      </c>
      <c r="S192" s="178">
        <v>747190.44209000003</v>
      </c>
      <c r="V192" s="198">
        <f t="shared" si="31"/>
        <v>16.059967374360106</v>
      </c>
      <c r="W192" s="197">
        <f t="shared" si="32"/>
        <v>128.97747000000001</v>
      </c>
    </row>
    <row r="193" spans="1:23" ht="14.25">
      <c r="A193" s="311">
        <v>14</v>
      </c>
      <c r="B193" s="177">
        <v>93461.683109999998</v>
      </c>
      <c r="C193" s="177">
        <v>3789.9643700000001</v>
      </c>
      <c r="D193" s="177">
        <v>170780.57</v>
      </c>
      <c r="E193" s="177">
        <v>23827.206999999999</v>
      </c>
      <c r="F193" s="177">
        <v>0</v>
      </c>
      <c r="G193" s="177">
        <v>276153.48599999998</v>
      </c>
      <c r="H193" s="177">
        <v>84028.486999999994</v>
      </c>
      <c r="I193" s="177">
        <v>49740.129000000001</v>
      </c>
      <c r="J193" s="177">
        <v>6621.63</v>
      </c>
      <c r="K193" s="177">
        <v>14372.127</v>
      </c>
      <c r="L193" s="177">
        <v>76839.180999999997</v>
      </c>
      <c r="M193" s="177">
        <v>2078.5010000000002</v>
      </c>
      <c r="N193" s="177">
        <v>4835.7730000000001</v>
      </c>
      <c r="O193" s="178">
        <v>806528.73848000006</v>
      </c>
      <c r="P193" s="177">
        <v>-2397.0940000000001</v>
      </c>
      <c r="Q193" s="177">
        <v>-1005.437</v>
      </c>
      <c r="R193" s="177">
        <v>-44069.972999999998</v>
      </c>
      <c r="S193" s="178">
        <v>759056.23447999998</v>
      </c>
      <c r="V193" s="198">
        <f t="shared" si="31"/>
        <v>10.418536003857932</v>
      </c>
      <c r="W193" s="197">
        <f t="shared" si="32"/>
        <v>84.028486999999998</v>
      </c>
    </row>
    <row r="194" spans="1:23" ht="14.25">
      <c r="A194" s="311">
        <v>15</v>
      </c>
      <c r="B194" s="177">
        <v>91377.041800000006</v>
      </c>
      <c r="C194" s="177">
        <v>4433.1243999999997</v>
      </c>
      <c r="D194" s="177">
        <v>170821.97099999999</v>
      </c>
      <c r="E194" s="177">
        <v>26826.605</v>
      </c>
      <c r="F194" s="177">
        <v>0</v>
      </c>
      <c r="G194" s="177">
        <v>172904.07399999999</v>
      </c>
      <c r="H194" s="177">
        <v>62010.108</v>
      </c>
      <c r="I194" s="177">
        <v>51203.485999999997</v>
      </c>
      <c r="J194" s="177">
        <v>6439.6660000000002</v>
      </c>
      <c r="K194" s="177">
        <v>14899.478999999999</v>
      </c>
      <c r="L194" s="177">
        <v>73927.804999999993</v>
      </c>
      <c r="M194" s="177">
        <v>2083.3705</v>
      </c>
      <c r="N194" s="177">
        <v>5022.4125000000004</v>
      </c>
      <c r="O194" s="178">
        <v>681949.14320000005</v>
      </c>
      <c r="P194" s="177">
        <v>-2441.1109999999999</v>
      </c>
      <c r="Q194" s="177">
        <v>-1004.0119999999999</v>
      </c>
      <c r="R194" s="177">
        <v>-643.28499999999997</v>
      </c>
      <c r="S194" s="178">
        <v>677860.7352</v>
      </c>
      <c r="V194" s="198">
        <f t="shared" si="31"/>
        <v>9.0930692733217278</v>
      </c>
      <c r="W194" s="197">
        <f t="shared" si="32"/>
        <v>62.010108000000002</v>
      </c>
    </row>
    <row r="195" spans="1:23" ht="14.25">
      <c r="A195" s="311">
        <v>16</v>
      </c>
      <c r="B195" s="177">
        <v>77440.361967999997</v>
      </c>
      <c r="C195" s="177">
        <v>1591.903832</v>
      </c>
      <c r="D195" s="177">
        <v>167782.291</v>
      </c>
      <c r="E195" s="177">
        <v>26824.557000000001</v>
      </c>
      <c r="F195" s="177">
        <v>0</v>
      </c>
      <c r="G195" s="177">
        <v>165707.215</v>
      </c>
      <c r="H195" s="177">
        <v>64099.561000000002</v>
      </c>
      <c r="I195" s="177">
        <v>55282.351999999999</v>
      </c>
      <c r="J195" s="177">
        <v>6044.4110000000001</v>
      </c>
      <c r="K195" s="177">
        <v>14365.339</v>
      </c>
      <c r="L195" s="177">
        <v>71836.862999999998</v>
      </c>
      <c r="M195" s="177">
        <v>2239.0645</v>
      </c>
      <c r="N195" s="177">
        <v>5179.1004999999996</v>
      </c>
      <c r="O195" s="178">
        <v>658393.01980000001</v>
      </c>
      <c r="P195" s="177">
        <v>-6051.893</v>
      </c>
      <c r="Q195" s="177">
        <v>-1003.535</v>
      </c>
      <c r="R195" s="177">
        <v>-16539.831999999999</v>
      </c>
      <c r="S195" s="178">
        <v>634797.7598</v>
      </c>
      <c r="V195" s="198">
        <f t="shared" si="31"/>
        <v>9.7357595041744993</v>
      </c>
      <c r="W195" s="197">
        <f t="shared" si="32"/>
        <v>64.099561000000008</v>
      </c>
    </row>
    <row r="196" spans="1:23" ht="14.25">
      <c r="A196" s="311">
        <v>17</v>
      </c>
      <c r="B196" s="177">
        <v>86178.530840000007</v>
      </c>
      <c r="C196" s="177">
        <v>6520.5981599999996</v>
      </c>
      <c r="D196" s="177">
        <v>170732.14199999999</v>
      </c>
      <c r="E196" s="177">
        <v>26651.096000000001</v>
      </c>
      <c r="F196" s="177">
        <v>0</v>
      </c>
      <c r="G196" s="177">
        <v>265584.098</v>
      </c>
      <c r="H196" s="177">
        <v>76092.447</v>
      </c>
      <c r="I196" s="177">
        <v>58452.790999999997</v>
      </c>
      <c r="J196" s="177">
        <v>8098.0940000000001</v>
      </c>
      <c r="K196" s="177">
        <v>13510.463</v>
      </c>
      <c r="L196" s="177">
        <v>76010.263000000006</v>
      </c>
      <c r="M196" s="177">
        <v>2135.7914999999998</v>
      </c>
      <c r="N196" s="177">
        <v>5321.7965000000004</v>
      </c>
      <c r="O196" s="178">
        <v>795288.11100000003</v>
      </c>
      <c r="P196" s="177">
        <v>-1642.1310000000001</v>
      </c>
      <c r="Q196" s="177">
        <v>-1003.4930000000001</v>
      </c>
      <c r="R196" s="177">
        <v>-43231.470999999998</v>
      </c>
      <c r="S196" s="178">
        <v>749411.01599999995</v>
      </c>
      <c r="V196" s="198">
        <f t="shared" si="31"/>
        <v>9.5679095346114131</v>
      </c>
      <c r="W196" s="197">
        <f t="shared" si="32"/>
        <v>76.092447000000007</v>
      </c>
    </row>
    <row r="197" spans="1:23" ht="14.25">
      <c r="A197" s="311">
        <v>18</v>
      </c>
      <c r="B197" s="177">
        <v>87682.909400000004</v>
      </c>
      <c r="C197" s="177">
        <v>5887.9681200000005</v>
      </c>
      <c r="D197" s="177">
        <v>170662.128</v>
      </c>
      <c r="E197" s="177">
        <v>26778.510999999999</v>
      </c>
      <c r="F197" s="177">
        <v>0</v>
      </c>
      <c r="G197" s="177">
        <v>324993.30800000002</v>
      </c>
      <c r="H197" s="177">
        <v>50593.656000000003</v>
      </c>
      <c r="I197" s="177">
        <v>58727.192000000003</v>
      </c>
      <c r="J197" s="177">
        <v>7751.0630000000001</v>
      </c>
      <c r="K197" s="177">
        <v>12956.736999999999</v>
      </c>
      <c r="L197" s="177">
        <v>75709.501999999993</v>
      </c>
      <c r="M197" s="177">
        <v>2038.3765000000001</v>
      </c>
      <c r="N197" s="177">
        <v>5057.5675000000001</v>
      </c>
      <c r="O197" s="178">
        <v>828838.91851999995</v>
      </c>
      <c r="P197" s="177">
        <v>-4540.5469999999996</v>
      </c>
      <c r="Q197" s="177">
        <v>-1003.45</v>
      </c>
      <c r="R197" s="177">
        <v>-56081.267999999996</v>
      </c>
      <c r="S197" s="178">
        <v>767213.65352000005</v>
      </c>
      <c r="V197" s="198">
        <f t="shared" si="31"/>
        <v>6.1041602740302761</v>
      </c>
      <c r="W197" s="197">
        <f t="shared" si="32"/>
        <v>50.593656000000003</v>
      </c>
    </row>
    <row r="198" spans="1:23" ht="14.25">
      <c r="A198" s="311">
        <v>19</v>
      </c>
      <c r="B198" s="177">
        <v>78929.493067999996</v>
      </c>
      <c r="C198" s="177">
        <v>3699.7854280000001</v>
      </c>
      <c r="D198" s="177">
        <v>170714.09700000001</v>
      </c>
      <c r="E198" s="177">
        <v>26696.571</v>
      </c>
      <c r="F198" s="177">
        <v>0</v>
      </c>
      <c r="G198" s="177">
        <v>290627.86499999999</v>
      </c>
      <c r="H198" s="177">
        <v>95962.307000000001</v>
      </c>
      <c r="I198" s="177">
        <v>57347.031000000003</v>
      </c>
      <c r="J198" s="177">
        <v>8088.549</v>
      </c>
      <c r="K198" s="177">
        <v>12997.147999999999</v>
      </c>
      <c r="L198" s="177">
        <v>75672.578999999998</v>
      </c>
      <c r="M198" s="177">
        <v>2054.1439999999998</v>
      </c>
      <c r="N198" s="177">
        <v>5049.75</v>
      </c>
      <c r="O198" s="178">
        <v>827839.31949599995</v>
      </c>
      <c r="P198" s="177">
        <v>-4006.578</v>
      </c>
      <c r="Q198" s="177">
        <v>-1002.585</v>
      </c>
      <c r="R198" s="177">
        <v>-50499.94</v>
      </c>
      <c r="S198" s="178">
        <v>772330.21649599995</v>
      </c>
      <c r="V198" s="198">
        <f t="shared" si="31"/>
        <v>11.591900111536521</v>
      </c>
      <c r="W198" s="197">
        <f t="shared" si="32"/>
        <v>95.962306999999996</v>
      </c>
    </row>
    <row r="199" spans="1:23" ht="14.25">
      <c r="A199" s="311">
        <v>20</v>
      </c>
      <c r="B199" s="177">
        <v>69029.250767999998</v>
      </c>
      <c r="C199" s="177">
        <v>936.99616000000003</v>
      </c>
      <c r="D199" s="177">
        <v>170635.47</v>
      </c>
      <c r="E199" s="177">
        <v>25940.674999999999</v>
      </c>
      <c r="F199" s="177">
        <v>0</v>
      </c>
      <c r="G199" s="177">
        <v>209866.133</v>
      </c>
      <c r="H199" s="177">
        <v>208363.84299999999</v>
      </c>
      <c r="I199" s="177">
        <v>57278.874000000003</v>
      </c>
      <c r="J199" s="177">
        <v>8236.4130000000005</v>
      </c>
      <c r="K199" s="177">
        <v>13383.906000000001</v>
      </c>
      <c r="L199" s="177">
        <v>74426.206000000006</v>
      </c>
      <c r="M199" s="177">
        <v>2000.1635000000001</v>
      </c>
      <c r="N199" s="177">
        <v>4933.9224999999997</v>
      </c>
      <c r="O199" s="178">
        <v>845031.85292800004</v>
      </c>
      <c r="P199" s="177">
        <v>-4530.0739999999996</v>
      </c>
      <c r="Q199" s="177">
        <v>-1002.888</v>
      </c>
      <c r="R199" s="177">
        <v>-66260.478000000003</v>
      </c>
      <c r="S199" s="178">
        <v>773238.41292799998</v>
      </c>
      <c r="V199" s="198">
        <f t="shared" si="31"/>
        <v>24.657513474554595</v>
      </c>
      <c r="W199" s="197">
        <f t="shared" si="32"/>
        <v>208.363843</v>
      </c>
    </row>
    <row r="200" spans="1:23" ht="14.25">
      <c r="A200" s="311">
        <v>21</v>
      </c>
      <c r="B200" s="177">
        <v>54798.487739999997</v>
      </c>
      <c r="C200" s="177">
        <v>182.39230000000001</v>
      </c>
      <c r="D200" s="177">
        <v>170622.08900000001</v>
      </c>
      <c r="E200" s="177">
        <v>25454.536</v>
      </c>
      <c r="F200" s="177">
        <v>0</v>
      </c>
      <c r="G200" s="177">
        <v>134465.761</v>
      </c>
      <c r="H200" s="177">
        <v>307490.30300000001</v>
      </c>
      <c r="I200" s="177">
        <v>58481.438000000002</v>
      </c>
      <c r="J200" s="177">
        <v>8747.5499999999993</v>
      </c>
      <c r="K200" s="177">
        <v>13252.851000000001</v>
      </c>
      <c r="L200" s="177">
        <v>74450.607999999993</v>
      </c>
      <c r="M200" s="177">
        <v>1892.2845</v>
      </c>
      <c r="N200" s="177">
        <v>4810.9894999999997</v>
      </c>
      <c r="O200" s="178">
        <v>854649.29003999999</v>
      </c>
      <c r="P200" s="177">
        <v>-17441.724999999999</v>
      </c>
      <c r="Q200" s="177">
        <v>-1002.673</v>
      </c>
      <c r="R200" s="177">
        <v>-65574.214999999997</v>
      </c>
      <c r="S200" s="178">
        <v>770630.67703999998</v>
      </c>
      <c r="V200" s="198">
        <f t="shared" si="31"/>
        <v>35.978536059581657</v>
      </c>
      <c r="W200" s="197">
        <f t="shared" si="32"/>
        <v>307.49030300000004</v>
      </c>
    </row>
    <row r="201" spans="1:23" ht="14.25">
      <c r="A201" s="311">
        <v>22</v>
      </c>
      <c r="B201" s="177">
        <v>52701.204830000002</v>
      </c>
      <c r="C201" s="177">
        <v>6154.7368900000001</v>
      </c>
      <c r="D201" s="177">
        <v>170659.796</v>
      </c>
      <c r="E201" s="177">
        <v>26006.392</v>
      </c>
      <c r="F201" s="177">
        <v>0</v>
      </c>
      <c r="G201" s="177">
        <v>166293.10500000001</v>
      </c>
      <c r="H201" s="177">
        <v>174685.46100000001</v>
      </c>
      <c r="I201" s="177">
        <v>51771.523000000001</v>
      </c>
      <c r="J201" s="177">
        <v>8167.674</v>
      </c>
      <c r="K201" s="177">
        <v>13258.558999999999</v>
      </c>
      <c r="L201" s="177">
        <v>70912.362999999998</v>
      </c>
      <c r="M201" s="177">
        <v>2155.9</v>
      </c>
      <c r="N201" s="177">
        <v>5000.4660000000003</v>
      </c>
      <c r="O201" s="178">
        <v>747767.18071999995</v>
      </c>
      <c r="P201" s="177">
        <v>-11660.234</v>
      </c>
      <c r="Q201" s="177">
        <v>-1002.8440000000001</v>
      </c>
      <c r="R201" s="177">
        <v>-44249.275000000001</v>
      </c>
      <c r="S201" s="178">
        <v>690854.82771999994</v>
      </c>
      <c r="V201" s="198">
        <f t="shared" si="31"/>
        <v>23.360942483702111</v>
      </c>
      <c r="W201" s="197">
        <f t="shared" si="32"/>
        <v>174.685461</v>
      </c>
    </row>
    <row r="202" spans="1:23" ht="14.25">
      <c r="A202" s="311">
        <v>23</v>
      </c>
      <c r="B202" s="177">
        <v>65602.711467999994</v>
      </c>
      <c r="C202" s="177">
        <v>1993.0235319999999</v>
      </c>
      <c r="D202" s="177">
        <v>170714.88099999999</v>
      </c>
      <c r="E202" s="177">
        <v>25902.519</v>
      </c>
      <c r="F202" s="177">
        <v>0</v>
      </c>
      <c r="G202" s="177">
        <v>184664.601</v>
      </c>
      <c r="H202" s="177">
        <v>95040.398000000001</v>
      </c>
      <c r="I202" s="177">
        <v>45229.292999999998</v>
      </c>
      <c r="J202" s="177">
        <v>3164.6619999999998</v>
      </c>
      <c r="K202" s="177">
        <v>12414.322</v>
      </c>
      <c r="L202" s="177">
        <v>69538.222999999998</v>
      </c>
      <c r="M202" s="177">
        <v>2260.9580000000001</v>
      </c>
      <c r="N202" s="177">
        <v>5127.1710000000003</v>
      </c>
      <c r="O202" s="178">
        <v>681652.76300000004</v>
      </c>
      <c r="P202" s="177">
        <v>-3781.364</v>
      </c>
      <c r="Q202" s="177">
        <v>-1002.932</v>
      </c>
      <c r="R202" s="177">
        <v>-33117.186999999998</v>
      </c>
      <c r="S202" s="178">
        <v>643751.28</v>
      </c>
      <c r="V202" s="198">
        <f t="shared" si="31"/>
        <v>13.942641056968766</v>
      </c>
      <c r="W202" s="197">
        <f t="shared" si="32"/>
        <v>95.040397999999996</v>
      </c>
    </row>
    <row r="203" spans="1:23" ht="14.25">
      <c r="A203" s="311">
        <v>24</v>
      </c>
      <c r="B203" s="177">
        <v>92951.705128000001</v>
      </c>
      <c r="C203" s="177">
        <v>13380.029336</v>
      </c>
      <c r="D203" s="177">
        <v>170646.74400000001</v>
      </c>
      <c r="E203" s="177">
        <v>20612.321</v>
      </c>
      <c r="F203" s="177">
        <v>0</v>
      </c>
      <c r="G203" s="177">
        <v>293457.64399999997</v>
      </c>
      <c r="H203" s="177">
        <v>82144.214000000007</v>
      </c>
      <c r="I203" s="177">
        <v>42649.826999999997</v>
      </c>
      <c r="J203" s="177">
        <v>3149.549</v>
      </c>
      <c r="K203" s="177">
        <v>12413.404</v>
      </c>
      <c r="L203" s="177">
        <v>74342.395000000004</v>
      </c>
      <c r="M203" s="177">
        <v>2306.7824999999998</v>
      </c>
      <c r="N203" s="177">
        <v>5310.4054999999998</v>
      </c>
      <c r="O203" s="178">
        <v>813365.02046399994</v>
      </c>
      <c r="P203" s="177">
        <v>-341.90100000000001</v>
      </c>
      <c r="Q203" s="177">
        <v>-1003.665</v>
      </c>
      <c r="R203" s="177">
        <v>-53683.716999999997</v>
      </c>
      <c r="S203" s="178">
        <v>758335.73746400001</v>
      </c>
      <c r="V203" s="198">
        <f t="shared" si="31"/>
        <v>10.099304977873185</v>
      </c>
      <c r="W203" s="197">
        <f t="shared" si="32"/>
        <v>82.144214000000005</v>
      </c>
    </row>
    <row r="204" spans="1:23" ht="14.25">
      <c r="A204" s="311">
        <v>25</v>
      </c>
      <c r="B204" s="177">
        <v>75289.996956000003</v>
      </c>
      <c r="C204" s="177">
        <v>8175.6813000000002</v>
      </c>
      <c r="D204" s="177">
        <v>170571.905</v>
      </c>
      <c r="E204" s="177">
        <v>18654.637999999999</v>
      </c>
      <c r="F204" s="177">
        <v>0</v>
      </c>
      <c r="G204" s="177">
        <v>308245.44799999997</v>
      </c>
      <c r="H204" s="177">
        <v>99789.788</v>
      </c>
      <c r="I204" s="177">
        <v>42048.576000000001</v>
      </c>
      <c r="J204" s="177">
        <v>3982.9110000000001</v>
      </c>
      <c r="K204" s="177">
        <v>13173.401</v>
      </c>
      <c r="L204" s="177">
        <v>74563.712</v>
      </c>
      <c r="M204" s="177">
        <v>2329.6435000000001</v>
      </c>
      <c r="N204" s="177">
        <v>5220.8495000000003</v>
      </c>
      <c r="O204" s="178">
        <v>822046.55025600002</v>
      </c>
      <c r="P204" s="177">
        <v>-3281.9</v>
      </c>
      <c r="Q204" s="177">
        <v>-1004.097</v>
      </c>
      <c r="R204" s="177">
        <v>-55363.839</v>
      </c>
      <c r="S204" s="178">
        <v>762396.71425600001</v>
      </c>
      <c r="V204" s="198">
        <f t="shared" si="31"/>
        <v>12.139189437498848</v>
      </c>
      <c r="W204" s="197">
        <f t="shared" si="32"/>
        <v>99.789788000000001</v>
      </c>
    </row>
    <row r="205" spans="1:23" ht="14.25">
      <c r="A205" s="311">
        <v>26</v>
      </c>
      <c r="B205" s="177">
        <v>82038.45938</v>
      </c>
      <c r="C205" s="177">
        <v>7807.6976199999999</v>
      </c>
      <c r="D205" s="177">
        <v>170613.22700000001</v>
      </c>
      <c r="E205" s="177">
        <v>18931.261999999999</v>
      </c>
      <c r="F205" s="177">
        <v>0</v>
      </c>
      <c r="G205" s="177">
        <v>297917.239</v>
      </c>
      <c r="H205" s="177">
        <v>122863.611</v>
      </c>
      <c r="I205" s="177">
        <v>36964.387999999999</v>
      </c>
      <c r="J205" s="177">
        <v>912.44500000000005</v>
      </c>
      <c r="K205" s="177">
        <v>12961.192999999999</v>
      </c>
      <c r="L205" s="177">
        <v>74624.763999999996</v>
      </c>
      <c r="M205" s="177">
        <v>2355.6179999999999</v>
      </c>
      <c r="N205" s="177">
        <v>5231.93</v>
      </c>
      <c r="O205" s="178">
        <v>833221.83400000003</v>
      </c>
      <c r="P205" s="177">
        <v>-65.816999999999993</v>
      </c>
      <c r="Q205" s="177">
        <v>-1003.061</v>
      </c>
      <c r="R205" s="177">
        <v>-74105.989000000001</v>
      </c>
      <c r="S205" s="178">
        <v>758046.96699999995</v>
      </c>
      <c r="V205" s="198">
        <f t="shared" si="31"/>
        <v>14.745606270322483</v>
      </c>
      <c r="W205" s="197">
        <f t="shared" si="32"/>
        <v>122.86361100000001</v>
      </c>
    </row>
    <row r="206" spans="1:23" ht="14.25">
      <c r="A206" s="311">
        <v>27</v>
      </c>
      <c r="B206" s="177">
        <v>66381.406671999997</v>
      </c>
      <c r="C206" s="177">
        <v>921.60732800000005</v>
      </c>
      <c r="D206" s="177">
        <v>170517.76800000001</v>
      </c>
      <c r="E206" s="177">
        <v>21608.226999999999</v>
      </c>
      <c r="F206" s="177">
        <v>0</v>
      </c>
      <c r="G206" s="177">
        <v>275180.43099999998</v>
      </c>
      <c r="H206" s="177">
        <v>134061.42199999999</v>
      </c>
      <c r="I206" s="177">
        <v>48904.510999999999</v>
      </c>
      <c r="J206" s="177">
        <v>2736.4119999999998</v>
      </c>
      <c r="K206" s="177">
        <v>13429.802</v>
      </c>
      <c r="L206" s="177">
        <v>75554.593999999997</v>
      </c>
      <c r="M206" s="177">
        <v>2306.0700000000002</v>
      </c>
      <c r="N206" s="177">
        <v>5267.7669999999998</v>
      </c>
      <c r="O206" s="178">
        <v>816870.01800000004</v>
      </c>
      <c r="P206" s="177">
        <v>-57.848999999999997</v>
      </c>
      <c r="Q206" s="177">
        <v>-1002.24</v>
      </c>
      <c r="R206" s="177">
        <v>-62943.957999999999</v>
      </c>
      <c r="S206" s="178">
        <v>752865.97100000002</v>
      </c>
      <c r="V206" s="198">
        <f t="shared" si="31"/>
        <v>16.411597811881006</v>
      </c>
      <c r="W206" s="197">
        <f t="shared" si="32"/>
        <v>134.06142199999999</v>
      </c>
    </row>
    <row r="207" spans="1:23" ht="14.25">
      <c r="A207" s="311">
        <v>28</v>
      </c>
      <c r="B207" s="177">
        <v>54326.511200000001</v>
      </c>
      <c r="C207" s="177">
        <v>1075.3398</v>
      </c>
      <c r="D207" s="177">
        <v>170602.43799999999</v>
      </c>
      <c r="E207" s="177">
        <v>14844.196</v>
      </c>
      <c r="F207" s="177">
        <v>0</v>
      </c>
      <c r="G207" s="177">
        <v>170421.83</v>
      </c>
      <c r="H207" s="177">
        <v>212922.698</v>
      </c>
      <c r="I207" s="177">
        <v>62560.961000000003</v>
      </c>
      <c r="J207" s="177">
        <v>7939.9009999999998</v>
      </c>
      <c r="K207" s="177">
        <v>13596.869000000001</v>
      </c>
      <c r="L207" s="177">
        <v>75097.138999999996</v>
      </c>
      <c r="M207" s="177">
        <v>2286.62</v>
      </c>
      <c r="N207" s="177">
        <v>5123.0360000000001</v>
      </c>
      <c r="O207" s="178">
        <v>790797.53899999999</v>
      </c>
      <c r="P207" s="177">
        <v>-4104.6559999999999</v>
      </c>
      <c r="Q207" s="177">
        <v>-1003.277</v>
      </c>
      <c r="R207" s="177">
        <v>-40261.082000000002</v>
      </c>
      <c r="S207" s="178">
        <v>745428.52399999998</v>
      </c>
      <c r="V207" s="198">
        <f t="shared" si="31"/>
        <v>26.925058248063159</v>
      </c>
      <c r="W207" s="197">
        <f t="shared" si="32"/>
        <v>212.922698</v>
      </c>
    </row>
    <row r="208" spans="1:23" ht="14.25">
      <c r="A208" s="311">
        <v>29</v>
      </c>
      <c r="B208" s="177">
        <v>53627.797184000003</v>
      </c>
      <c r="C208" s="177">
        <v>1186.8248160000001</v>
      </c>
      <c r="D208" s="177">
        <v>170256.098</v>
      </c>
      <c r="E208" s="177">
        <v>16780.878000000001</v>
      </c>
      <c r="F208" s="177">
        <v>0</v>
      </c>
      <c r="G208" s="177">
        <v>129970.61500000001</v>
      </c>
      <c r="H208" s="177">
        <v>114510.508</v>
      </c>
      <c r="I208" s="177">
        <v>63746.749000000003</v>
      </c>
      <c r="J208" s="177">
        <v>7695.8909999999996</v>
      </c>
      <c r="K208" s="177">
        <v>13432.411</v>
      </c>
      <c r="L208" s="177">
        <v>72053.921000000002</v>
      </c>
      <c r="M208" s="177">
        <v>2316.85</v>
      </c>
      <c r="N208" s="177">
        <v>5185.0020000000004</v>
      </c>
      <c r="O208" s="178">
        <v>650763.54500000004</v>
      </c>
      <c r="P208" s="177">
        <v>-8140.5420000000004</v>
      </c>
      <c r="Q208" s="177">
        <v>-1004.529</v>
      </c>
      <c r="R208" s="177">
        <v>17391.036</v>
      </c>
      <c r="S208" s="178">
        <v>659009.51</v>
      </c>
      <c r="V208" s="198">
        <f t="shared" si="31"/>
        <v>17.596331091349008</v>
      </c>
      <c r="W208" s="197">
        <f t="shared" si="32"/>
        <v>114.510508</v>
      </c>
    </row>
    <row r="209" spans="1:23" ht="14.25">
      <c r="A209" s="311">
        <v>30</v>
      </c>
      <c r="B209" s="177">
        <v>52467.594488000002</v>
      </c>
      <c r="C209" s="177">
        <v>6897.1375120000002</v>
      </c>
      <c r="D209" s="177">
        <v>170783.50099999999</v>
      </c>
      <c r="E209" s="177">
        <v>18525.667000000001</v>
      </c>
      <c r="F209" s="177">
        <v>0</v>
      </c>
      <c r="G209" s="177">
        <v>142610.60399999999</v>
      </c>
      <c r="H209" s="177">
        <v>91924.535999999993</v>
      </c>
      <c r="I209" s="177">
        <v>57323.595000000001</v>
      </c>
      <c r="J209" s="177">
        <v>2791.2559999999999</v>
      </c>
      <c r="K209" s="177">
        <v>13302.615</v>
      </c>
      <c r="L209" s="177">
        <v>70099.873999999996</v>
      </c>
      <c r="M209" s="177">
        <v>2286.9389999999999</v>
      </c>
      <c r="N209" s="177">
        <v>5233.8249999999998</v>
      </c>
      <c r="O209" s="178">
        <v>634247.14399999997</v>
      </c>
      <c r="P209" s="177">
        <v>-12652.531000000001</v>
      </c>
      <c r="Q209" s="177">
        <v>-1005.135</v>
      </c>
      <c r="R209" s="177">
        <v>-9782.7360000000008</v>
      </c>
      <c r="S209" s="178">
        <v>610806.74199999997</v>
      </c>
      <c r="V209" s="198">
        <f t="shared" si="31"/>
        <v>14.493488361691384</v>
      </c>
      <c r="W209" s="197">
        <f t="shared" si="32"/>
        <v>91.924535999999989</v>
      </c>
    </row>
    <row r="210" spans="1:23" ht="14.25">
      <c r="A210" s="311">
        <v>31</v>
      </c>
      <c r="B210" s="177">
        <v>49682.595326000002</v>
      </c>
      <c r="C210" s="177">
        <v>5288.5105640000002</v>
      </c>
      <c r="D210" s="177">
        <v>170722.318</v>
      </c>
      <c r="E210" s="177">
        <v>19789.260999999999</v>
      </c>
      <c r="F210" s="177">
        <v>0</v>
      </c>
      <c r="G210" s="177">
        <v>91954.737999999998</v>
      </c>
      <c r="H210" s="177">
        <v>291058.576</v>
      </c>
      <c r="I210" s="177">
        <v>58173.932000000001</v>
      </c>
      <c r="J210" s="177">
        <v>5036.2529999999997</v>
      </c>
      <c r="K210" s="177">
        <v>12861.009</v>
      </c>
      <c r="L210" s="177">
        <v>73999.034</v>
      </c>
      <c r="M210" s="177">
        <v>2279.8139999999999</v>
      </c>
      <c r="N210" s="177">
        <v>5279.9030000000002</v>
      </c>
      <c r="O210" s="178">
        <v>786125.94389</v>
      </c>
      <c r="P210" s="177">
        <v>-6119.4290000000001</v>
      </c>
      <c r="Q210" s="177">
        <v>-1004.573</v>
      </c>
      <c r="R210" s="177">
        <v>-58189.205999999998</v>
      </c>
      <c r="S210" s="178">
        <v>720812.73589000001</v>
      </c>
      <c r="V210" s="198">
        <f t="shared" si="31"/>
        <v>37.024420611250918</v>
      </c>
      <c r="W210" s="197">
        <f t="shared" si="32"/>
        <v>291.05857600000002</v>
      </c>
    </row>
    <row r="211" spans="1:23">
      <c r="G211">
        <f>MAX(G180:G210)</f>
        <v>324993.30800000002</v>
      </c>
      <c r="H211">
        <f>MAX(H180:H210)</f>
        <v>392653.90700000001</v>
      </c>
      <c r="I211">
        <f>MAX(I180:I210)</f>
        <v>63746.749000000003</v>
      </c>
    </row>
    <row r="215" spans="1:23">
      <c r="A215" s="174" t="s">
        <v>31</v>
      </c>
      <c r="B215" s="334" t="s">
        <v>229</v>
      </c>
      <c r="C215" s="335"/>
      <c r="D215" s="335"/>
      <c r="E215" s="335"/>
      <c r="F215" s="335"/>
      <c r="G215" s="335"/>
      <c r="H215" s="335"/>
      <c r="I215" s="335"/>
      <c r="J215" s="335"/>
      <c r="K215" s="335"/>
      <c r="L215" s="335"/>
      <c r="M215" s="335"/>
      <c r="N215" s="335"/>
      <c r="O215" s="335"/>
      <c r="P215" s="335"/>
      <c r="Q215" s="335"/>
      <c r="R215" s="335"/>
      <c r="S215" s="335"/>
    </row>
    <row r="216" spans="1:23">
      <c r="A216" s="174" t="s">
        <v>105</v>
      </c>
      <c r="B216" s="336" t="s">
        <v>98</v>
      </c>
      <c r="C216" s="337"/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337"/>
      <c r="P216" s="337"/>
      <c r="Q216" s="337"/>
      <c r="R216" s="337"/>
      <c r="S216" s="337"/>
    </row>
    <row r="217" spans="1:23">
      <c r="A217" s="174" t="s">
        <v>106</v>
      </c>
      <c r="B217" s="338" t="s">
        <v>121</v>
      </c>
      <c r="C217" s="339"/>
      <c r="D217" s="339"/>
      <c r="E217" s="339"/>
      <c r="F217" s="339"/>
      <c r="G217" s="339"/>
      <c r="H217" s="339"/>
      <c r="I217" s="339"/>
      <c r="J217" s="339"/>
      <c r="K217" s="339"/>
      <c r="L217" s="339"/>
      <c r="M217" s="339"/>
      <c r="N217" s="339"/>
      <c r="O217" s="339"/>
      <c r="P217" s="339"/>
      <c r="Q217" s="339"/>
      <c r="R217" s="339"/>
      <c r="S217" s="339"/>
    </row>
    <row r="218" spans="1:23">
      <c r="A218" s="179" t="s">
        <v>107</v>
      </c>
      <c r="B218" s="316" t="s">
        <v>2</v>
      </c>
      <c r="C218" s="316" t="s">
        <v>81</v>
      </c>
      <c r="D218" s="316" t="s">
        <v>3</v>
      </c>
      <c r="E218" s="316" t="s">
        <v>4</v>
      </c>
      <c r="F218" s="316" t="s">
        <v>95</v>
      </c>
      <c r="G218" s="316" t="s">
        <v>11</v>
      </c>
      <c r="H218" s="316" t="s">
        <v>5</v>
      </c>
      <c r="I218" s="316" t="s">
        <v>6</v>
      </c>
      <c r="J218" s="316" t="s">
        <v>7</v>
      </c>
      <c r="K218" s="316" t="s">
        <v>8</v>
      </c>
      <c r="L218" s="316" t="s">
        <v>9</v>
      </c>
      <c r="M218" s="316" t="s">
        <v>69</v>
      </c>
      <c r="N218" s="316" t="s">
        <v>70</v>
      </c>
      <c r="O218" s="194" t="s">
        <v>10</v>
      </c>
      <c r="P218" s="316" t="s">
        <v>122</v>
      </c>
      <c r="Q218" s="316" t="s">
        <v>97</v>
      </c>
      <c r="R218" s="316" t="s">
        <v>123</v>
      </c>
      <c r="S218" s="194" t="s">
        <v>124</v>
      </c>
      <c r="V218" s="196" t="s">
        <v>125</v>
      </c>
    </row>
    <row r="219" spans="1:23" ht="14.25">
      <c r="A219" s="179" t="s">
        <v>120</v>
      </c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195"/>
      <c r="P219" s="310"/>
      <c r="Q219" s="310"/>
      <c r="R219" s="310"/>
      <c r="S219" s="195"/>
      <c r="V219" s="197"/>
    </row>
    <row r="220" spans="1:23" ht="14.25">
      <c r="A220" s="311">
        <v>1</v>
      </c>
      <c r="B220" s="177">
        <v>1.4795238399999999</v>
      </c>
      <c r="C220" s="177">
        <v>0.37331236000000001</v>
      </c>
      <c r="D220" s="177">
        <v>6.0892910000000002</v>
      </c>
      <c r="E220" s="177">
        <v>0.95445400000000002</v>
      </c>
      <c r="F220" s="177">
        <v>0</v>
      </c>
      <c r="G220" s="177">
        <v>1.4997750000000001</v>
      </c>
      <c r="H220" s="177">
        <v>15.668148</v>
      </c>
      <c r="I220" s="177">
        <v>3.79E-4</v>
      </c>
      <c r="J220" s="177">
        <v>0</v>
      </c>
      <c r="K220" s="177">
        <v>0.60401300000000002</v>
      </c>
      <c r="L220" s="177">
        <v>2.3087740000000001</v>
      </c>
      <c r="M220" s="177">
        <v>9.8919499999999994E-2</v>
      </c>
      <c r="N220" s="177">
        <v>0.2079665</v>
      </c>
      <c r="O220" s="178">
        <v>29.284556200000001</v>
      </c>
      <c r="P220" s="177">
        <v>-2.5870709999999999</v>
      </c>
      <c r="Q220" s="177">
        <v>-4.1861000000000002E-2</v>
      </c>
      <c r="R220" s="177">
        <v>-1.38113</v>
      </c>
      <c r="S220" s="178">
        <v>25.274494199999999</v>
      </c>
      <c r="V220" s="198">
        <f>IFERROR(G220/N220*100,"")</f>
        <v>721.16182173571235</v>
      </c>
    </row>
    <row r="221" spans="1:23" ht="14.25">
      <c r="A221" s="311">
        <v>2</v>
      </c>
      <c r="B221" s="177">
        <v>1.35681779</v>
      </c>
      <c r="C221" s="177">
        <v>0.38332821</v>
      </c>
      <c r="D221" s="177">
        <v>6.0855420000000002</v>
      </c>
      <c r="E221" s="177">
        <v>0.86718300000000004</v>
      </c>
      <c r="F221" s="177">
        <v>0</v>
      </c>
      <c r="G221" s="177">
        <v>1.509722</v>
      </c>
      <c r="H221" s="177">
        <v>16.101752999999999</v>
      </c>
      <c r="I221" s="177">
        <v>3.97E-4</v>
      </c>
      <c r="J221" s="177">
        <v>0</v>
      </c>
      <c r="K221" s="177">
        <v>0.60223700000000002</v>
      </c>
      <c r="L221" s="177">
        <v>2.2138840000000002</v>
      </c>
      <c r="M221" s="177">
        <v>9.7868999999999998E-2</v>
      </c>
      <c r="N221" s="177">
        <v>0.20424300000000001</v>
      </c>
      <c r="O221" s="178">
        <v>29.422975999999998</v>
      </c>
      <c r="P221" s="177">
        <v>-3.1194130000000002</v>
      </c>
      <c r="Q221" s="177">
        <v>-4.1773999999999999E-2</v>
      </c>
      <c r="R221" s="177">
        <v>-2.9765250000000001</v>
      </c>
      <c r="S221" s="178">
        <v>23.285264000000002</v>
      </c>
      <c r="V221" s="198">
        <f t="shared" ref="V221:V246" si="33">IFERROR(G221/N221*100,"")</f>
        <v>739.17931091885646</v>
      </c>
    </row>
    <row r="222" spans="1:23" ht="14.25">
      <c r="A222" s="311">
        <v>3</v>
      </c>
      <c r="B222" s="177">
        <v>1.31040527</v>
      </c>
      <c r="C222" s="177">
        <v>0.31334192999999999</v>
      </c>
      <c r="D222" s="177">
        <v>6.0815849999999996</v>
      </c>
      <c r="E222" s="177">
        <v>0.85279199999999999</v>
      </c>
      <c r="F222" s="177">
        <v>0</v>
      </c>
      <c r="G222" s="177">
        <v>1.525209</v>
      </c>
      <c r="H222" s="177">
        <v>16.060169999999999</v>
      </c>
      <c r="I222" s="177">
        <v>3.97E-4</v>
      </c>
      <c r="J222" s="177">
        <v>0</v>
      </c>
      <c r="K222" s="177">
        <v>0.59624900000000003</v>
      </c>
      <c r="L222" s="177">
        <v>2.2137690000000001</v>
      </c>
      <c r="M222" s="177">
        <v>9.8045999999999994E-2</v>
      </c>
      <c r="N222" s="177">
        <v>0.203455</v>
      </c>
      <c r="O222" s="178">
        <v>29.255419199999999</v>
      </c>
      <c r="P222" s="177">
        <v>-3.2174450000000001</v>
      </c>
      <c r="Q222" s="177">
        <v>-4.1861000000000002E-2</v>
      </c>
      <c r="R222" s="177">
        <v>-4.0992280000000001</v>
      </c>
      <c r="S222" s="178">
        <v>21.8968852</v>
      </c>
      <c r="V222" s="198">
        <f t="shared" si="33"/>
        <v>749.65422329262003</v>
      </c>
    </row>
    <row r="223" spans="1:23" ht="14.25">
      <c r="A223" s="311">
        <v>4</v>
      </c>
      <c r="B223" s="177">
        <v>0.92426435600000001</v>
      </c>
      <c r="C223" s="177">
        <v>0.40771573999999999</v>
      </c>
      <c r="D223" s="177">
        <v>6.0788140000000004</v>
      </c>
      <c r="E223" s="177">
        <v>0.84365400000000002</v>
      </c>
      <c r="F223" s="177">
        <v>0</v>
      </c>
      <c r="G223" s="177">
        <v>1.224275</v>
      </c>
      <c r="H223" s="177">
        <v>16.021407</v>
      </c>
      <c r="I223" s="177">
        <v>3.5E-4</v>
      </c>
      <c r="J223" s="177">
        <v>0</v>
      </c>
      <c r="K223" s="177">
        <v>0.59641200000000005</v>
      </c>
      <c r="L223" s="177">
        <v>2.192669</v>
      </c>
      <c r="M223" s="177">
        <v>9.7652500000000003E-2</v>
      </c>
      <c r="N223" s="177">
        <v>0.2019435</v>
      </c>
      <c r="O223" s="178">
        <v>28.589157096000001</v>
      </c>
      <c r="P223" s="177">
        <v>-3.6818580000000001</v>
      </c>
      <c r="Q223" s="177">
        <v>-4.1817E-2</v>
      </c>
      <c r="R223" s="177">
        <v>-3.7970470000000001</v>
      </c>
      <c r="S223" s="178">
        <v>21.068435096000002</v>
      </c>
      <c r="V223" s="198">
        <f t="shared" si="33"/>
        <v>606.24630156454657</v>
      </c>
    </row>
    <row r="224" spans="1:23" ht="14.25">
      <c r="A224" s="311">
        <v>5</v>
      </c>
      <c r="B224" s="177">
        <v>0.98281998000000004</v>
      </c>
      <c r="C224" s="177">
        <v>0.46789014000000001</v>
      </c>
      <c r="D224" s="177">
        <v>6.1060660000000002</v>
      </c>
      <c r="E224" s="177">
        <v>0.79018600000000006</v>
      </c>
      <c r="F224" s="177">
        <v>0</v>
      </c>
      <c r="G224" s="177">
        <v>1.137502</v>
      </c>
      <c r="H224" s="177">
        <v>16.379149999999999</v>
      </c>
      <c r="I224" s="177">
        <v>3.6000000000000002E-4</v>
      </c>
      <c r="J224" s="177">
        <v>0</v>
      </c>
      <c r="K224" s="177">
        <v>0.58630300000000002</v>
      </c>
      <c r="L224" s="177">
        <v>2.1888390000000002</v>
      </c>
      <c r="M224" s="177">
        <v>9.8260500000000001E-2</v>
      </c>
      <c r="N224" s="177">
        <v>0.20440050000000001</v>
      </c>
      <c r="O224" s="178">
        <v>28.941777120000001</v>
      </c>
      <c r="P224" s="177">
        <v>-3.8929640000000001</v>
      </c>
      <c r="Q224" s="177">
        <v>-4.1818000000000001E-2</v>
      </c>
      <c r="R224" s="177">
        <v>-4.4006769999999999</v>
      </c>
      <c r="S224" s="178">
        <v>20.606318120000001</v>
      </c>
      <c r="V224" s="198">
        <f t="shared" si="33"/>
        <v>556.50646647146164</v>
      </c>
    </row>
    <row r="225" spans="1:22" ht="14.25">
      <c r="A225" s="311">
        <v>6</v>
      </c>
      <c r="B225" s="177">
        <v>1.168446018</v>
      </c>
      <c r="C225" s="177">
        <v>0.46629215000000002</v>
      </c>
      <c r="D225" s="177">
        <v>6.1405149999999997</v>
      </c>
      <c r="E225" s="177">
        <v>0.768571</v>
      </c>
      <c r="F225" s="177">
        <v>0</v>
      </c>
      <c r="G225" s="177">
        <v>1.23325</v>
      </c>
      <c r="H225" s="177">
        <v>16.427876999999999</v>
      </c>
      <c r="I225" s="177">
        <v>3.5399999999999999E-4</v>
      </c>
      <c r="J225" s="177">
        <v>2.5899999999999999E-3</v>
      </c>
      <c r="K225" s="177">
        <v>0.59909000000000001</v>
      </c>
      <c r="L225" s="177">
        <v>2.1931989999999999</v>
      </c>
      <c r="M225" s="177">
        <v>9.8265500000000006E-2</v>
      </c>
      <c r="N225" s="177">
        <v>0.2046675</v>
      </c>
      <c r="O225" s="178">
        <v>29.303117168</v>
      </c>
      <c r="P225" s="177">
        <v>-3.8407689999999999</v>
      </c>
      <c r="Q225" s="177">
        <v>-4.1861000000000002E-2</v>
      </c>
      <c r="R225" s="177">
        <v>-4.8015739999999996</v>
      </c>
      <c r="S225" s="178">
        <v>20.618913167999999</v>
      </c>
      <c r="V225" s="198">
        <f t="shared" si="33"/>
        <v>602.56269314864358</v>
      </c>
    </row>
    <row r="226" spans="1:22" ht="14.25">
      <c r="A226" s="311">
        <v>7</v>
      </c>
      <c r="B226" s="177">
        <v>1.296727164</v>
      </c>
      <c r="C226" s="177">
        <v>0.39620534000000002</v>
      </c>
      <c r="D226" s="177">
        <v>6.1580830000000004</v>
      </c>
      <c r="E226" s="177">
        <v>0.77346000000000004</v>
      </c>
      <c r="F226" s="177">
        <v>0</v>
      </c>
      <c r="G226" s="177">
        <v>1.437138</v>
      </c>
      <c r="H226" s="177">
        <v>16.166304</v>
      </c>
      <c r="I226" s="177">
        <v>4.2000000000000002E-4</v>
      </c>
      <c r="J226" s="177">
        <v>1.3936E-2</v>
      </c>
      <c r="K226" s="177">
        <v>0.60668200000000005</v>
      </c>
      <c r="L226" s="177">
        <v>2.186763</v>
      </c>
      <c r="M226" s="177">
        <v>9.8082000000000003E-2</v>
      </c>
      <c r="N226" s="177">
        <v>0.19980200000000001</v>
      </c>
      <c r="O226" s="178">
        <v>29.333602504000002</v>
      </c>
      <c r="P226" s="177">
        <v>-3.5217559999999999</v>
      </c>
      <c r="Q226" s="177">
        <v>-4.1861000000000002E-2</v>
      </c>
      <c r="R226" s="177">
        <v>-4.7253030000000003</v>
      </c>
      <c r="S226" s="178">
        <v>21.044682504000001</v>
      </c>
      <c r="V226" s="198">
        <f t="shared" si="33"/>
        <v>719.28108827739459</v>
      </c>
    </row>
    <row r="227" spans="1:22" ht="14.25">
      <c r="A227" s="311">
        <v>8</v>
      </c>
      <c r="B227" s="177">
        <v>1.25128229</v>
      </c>
      <c r="C227" s="177">
        <v>0.35623590999999999</v>
      </c>
      <c r="D227" s="177">
        <v>6.1638849999999996</v>
      </c>
      <c r="E227" s="177">
        <v>0.81976400000000005</v>
      </c>
      <c r="F227" s="177">
        <v>0</v>
      </c>
      <c r="G227" s="177">
        <v>1.6770389999999999</v>
      </c>
      <c r="H227" s="177">
        <v>15.863333000000001</v>
      </c>
      <c r="I227" s="177">
        <v>7.6220000000000003E-3</v>
      </c>
      <c r="J227" s="177">
        <v>1.5968E-2</v>
      </c>
      <c r="K227" s="177">
        <v>0.591391</v>
      </c>
      <c r="L227" s="177">
        <v>2.2287650000000001</v>
      </c>
      <c r="M227" s="177">
        <v>9.8674999999999999E-2</v>
      </c>
      <c r="N227" s="177">
        <v>0.199876</v>
      </c>
      <c r="O227" s="178">
        <v>29.273836200000002</v>
      </c>
      <c r="P227" s="177">
        <v>-2.9154879999999999</v>
      </c>
      <c r="Q227" s="177">
        <v>-4.1730999999999997E-2</v>
      </c>
      <c r="R227" s="177">
        <v>-4.5795680000000001</v>
      </c>
      <c r="S227" s="178">
        <v>21.737049200000001</v>
      </c>
      <c r="V227" s="198">
        <f t="shared" si="33"/>
        <v>839.03970461686242</v>
      </c>
    </row>
    <row r="228" spans="1:22" ht="14.25">
      <c r="A228" s="311">
        <v>9</v>
      </c>
      <c r="B228" s="177">
        <v>1.71163361</v>
      </c>
      <c r="C228" s="177">
        <v>0.22737339000000001</v>
      </c>
      <c r="D228" s="177">
        <v>6.1808399999999999</v>
      </c>
      <c r="E228" s="177">
        <v>0.84411199999999997</v>
      </c>
      <c r="F228" s="177">
        <v>0</v>
      </c>
      <c r="G228" s="177">
        <v>1.7181770000000001</v>
      </c>
      <c r="H228" s="177">
        <v>15.647074999999999</v>
      </c>
      <c r="I228" s="177">
        <v>7.7720999999999998E-2</v>
      </c>
      <c r="J228" s="177">
        <v>1.5709999999999998E-2</v>
      </c>
      <c r="K228" s="177">
        <v>0.59754200000000002</v>
      </c>
      <c r="L228" s="177">
        <v>2.2381700000000002</v>
      </c>
      <c r="M228" s="177">
        <v>9.7805500000000004E-2</v>
      </c>
      <c r="N228" s="177">
        <v>0.2051685</v>
      </c>
      <c r="O228" s="178">
        <v>29.561328</v>
      </c>
      <c r="P228" s="177">
        <v>-2.6168369999999999</v>
      </c>
      <c r="Q228" s="177">
        <v>-4.1817E-2</v>
      </c>
      <c r="R228" s="177">
        <v>-4.5310790000000001</v>
      </c>
      <c r="S228" s="178">
        <v>22.371594999999999</v>
      </c>
      <c r="V228" s="198">
        <f t="shared" si="33"/>
        <v>837.4467815478497</v>
      </c>
    </row>
    <row r="229" spans="1:22" ht="14.25">
      <c r="A229" s="311">
        <v>10</v>
      </c>
      <c r="B229" s="177">
        <v>2.0409495899999999</v>
      </c>
      <c r="C229" s="177">
        <v>0.15512981000000001</v>
      </c>
      <c r="D229" s="177">
        <v>6.184482</v>
      </c>
      <c r="E229" s="177">
        <v>0.94113400000000003</v>
      </c>
      <c r="F229" s="177">
        <v>0</v>
      </c>
      <c r="G229" s="177">
        <v>1.679171</v>
      </c>
      <c r="H229" s="177">
        <v>15.058215000000001</v>
      </c>
      <c r="I229" s="177">
        <v>1.527277</v>
      </c>
      <c r="J229" s="177">
        <v>1.5689999999999999E-2</v>
      </c>
      <c r="K229" s="177">
        <v>0.61193799999999998</v>
      </c>
      <c r="L229" s="177">
        <v>2.268354</v>
      </c>
      <c r="M229" s="177">
        <v>9.81765E-2</v>
      </c>
      <c r="N229" s="177">
        <v>0.20231450000000001</v>
      </c>
      <c r="O229" s="178">
        <v>30.782831399999999</v>
      </c>
      <c r="P229" s="177">
        <v>-2.1641309999999998</v>
      </c>
      <c r="Q229" s="177">
        <v>-4.1775E-2</v>
      </c>
      <c r="R229" s="177">
        <v>-4.4217529999999998</v>
      </c>
      <c r="S229" s="178">
        <v>24.155172400000001</v>
      </c>
      <c r="V229" s="198">
        <f t="shared" si="33"/>
        <v>829.9805500841511</v>
      </c>
    </row>
    <row r="230" spans="1:22" ht="14.25">
      <c r="A230" s="311">
        <v>11</v>
      </c>
      <c r="B230" s="177">
        <v>1.8790101400000001</v>
      </c>
      <c r="C230" s="177">
        <v>0.15502853</v>
      </c>
      <c r="D230" s="177">
        <v>6.1905299999999999</v>
      </c>
      <c r="E230" s="177">
        <v>0.94201699999999999</v>
      </c>
      <c r="F230" s="177">
        <v>0</v>
      </c>
      <c r="G230" s="177">
        <v>1.4190050000000001</v>
      </c>
      <c r="H230" s="177">
        <v>15.221086</v>
      </c>
      <c r="I230" s="177">
        <v>3.9021379999999999</v>
      </c>
      <c r="J230" s="177">
        <v>2.7098000000000001E-2</v>
      </c>
      <c r="K230" s="177">
        <v>0.60048100000000004</v>
      </c>
      <c r="L230" s="177">
        <v>2.2697959999999999</v>
      </c>
      <c r="M230" s="177">
        <v>9.7586999999999993E-2</v>
      </c>
      <c r="N230" s="177">
        <v>0.19933100000000001</v>
      </c>
      <c r="O230" s="178">
        <v>32.903107669999997</v>
      </c>
      <c r="P230" s="177">
        <v>-1.979373</v>
      </c>
      <c r="Q230" s="177">
        <v>-4.1775E-2</v>
      </c>
      <c r="R230" s="177">
        <v>-4.7596559999999997</v>
      </c>
      <c r="S230" s="178">
        <v>26.122303670000001</v>
      </c>
      <c r="V230" s="198">
        <f t="shared" si="33"/>
        <v>711.88375114758867</v>
      </c>
    </row>
    <row r="231" spans="1:22" ht="14.25">
      <c r="A231" s="311">
        <v>12</v>
      </c>
      <c r="B231" s="177">
        <v>2.0232258999999999</v>
      </c>
      <c r="C231" s="177">
        <v>7.6725269999999998E-2</v>
      </c>
      <c r="D231" s="177">
        <v>6.1913989999999997</v>
      </c>
      <c r="E231" s="177">
        <v>1.0273810000000001</v>
      </c>
      <c r="F231" s="177">
        <v>0</v>
      </c>
      <c r="G231" s="177">
        <v>1.3497170000000001</v>
      </c>
      <c r="H231" s="177">
        <v>15.181982</v>
      </c>
      <c r="I231" s="177">
        <v>5.372236</v>
      </c>
      <c r="J231" s="177">
        <v>0.158829</v>
      </c>
      <c r="K231" s="177">
        <v>0.59495399999999998</v>
      </c>
      <c r="L231" s="177">
        <v>2.2267800000000002</v>
      </c>
      <c r="M231" s="177">
        <v>9.7262500000000002E-2</v>
      </c>
      <c r="N231" s="177">
        <v>0.20803749999999999</v>
      </c>
      <c r="O231" s="178">
        <v>34.508529170000003</v>
      </c>
      <c r="P231" s="177">
        <v>-1.411486</v>
      </c>
      <c r="Q231" s="177">
        <v>-4.1730000000000003E-2</v>
      </c>
      <c r="R231" s="177">
        <v>-5.7418570000000004</v>
      </c>
      <c r="S231" s="178">
        <v>27.313456169999998</v>
      </c>
      <c r="V231" s="198">
        <f t="shared" si="33"/>
        <v>648.78543531815183</v>
      </c>
    </row>
    <row r="232" spans="1:22" ht="14.25">
      <c r="A232" s="311">
        <v>13</v>
      </c>
      <c r="B232" s="177">
        <v>1.8112756000000001</v>
      </c>
      <c r="C232" s="177">
        <v>4.4260000000000002E-3</v>
      </c>
      <c r="D232" s="177">
        <v>6.192761</v>
      </c>
      <c r="E232" s="177">
        <v>0.98448400000000003</v>
      </c>
      <c r="F232" s="177">
        <v>0</v>
      </c>
      <c r="G232" s="177">
        <v>1.233662</v>
      </c>
      <c r="H232" s="177">
        <v>15.643058</v>
      </c>
      <c r="I232" s="177">
        <v>5.9596400000000003</v>
      </c>
      <c r="J232" s="177">
        <v>0.38591700000000001</v>
      </c>
      <c r="K232" s="177">
        <v>0.57847199999999999</v>
      </c>
      <c r="L232" s="177">
        <v>2.1259139999999999</v>
      </c>
      <c r="M232" s="177">
        <v>9.6813499999999997E-2</v>
      </c>
      <c r="N232" s="177">
        <v>0.20868149999999999</v>
      </c>
      <c r="O232" s="178">
        <v>35.225104600000002</v>
      </c>
      <c r="P232" s="177">
        <v>-1.18838</v>
      </c>
      <c r="Q232" s="177">
        <v>-4.1775E-2</v>
      </c>
      <c r="R232" s="177">
        <v>-6.2333829999999999</v>
      </c>
      <c r="S232" s="178">
        <v>27.761566599999998</v>
      </c>
      <c r="V232" s="198">
        <f t="shared" si="33"/>
        <v>591.16979703519485</v>
      </c>
    </row>
    <row r="233" spans="1:22" ht="14.25">
      <c r="A233" s="311">
        <v>14</v>
      </c>
      <c r="B233" s="177">
        <v>1.92338316</v>
      </c>
      <c r="C233" s="177">
        <v>4.924444E-2</v>
      </c>
      <c r="D233" s="177">
        <v>6.2127520000000001</v>
      </c>
      <c r="E233" s="177">
        <v>1.027979</v>
      </c>
      <c r="F233" s="177">
        <v>0</v>
      </c>
      <c r="G233" s="177">
        <v>1.4157200000000001</v>
      </c>
      <c r="H233" s="177">
        <v>16.544246999999999</v>
      </c>
      <c r="I233" s="177">
        <v>5.939349</v>
      </c>
      <c r="J233" s="177">
        <v>0.43638500000000002</v>
      </c>
      <c r="K233" s="177">
        <v>0.56449199999999999</v>
      </c>
      <c r="L233" s="177">
        <v>2.1210610000000001</v>
      </c>
      <c r="M233" s="177">
        <v>9.6258499999999997E-2</v>
      </c>
      <c r="N233" s="177">
        <v>0.20511650000000001</v>
      </c>
      <c r="O233" s="178">
        <v>36.535987599999999</v>
      </c>
      <c r="P233" s="177">
        <v>-1.8116950000000001</v>
      </c>
      <c r="Q233" s="177">
        <v>-4.1731999999999998E-2</v>
      </c>
      <c r="R233" s="177">
        <v>-6.0018739999999999</v>
      </c>
      <c r="S233" s="178">
        <v>28.680686600000001</v>
      </c>
      <c r="V233" s="198">
        <f t="shared" si="33"/>
        <v>690.20288470210835</v>
      </c>
    </row>
    <row r="234" spans="1:22" ht="14.25">
      <c r="A234" s="311">
        <v>15</v>
      </c>
      <c r="B234" s="177">
        <v>1.564327236</v>
      </c>
      <c r="C234" s="177">
        <v>0.20812094</v>
      </c>
      <c r="D234" s="177">
        <v>6.2411859999999999</v>
      </c>
      <c r="E234" s="177">
        <v>1.012751</v>
      </c>
      <c r="F234" s="177">
        <v>0</v>
      </c>
      <c r="G234" s="177">
        <v>1.3572789999999999</v>
      </c>
      <c r="H234" s="177">
        <v>17.075315</v>
      </c>
      <c r="I234" s="177">
        <v>5.8109250000000001</v>
      </c>
      <c r="J234" s="177">
        <v>0.56222899999999998</v>
      </c>
      <c r="K234" s="177">
        <v>0.54738200000000004</v>
      </c>
      <c r="L234" s="177">
        <v>2.121848</v>
      </c>
      <c r="M234" s="177">
        <v>9.7513500000000003E-2</v>
      </c>
      <c r="N234" s="177">
        <v>0.2033885</v>
      </c>
      <c r="O234" s="178">
        <v>36.802265175999999</v>
      </c>
      <c r="P234" s="177">
        <v>-2.1282459999999999</v>
      </c>
      <c r="Q234" s="177">
        <v>-4.2896999999999998E-2</v>
      </c>
      <c r="R234" s="177">
        <v>-5.8627390000000004</v>
      </c>
      <c r="S234" s="178">
        <v>28.768383176</v>
      </c>
      <c r="V234" s="198">
        <f t="shared" si="33"/>
        <v>667.33320713806336</v>
      </c>
    </row>
    <row r="235" spans="1:22" ht="14.25">
      <c r="A235" s="311">
        <v>16</v>
      </c>
      <c r="B235" s="177">
        <v>1.4354700579999999</v>
      </c>
      <c r="C235" s="177">
        <v>0.29726055000000001</v>
      </c>
      <c r="D235" s="177">
        <v>6.2625520000000003</v>
      </c>
      <c r="E235" s="177">
        <v>0.96887800000000002</v>
      </c>
      <c r="F235" s="177">
        <v>0</v>
      </c>
      <c r="G235" s="177">
        <v>1.0785370000000001</v>
      </c>
      <c r="H235" s="177">
        <v>17.425115999999999</v>
      </c>
      <c r="I235" s="177">
        <v>5.1747129999999997</v>
      </c>
      <c r="J235" s="177">
        <v>0.76824099999999995</v>
      </c>
      <c r="K235" s="177">
        <v>0.54714099999999999</v>
      </c>
      <c r="L235" s="177">
        <v>2.1044209999999999</v>
      </c>
      <c r="M235" s="177">
        <v>9.9141499999999994E-2</v>
      </c>
      <c r="N235" s="177">
        <v>0.2054975</v>
      </c>
      <c r="O235" s="178">
        <v>36.366968608000001</v>
      </c>
      <c r="P235" s="177">
        <v>-2.904963</v>
      </c>
      <c r="Q235" s="177">
        <v>-9.8668000000000006E-2</v>
      </c>
      <c r="R235" s="177">
        <v>-5.9523609999999998</v>
      </c>
      <c r="S235" s="178">
        <v>27.410976607999999</v>
      </c>
      <c r="V235" s="198">
        <f t="shared" si="33"/>
        <v>524.84190805240939</v>
      </c>
    </row>
    <row r="236" spans="1:22" ht="14.25">
      <c r="A236" s="311">
        <v>17</v>
      </c>
      <c r="B236" s="177">
        <v>1.71994015</v>
      </c>
      <c r="C236" s="177">
        <v>0.32917129000000001</v>
      </c>
      <c r="D236" s="177">
        <v>6.2619030000000002</v>
      </c>
      <c r="E236" s="177">
        <v>0.991429</v>
      </c>
      <c r="F236" s="177">
        <v>0</v>
      </c>
      <c r="G236" s="177">
        <v>0.89619000000000004</v>
      </c>
      <c r="H236" s="177">
        <v>17.507021000000002</v>
      </c>
      <c r="I236" s="177">
        <v>3.779496</v>
      </c>
      <c r="J236" s="177">
        <v>0.928172</v>
      </c>
      <c r="K236" s="177">
        <v>0.54252900000000004</v>
      </c>
      <c r="L236" s="177">
        <v>2.181603</v>
      </c>
      <c r="M236" s="177">
        <v>9.9016999999999994E-2</v>
      </c>
      <c r="N236" s="177">
        <v>0.20610500000000001</v>
      </c>
      <c r="O236" s="178">
        <v>35.442576440000003</v>
      </c>
      <c r="P236" s="177">
        <v>-3.0411920000000001</v>
      </c>
      <c r="Q236" s="177">
        <v>-4.3631999999999997E-2</v>
      </c>
      <c r="R236" s="177">
        <v>-5.7763809999999998</v>
      </c>
      <c r="S236" s="178">
        <v>26.581371440000002</v>
      </c>
      <c r="V236" s="198">
        <f t="shared" si="33"/>
        <v>434.82205671866279</v>
      </c>
    </row>
    <row r="237" spans="1:22" ht="14.25">
      <c r="A237" s="311">
        <v>18</v>
      </c>
      <c r="B237" s="177">
        <v>2.0476847980000001</v>
      </c>
      <c r="C237" s="177">
        <v>0.34876004999999999</v>
      </c>
      <c r="D237" s="177">
        <v>6.264354</v>
      </c>
      <c r="E237" s="177">
        <v>1.0395319999999999</v>
      </c>
      <c r="F237" s="177">
        <v>0</v>
      </c>
      <c r="G237" s="177">
        <v>1.0176959999999999</v>
      </c>
      <c r="H237" s="177">
        <v>17.605712</v>
      </c>
      <c r="I237" s="177">
        <v>1.0920620000000001</v>
      </c>
      <c r="J237" s="177">
        <v>0.72368500000000002</v>
      </c>
      <c r="K237" s="177">
        <v>0.57677199999999995</v>
      </c>
      <c r="L237" s="177">
        <v>2.3690329999999999</v>
      </c>
      <c r="M237" s="177">
        <v>0.10098550000000001</v>
      </c>
      <c r="N237" s="177">
        <v>0.20931749999999999</v>
      </c>
      <c r="O237" s="178">
        <v>33.395593847999997</v>
      </c>
      <c r="P237" s="177">
        <v>-1.841863</v>
      </c>
      <c r="Q237" s="177">
        <v>-4.1818000000000001E-2</v>
      </c>
      <c r="R237" s="177">
        <v>-4.7635690000000004</v>
      </c>
      <c r="S237" s="178">
        <v>26.748343848000001</v>
      </c>
      <c r="V237" s="198">
        <f t="shared" si="33"/>
        <v>486.19728403024112</v>
      </c>
    </row>
    <row r="238" spans="1:22" ht="14.25">
      <c r="A238" s="311">
        <v>19</v>
      </c>
      <c r="B238" s="177">
        <v>3.089267</v>
      </c>
      <c r="C238" s="177">
        <v>1.226181</v>
      </c>
      <c r="D238" s="177">
        <v>6.2658440000000004</v>
      </c>
      <c r="E238" s="177">
        <v>1.1048389999999999</v>
      </c>
      <c r="F238" s="177">
        <v>0</v>
      </c>
      <c r="G238" s="177">
        <v>1.3016970000000001</v>
      </c>
      <c r="H238" s="177">
        <v>17.219904</v>
      </c>
      <c r="I238" s="177">
        <v>1.8067E-2</v>
      </c>
      <c r="J238" s="177">
        <v>0.181923</v>
      </c>
      <c r="K238" s="177">
        <v>0.59406400000000004</v>
      </c>
      <c r="L238" s="177">
        <v>2.5468730000000002</v>
      </c>
      <c r="M238" s="177">
        <v>0.100758</v>
      </c>
      <c r="N238" s="177">
        <v>0.20794000000000001</v>
      </c>
      <c r="O238" s="178">
        <v>33.857357</v>
      </c>
      <c r="P238" s="177">
        <v>-0.12235500000000001</v>
      </c>
      <c r="Q238" s="177">
        <v>-4.1818000000000001E-2</v>
      </c>
      <c r="R238" s="177">
        <v>-4.6456520000000001</v>
      </c>
      <c r="S238" s="178">
        <v>29.047532</v>
      </c>
      <c r="V238" s="198">
        <f t="shared" si="33"/>
        <v>625.9964412811388</v>
      </c>
    </row>
    <row r="239" spans="1:22" ht="14.25">
      <c r="A239" s="311">
        <v>20</v>
      </c>
      <c r="B239" s="177">
        <v>3.3952800000000001</v>
      </c>
      <c r="C239" s="177">
        <v>1.79497</v>
      </c>
      <c r="D239" s="177">
        <v>6.2925529999999998</v>
      </c>
      <c r="E239" s="177">
        <v>1.1144480000000001</v>
      </c>
      <c r="F239" s="177">
        <v>0</v>
      </c>
      <c r="G239" s="177">
        <v>1.347486</v>
      </c>
      <c r="H239" s="177">
        <v>17.091017000000001</v>
      </c>
      <c r="I239" s="177">
        <v>1.0189999999999999E-3</v>
      </c>
      <c r="J239" s="177">
        <v>1.9733000000000001E-2</v>
      </c>
      <c r="K239" s="177">
        <v>0.58454200000000001</v>
      </c>
      <c r="L239" s="177">
        <v>2.6176010000000001</v>
      </c>
      <c r="M239" s="177">
        <v>0.100268</v>
      </c>
      <c r="N239" s="177">
        <v>0.21309400000000001</v>
      </c>
      <c r="O239" s="178">
        <v>34.572011000000003</v>
      </c>
      <c r="P239" s="177">
        <v>-2.3080000000000002E-3</v>
      </c>
      <c r="Q239" s="177">
        <v>-4.1818000000000001E-2</v>
      </c>
      <c r="R239" s="177">
        <v>-4.0172439999999998</v>
      </c>
      <c r="S239" s="178">
        <v>30.510641</v>
      </c>
      <c r="V239" s="198">
        <f t="shared" si="33"/>
        <v>632.34347283358522</v>
      </c>
    </row>
    <row r="240" spans="1:22" ht="14.25">
      <c r="A240" s="311">
        <v>21</v>
      </c>
      <c r="B240" s="177">
        <v>4.3419260599999996</v>
      </c>
      <c r="C240" s="177">
        <v>1.95141974</v>
      </c>
      <c r="D240" s="177">
        <v>6.3221879999999997</v>
      </c>
      <c r="E240" s="177">
        <v>1.1162730000000001</v>
      </c>
      <c r="F240" s="177">
        <v>0</v>
      </c>
      <c r="G240" s="177">
        <v>1.304319</v>
      </c>
      <c r="H240" s="177">
        <v>16.908739000000001</v>
      </c>
      <c r="I240" s="177">
        <v>5.3499999999999999E-4</v>
      </c>
      <c r="J240" s="177">
        <v>1.6001000000000001E-2</v>
      </c>
      <c r="K240" s="177">
        <v>0.58476499999999998</v>
      </c>
      <c r="L240" s="177">
        <v>2.629391</v>
      </c>
      <c r="M240" s="177">
        <v>0.1004375</v>
      </c>
      <c r="N240" s="177">
        <v>0.2208685</v>
      </c>
      <c r="O240" s="178">
        <v>35.496862800000002</v>
      </c>
      <c r="P240" s="177">
        <v>-2.2300000000000002E-3</v>
      </c>
      <c r="Q240" s="177">
        <v>-4.1817E-2</v>
      </c>
      <c r="R240" s="177">
        <v>-3.9230779999999998</v>
      </c>
      <c r="S240" s="178">
        <v>31.529737799999999</v>
      </c>
      <c r="V240" s="198">
        <f t="shared" si="33"/>
        <v>590.54097800274826</v>
      </c>
    </row>
    <row r="241" spans="1:22" ht="14.25">
      <c r="A241" s="311">
        <v>22</v>
      </c>
      <c r="B241" s="177">
        <v>3.3943873999999998</v>
      </c>
      <c r="C241" s="177">
        <v>1.75915</v>
      </c>
      <c r="D241" s="177">
        <v>6.3528310000000001</v>
      </c>
      <c r="E241" s="177">
        <v>1.1038950000000001</v>
      </c>
      <c r="F241" s="177">
        <v>0</v>
      </c>
      <c r="G241" s="177">
        <v>1.190839</v>
      </c>
      <c r="H241" s="177">
        <v>16.633236</v>
      </c>
      <c r="I241" s="177">
        <v>3.1300000000000002E-4</v>
      </c>
      <c r="J241" s="177">
        <v>1.6027E-2</v>
      </c>
      <c r="K241" s="177">
        <v>0.59366399999999997</v>
      </c>
      <c r="L241" s="177">
        <v>2.6239059999999998</v>
      </c>
      <c r="M241" s="177">
        <v>0.10082149999999999</v>
      </c>
      <c r="N241" s="177">
        <v>0.22321150000000001</v>
      </c>
      <c r="O241" s="178">
        <v>33.992281400000003</v>
      </c>
      <c r="P241" s="177">
        <v>-2.1970000000000002E-3</v>
      </c>
      <c r="Q241" s="177">
        <v>-4.1773999999999999E-2</v>
      </c>
      <c r="R241" s="177">
        <v>-2.7833130000000001</v>
      </c>
      <c r="S241" s="178">
        <v>31.164997400000001</v>
      </c>
      <c r="V241" s="198">
        <f t="shared" si="33"/>
        <v>533.50253011157577</v>
      </c>
    </row>
    <row r="242" spans="1:22" ht="14.25">
      <c r="A242" s="311">
        <v>23</v>
      </c>
      <c r="B242" s="177">
        <v>2.9291922000000001</v>
      </c>
      <c r="C242" s="177">
        <v>1.331572</v>
      </c>
      <c r="D242" s="177">
        <v>6.3807489999999998</v>
      </c>
      <c r="E242" s="177">
        <v>1.096514</v>
      </c>
      <c r="F242" s="177">
        <v>0</v>
      </c>
      <c r="G242" s="177">
        <v>1.1673420000000001</v>
      </c>
      <c r="H242" s="177">
        <v>16.600501999999999</v>
      </c>
      <c r="I242" s="177">
        <v>3.1100000000000002E-4</v>
      </c>
      <c r="J242" s="177">
        <v>1.5994000000000001E-2</v>
      </c>
      <c r="K242" s="177">
        <v>0.59661799999999998</v>
      </c>
      <c r="L242" s="177">
        <v>2.6321099999999999</v>
      </c>
      <c r="M242" s="177">
        <v>0.101308</v>
      </c>
      <c r="N242" s="177">
        <v>0.22706899999999999</v>
      </c>
      <c r="O242" s="178">
        <v>33.079281199999997</v>
      </c>
      <c r="P242" s="177">
        <v>-1.2753E-2</v>
      </c>
      <c r="Q242" s="177">
        <v>-4.1818000000000001E-2</v>
      </c>
      <c r="R242" s="177">
        <v>-4.1139349999999997</v>
      </c>
      <c r="S242" s="178">
        <v>28.9107752</v>
      </c>
      <c r="V242" s="198">
        <f t="shared" si="33"/>
        <v>514.09131145158517</v>
      </c>
    </row>
    <row r="243" spans="1:22" ht="14.25">
      <c r="A243" s="311">
        <v>24</v>
      </c>
      <c r="B243" s="177">
        <v>2.452500304</v>
      </c>
      <c r="C243" s="177">
        <v>0.55513000000000001</v>
      </c>
      <c r="D243" s="177">
        <v>6.4100450000000002</v>
      </c>
      <c r="E243" s="177">
        <v>1.105445</v>
      </c>
      <c r="F243" s="177">
        <v>0</v>
      </c>
      <c r="G243" s="177">
        <v>1.376881</v>
      </c>
      <c r="H243" s="177">
        <v>16.603539999999999</v>
      </c>
      <c r="I243" s="177">
        <v>3.3300000000000002E-4</v>
      </c>
      <c r="J243" s="177">
        <v>1.5984000000000002E-2</v>
      </c>
      <c r="K243" s="177">
        <v>0.58652800000000005</v>
      </c>
      <c r="L243" s="177">
        <v>2.603955</v>
      </c>
      <c r="M243" s="177">
        <v>0.1009475</v>
      </c>
      <c r="N243" s="177">
        <v>0.22499949999999999</v>
      </c>
      <c r="O243" s="178">
        <v>32.036288304000003</v>
      </c>
      <c r="P243" s="177">
        <v>-0.32283400000000001</v>
      </c>
      <c r="Q243" s="177">
        <v>-4.1818000000000001E-2</v>
      </c>
      <c r="R243" s="177">
        <v>-5.3715419999999998</v>
      </c>
      <c r="S243" s="178">
        <v>26.300094304000002</v>
      </c>
      <c r="V243" s="198">
        <f t="shared" si="33"/>
        <v>611.94847099660228</v>
      </c>
    </row>
    <row r="244" spans="1:22" ht="14.25">
      <c r="V244" s="198" t="str">
        <f t="shared" si="33"/>
        <v/>
      </c>
    </row>
    <row r="245" spans="1:22" ht="14.25">
      <c r="V245" s="198" t="str">
        <f t="shared" si="33"/>
        <v/>
      </c>
    </row>
    <row r="246" spans="1:22" ht="14.25">
      <c r="V246" s="198" t="str">
        <f t="shared" si="33"/>
        <v/>
      </c>
    </row>
    <row r="248" spans="1:22">
      <c r="A248" s="262"/>
      <c r="B248" s="262" t="s">
        <v>30</v>
      </c>
      <c r="C248" s="263" t="s">
        <v>196</v>
      </c>
      <c r="D248" s="263" t="s">
        <v>198</v>
      </c>
      <c r="E248" s="263" t="s">
        <v>199</v>
      </c>
      <c r="F248" s="263" t="s">
        <v>201</v>
      </c>
      <c r="G248" s="263" t="s">
        <v>207</v>
      </c>
      <c r="H248" s="263" t="s">
        <v>209</v>
      </c>
      <c r="I248" s="263" t="s">
        <v>214</v>
      </c>
      <c r="J248" s="263" t="s">
        <v>215</v>
      </c>
      <c r="K248" s="263" t="s">
        <v>217</v>
      </c>
      <c r="L248" s="263" t="s">
        <v>218</v>
      </c>
      <c r="M248" s="263" t="s">
        <v>219</v>
      </c>
      <c r="N248" s="263" t="s">
        <v>220</v>
      </c>
      <c r="O248" s="263" t="s">
        <v>223</v>
      </c>
    </row>
    <row r="249" spans="1:22">
      <c r="A249" s="262"/>
      <c r="B249" s="262" t="s">
        <v>106</v>
      </c>
      <c r="C249" s="263" t="s">
        <v>184</v>
      </c>
      <c r="D249" s="263" t="s">
        <v>184</v>
      </c>
      <c r="E249" s="263" t="s">
        <v>184</v>
      </c>
      <c r="F249" s="263" t="s">
        <v>184</v>
      </c>
      <c r="G249" s="263" t="s">
        <v>184</v>
      </c>
      <c r="H249" s="263" t="s">
        <v>184</v>
      </c>
      <c r="I249" s="263" t="s">
        <v>184</v>
      </c>
      <c r="J249" s="263" t="s">
        <v>184</v>
      </c>
      <c r="K249" s="263" t="s">
        <v>184</v>
      </c>
      <c r="L249" s="263" t="s">
        <v>184</v>
      </c>
      <c r="M249" s="263" t="s">
        <v>184</v>
      </c>
      <c r="N249" s="263" t="s">
        <v>184</v>
      </c>
      <c r="O249" s="263" t="s">
        <v>184</v>
      </c>
    </row>
    <row r="250" spans="1:22">
      <c r="A250" s="262" t="s">
        <v>169</v>
      </c>
      <c r="B250" s="262" t="s">
        <v>170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</row>
    <row r="251" spans="1:22">
      <c r="A251" s="340" t="s">
        <v>4</v>
      </c>
      <c r="B251" s="265" t="s">
        <v>160</v>
      </c>
      <c r="C251" s="270">
        <v>198926.75232</v>
      </c>
      <c r="D251" s="270"/>
      <c r="E251" s="270"/>
      <c r="F251" s="270"/>
      <c r="G251" s="270">
        <v>59990.413439999997</v>
      </c>
      <c r="H251" s="270">
        <v>102841.992</v>
      </c>
      <c r="I251" s="270">
        <v>15271.65984</v>
      </c>
      <c r="J251" s="270"/>
      <c r="K251" s="270"/>
      <c r="L251" s="270">
        <v>98976.334080000001</v>
      </c>
      <c r="M251" s="270">
        <v>53701.114560000002</v>
      </c>
      <c r="N251" s="270">
        <v>141364.62912</v>
      </c>
      <c r="O251" s="270">
        <v>159278.31072000001</v>
      </c>
    </row>
    <row r="252" spans="1:22">
      <c r="A252" s="341"/>
      <c r="B252" s="265" t="s">
        <v>161</v>
      </c>
      <c r="C252" s="270">
        <v>342080.92320000002</v>
      </c>
      <c r="D252" s="270">
        <v>177663.38112000001</v>
      </c>
      <c r="E252" s="270">
        <v>241179.37151999999</v>
      </c>
      <c r="F252" s="270">
        <v>267484.24128000002</v>
      </c>
      <c r="G252" s="270">
        <v>263990.79168000002</v>
      </c>
      <c r="H252" s="270">
        <v>312672.93792</v>
      </c>
      <c r="I252" s="270">
        <v>282114.43776</v>
      </c>
      <c r="J252" s="270">
        <v>315216.2352</v>
      </c>
      <c r="K252" s="270">
        <v>466130.6544</v>
      </c>
      <c r="L252" s="270">
        <v>412591.42463999998</v>
      </c>
      <c r="M252" s="270">
        <v>506232.15263999999</v>
      </c>
      <c r="N252" s="270">
        <v>553201.79327999998</v>
      </c>
      <c r="O252" s="270">
        <v>523698.93887999997</v>
      </c>
    </row>
    <row r="253" spans="1:22">
      <c r="A253" s="265" t="s">
        <v>95</v>
      </c>
      <c r="B253" s="265" t="s">
        <v>177</v>
      </c>
      <c r="C253" s="270"/>
      <c r="D253" s="270"/>
      <c r="E253" s="270"/>
      <c r="F253" s="270"/>
      <c r="G253" s="270"/>
      <c r="H253" s="270"/>
      <c r="I253" s="270"/>
      <c r="J253" s="270">
        <v>7.6999999999999996E-4</v>
      </c>
      <c r="K253" s="270">
        <v>7.6999999999999996E-4</v>
      </c>
      <c r="L253" s="270"/>
      <c r="M253" s="270"/>
      <c r="N253" s="270"/>
      <c r="O253" s="270"/>
    </row>
    <row r="254" spans="1:22">
      <c r="A254" s="265" t="s">
        <v>11</v>
      </c>
      <c r="B254" s="265" t="s">
        <v>162</v>
      </c>
      <c r="C254" s="270">
        <v>809672.65945000004</v>
      </c>
      <c r="D254" s="270">
        <v>402130.41519999999</v>
      </c>
      <c r="E254" s="270">
        <v>610285.00817000004</v>
      </c>
      <c r="F254" s="270">
        <v>1059950.38231</v>
      </c>
      <c r="G254" s="270">
        <v>741767.23618000001</v>
      </c>
      <c r="H254" s="270">
        <v>1160411.56908</v>
      </c>
      <c r="I254" s="270">
        <v>1119151.5504000001</v>
      </c>
      <c r="J254" s="270">
        <v>1230303.44835</v>
      </c>
      <c r="K254" s="270">
        <v>1589884.42484</v>
      </c>
      <c r="L254" s="270">
        <v>1408260.0758100001</v>
      </c>
      <c r="M254" s="270">
        <v>2108118.1823300002</v>
      </c>
      <c r="N254" s="270">
        <v>1665129.70683</v>
      </c>
      <c r="O254" s="270">
        <v>1922971.11806</v>
      </c>
    </row>
    <row r="255" spans="1:22">
      <c r="A255" s="342" t="s">
        <v>9</v>
      </c>
      <c r="B255" s="265" t="s">
        <v>163</v>
      </c>
      <c r="C255" s="270">
        <v>90727.442500000005</v>
      </c>
      <c r="D255" s="270">
        <v>57084.166499999999</v>
      </c>
      <c r="E255" s="270">
        <v>60989.004999999997</v>
      </c>
      <c r="F255" s="270">
        <v>71222.689499999993</v>
      </c>
      <c r="G255" s="270">
        <v>77825.613500000007</v>
      </c>
      <c r="H255" s="270">
        <v>84865.786500000002</v>
      </c>
      <c r="I255" s="270">
        <v>92291.084000000003</v>
      </c>
      <c r="J255" s="270">
        <v>88774.373000000007</v>
      </c>
      <c r="K255" s="270">
        <v>99322.657500000001</v>
      </c>
      <c r="L255" s="270">
        <v>107333.5395</v>
      </c>
      <c r="M255" s="270">
        <v>108403.90850000001</v>
      </c>
      <c r="N255" s="270">
        <v>109014.2585</v>
      </c>
      <c r="O255" s="270">
        <v>109089.4225</v>
      </c>
    </row>
    <row r="256" spans="1:22">
      <c r="A256" s="343"/>
      <c r="B256" s="265" t="s">
        <v>164</v>
      </c>
      <c r="C256" s="270">
        <v>798407.69039999996</v>
      </c>
      <c r="D256" s="270">
        <v>618971.18507999997</v>
      </c>
      <c r="E256" s="270">
        <v>764713.16027999995</v>
      </c>
      <c r="F256" s="270">
        <v>736439.09796000004</v>
      </c>
      <c r="G256" s="270">
        <v>736050.76307999995</v>
      </c>
      <c r="H256" s="270">
        <v>724135.87691999995</v>
      </c>
      <c r="I256" s="270">
        <v>739425.64320000005</v>
      </c>
      <c r="J256" s="270">
        <v>691115.75315999996</v>
      </c>
      <c r="K256" s="270">
        <v>704840.28191999998</v>
      </c>
      <c r="L256" s="270">
        <v>691448.22467999998</v>
      </c>
      <c r="M256" s="270">
        <v>702356.51376</v>
      </c>
      <c r="N256" s="270">
        <v>704236.77827999997</v>
      </c>
      <c r="O256" s="270">
        <v>701776.80683999998</v>
      </c>
    </row>
    <row r="257" spans="1:17">
      <c r="A257" s="343"/>
      <c r="B257" s="265" t="s">
        <v>165</v>
      </c>
      <c r="C257" s="270">
        <v>728.39844000000005</v>
      </c>
      <c r="D257" s="270">
        <v>376.69209999999998</v>
      </c>
      <c r="E257" s="270">
        <v>939.34631999999999</v>
      </c>
      <c r="F257" s="270">
        <v>454.15548000000001</v>
      </c>
      <c r="G257" s="270">
        <v>674.04931999999997</v>
      </c>
      <c r="H257" s="270">
        <v>455.12562000000003</v>
      </c>
      <c r="I257" s="270">
        <v>761.31745999999998</v>
      </c>
      <c r="J257" s="270">
        <v>736.51941999999997</v>
      </c>
      <c r="K257" s="270">
        <v>971.72194000000002</v>
      </c>
      <c r="L257" s="270">
        <v>1046.9121600000001</v>
      </c>
      <c r="M257" s="270">
        <v>1830.8510200000001</v>
      </c>
      <c r="N257" s="270">
        <v>2172.8525399999999</v>
      </c>
      <c r="O257" s="270">
        <v>1022.82282</v>
      </c>
    </row>
    <row r="258" spans="1:17">
      <c r="A258" s="341"/>
      <c r="B258" s="265" t="s">
        <v>216</v>
      </c>
      <c r="C258" s="270"/>
      <c r="D258" s="270"/>
      <c r="E258" s="270"/>
      <c r="F258" s="270"/>
      <c r="G258" s="270"/>
      <c r="H258" s="270"/>
      <c r="I258" s="270"/>
      <c r="J258" s="270">
        <v>730.62865999999997</v>
      </c>
      <c r="K258" s="270"/>
      <c r="L258" s="270"/>
      <c r="M258" s="270"/>
      <c r="N258" s="270"/>
      <c r="O258" s="270"/>
    </row>
    <row r="259" spans="1:17">
      <c r="A259" s="342" t="s">
        <v>70</v>
      </c>
      <c r="B259" s="265" t="s">
        <v>166</v>
      </c>
      <c r="C259" s="270">
        <v>31509.960050000002</v>
      </c>
      <c r="D259" s="270">
        <v>27963.00965</v>
      </c>
      <c r="E259" s="270">
        <v>26848.965550000001</v>
      </c>
      <c r="F259" s="270">
        <v>14883.509400000001</v>
      </c>
      <c r="G259" s="270">
        <v>27951.797750000002</v>
      </c>
      <c r="H259" s="270">
        <v>27003.805100000001</v>
      </c>
      <c r="I259" s="270">
        <v>32066.770250000001</v>
      </c>
      <c r="J259" s="270">
        <v>31906.170849999999</v>
      </c>
      <c r="K259" s="270">
        <v>30814.013800000001</v>
      </c>
      <c r="L259" s="270">
        <v>26297.769850000001</v>
      </c>
      <c r="M259" s="270">
        <v>30990.911400000001</v>
      </c>
      <c r="N259" s="270">
        <v>17788.532449999999</v>
      </c>
      <c r="O259" s="270">
        <v>4806.1402500000004</v>
      </c>
    </row>
    <row r="260" spans="1:17">
      <c r="A260" s="343"/>
      <c r="B260" s="265" t="s">
        <v>167</v>
      </c>
      <c r="C260" s="270">
        <v>12494.40912</v>
      </c>
      <c r="D260" s="270">
        <v>13864.386</v>
      </c>
      <c r="E260" s="270">
        <v>14871.20832</v>
      </c>
      <c r="F260" s="270">
        <v>15917.4162</v>
      </c>
      <c r="G260" s="270">
        <v>12722.256719999999</v>
      </c>
      <c r="H260" s="270">
        <v>15727.94124</v>
      </c>
      <c r="I260" s="270">
        <v>16816.606919999998</v>
      </c>
      <c r="J260" s="270">
        <v>16308.46572</v>
      </c>
      <c r="K260" s="270">
        <v>13353.574199999999</v>
      </c>
      <c r="L260" s="270">
        <v>14841.053760000001</v>
      </c>
      <c r="M260" s="270">
        <v>15816.303239999999</v>
      </c>
      <c r="N260" s="270">
        <v>17473.879199999999</v>
      </c>
      <c r="O260" s="270">
        <v>16554.03096</v>
      </c>
    </row>
    <row r="261" spans="1:17">
      <c r="A261" s="341"/>
      <c r="B261" s="265" t="s">
        <v>168</v>
      </c>
      <c r="C261" s="270">
        <v>21579.222720000002</v>
      </c>
      <c r="D261" s="270">
        <v>17817.535199999998</v>
      </c>
      <c r="E261" s="270">
        <v>20035.63968</v>
      </c>
      <c r="F261" s="270">
        <v>21136.709279999999</v>
      </c>
      <c r="G261" s="270">
        <v>21195.614399999999</v>
      </c>
      <c r="H261" s="270">
        <v>21289.65048</v>
      </c>
      <c r="I261" s="270">
        <v>21434.41056</v>
      </c>
      <c r="J261" s="270">
        <v>23247.599040000001</v>
      </c>
      <c r="K261" s="270">
        <v>19033.27968</v>
      </c>
      <c r="L261" s="270">
        <v>21487.284240000001</v>
      </c>
      <c r="M261" s="270">
        <v>15908.03832</v>
      </c>
      <c r="N261" s="270">
        <v>19269.097440000001</v>
      </c>
      <c r="O261" s="270">
        <v>20525.410080000001</v>
      </c>
    </row>
    <row r="262" spans="1:17">
      <c r="A262" s="266" t="s">
        <v>15</v>
      </c>
      <c r="B262" s="267"/>
      <c r="C262" s="271">
        <v>2306127.4582000002</v>
      </c>
      <c r="D262" s="271">
        <v>1315870.77085</v>
      </c>
      <c r="E262" s="271">
        <v>1739861.70484</v>
      </c>
      <c r="F262" s="271">
        <v>2187488.2014100002</v>
      </c>
      <c r="G262" s="271">
        <v>1942168.5360699999</v>
      </c>
      <c r="H262" s="271">
        <v>2449404.6848599999</v>
      </c>
      <c r="I262" s="271">
        <v>2319333.4803900002</v>
      </c>
      <c r="J262" s="271">
        <v>2398339.19417</v>
      </c>
      <c r="K262" s="271">
        <v>2924350.6090500001</v>
      </c>
      <c r="L262" s="271">
        <v>2782282.6187200001</v>
      </c>
      <c r="M262" s="271">
        <v>3543357.9757699999</v>
      </c>
      <c r="N262" s="271">
        <v>3229651.52764</v>
      </c>
      <c r="O262" s="271">
        <v>3459723.0011100001</v>
      </c>
      <c r="Q262" s="44">
        <f>(O262-C262)/C262*100</f>
        <v>50.023060902731487</v>
      </c>
    </row>
  </sheetData>
  <sortState xmlns:xlrd2="http://schemas.microsoft.com/office/spreadsheetml/2017/richdata2" ref="H50:J61">
    <sortCondition descending="1" ref="J50:J61"/>
  </sortState>
  <mergeCells count="13">
    <mergeCell ref="B176:S176"/>
    <mergeCell ref="B177:S177"/>
    <mergeCell ref="A251:A252"/>
    <mergeCell ref="A259:A261"/>
    <mergeCell ref="A255:A258"/>
    <mergeCell ref="B215:S215"/>
    <mergeCell ref="B216:S216"/>
    <mergeCell ref="B217:S217"/>
    <mergeCell ref="B4:J4"/>
    <mergeCell ref="B5:J5"/>
    <mergeCell ref="B115:Z115"/>
    <mergeCell ref="B116:Z116"/>
    <mergeCell ref="B175:S175"/>
  </mergeCells>
  <conditionalFormatting sqref="V220:V246">
    <cfRule type="cellIs" dxfId="1" priority="3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" workbookViewId="0">
      <selection activeCell="G383" sqref="G383:G398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199" customWidth="1"/>
    <col min="7" max="7" width="7.7109375" style="200" customWidth="1"/>
  </cols>
  <sheetData>
    <row r="1" spans="1:6">
      <c r="C1" s="201" t="s">
        <v>32</v>
      </c>
      <c r="D1" s="201" t="s">
        <v>33</v>
      </c>
      <c r="E1" s="201" t="s">
        <v>34</v>
      </c>
    </row>
    <row r="2" spans="1:6">
      <c r="C2" s="344" t="s">
        <v>126</v>
      </c>
      <c r="D2" s="345"/>
      <c r="E2" s="345"/>
    </row>
    <row r="3" spans="1:6">
      <c r="A3">
        <v>0</v>
      </c>
      <c r="B3" s="46">
        <v>44197</v>
      </c>
      <c r="C3" s="269">
        <v>121.65851347889853</v>
      </c>
      <c r="D3" s="269">
        <v>124.46511188199077</v>
      </c>
      <c r="E3" s="177">
        <f>IF(C3&lt;D3,C3,D3)</f>
        <v>121.65851347889853</v>
      </c>
      <c r="F3" s="199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44198</v>
      </c>
      <c r="C4" s="269">
        <v>122.79226157089855</v>
      </c>
      <c r="D4" s="269">
        <v>124.46511188199077</v>
      </c>
      <c r="E4" s="177">
        <f t="shared" ref="E4:E67" si="0">IF(C4&lt;D4,C4,D4)</f>
        <v>122.79226157089855</v>
      </c>
      <c r="F4" s="199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44199</v>
      </c>
      <c r="C5" s="269">
        <v>127.5509066309004</v>
      </c>
      <c r="D5" s="269">
        <v>124.46511188199077</v>
      </c>
      <c r="E5" s="177">
        <f t="shared" si="0"/>
        <v>124.46511188199077</v>
      </c>
      <c r="F5" s="199" t="str">
        <f t="shared" si="1"/>
        <v/>
      </c>
    </row>
    <row r="6" spans="1:6">
      <c r="A6">
        <v>3</v>
      </c>
      <c r="B6" s="46">
        <v>44200</v>
      </c>
      <c r="C6" s="269">
        <v>176.54740736089855</v>
      </c>
      <c r="D6" s="269">
        <v>124.46511188199077</v>
      </c>
      <c r="E6" s="177">
        <f t="shared" si="0"/>
        <v>124.46511188199077</v>
      </c>
      <c r="F6" s="199" t="str">
        <f t="shared" si="1"/>
        <v/>
      </c>
    </row>
    <row r="7" spans="1:6">
      <c r="A7">
        <v>4</v>
      </c>
      <c r="B7" s="46">
        <v>44201</v>
      </c>
      <c r="C7" s="269">
        <v>186.76678542089851</v>
      </c>
      <c r="D7" s="269">
        <v>124.46511188199077</v>
      </c>
      <c r="E7" s="177">
        <f t="shared" si="0"/>
        <v>124.46511188199077</v>
      </c>
      <c r="F7" s="199" t="str">
        <f t="shared" si="1"/>
        <v/>
      </c>
    </row>
    <row r="8" spans="1:6">
      <c r="A8">
        <v>5</v>
      </c>
      <c r="B8" s="46">
        <v>44202</v>
      </c>
      <c r="C8" s="269">
        <v>122.4508974280194</v>
      </c>
      <c r="D8" s="269">
        <v>124.46511188199077</v>
      </c>
      <c r="E8" s="177">
        <f t="shared" si="0"/>
        <v>122.4508974280194</v>
      </c>
      <c r="F8" s="199" t="str">
        <f t="shared" si="1"/>
        <v/>
      </c>
    </row>
    <row r="9" spans="1:6">
      <c r="A9">
        <v>6</v>
      </c>
      <c r="B9" s="46">
        <v>44203</v>
      </c>
      <c r="C9" s="269">
        <v>113.50098375602127</v>
      </c>
      <c r="D9" s="269">
        <v>124.46511188199077</v>
      </c>
      <c r="E9" s="177">
        <f t="shared" si="0"/>
        <v>113.50098375602127</v>
      </c>
      <c r="F9" s="199" t="str">
        <f t="shared" si="1"/>
        <v/>
      </c>
    </row>
    <row r="10" spans="1:6">
      <c r="A10">
        <v>7</v>
      </c>
      <c r="B10" s="46">
        <v>44204</v>
      </c>
      <c r="C10" s="269">
        <v>108.17419805602127</v>
      </c>
      <c r="D10" s="269">
        <v>124.46511188199077</v>
      </c>
      <c r="E10" s="177">
        <f t="shared" si="0"/>
        <v>108.17419805602127</v>
      </c>
      <c r="F10" s="199" t="str">
        <f t="shared" si="1"/>
        <v/>
      </c>
    </row>
    <row r="11" spans="1:6">
      <c r="A11">
        <v>8</v>
      </c>
      <c r="B11" s="46">
        <v>44205</v>
      </c>
      <c r="C11" s="269">
        <v>79.63141345601754</v>
      </c>
      <c r="D11" s="269">
        <v>124.46511188199077</v>
      </c>
      <c r="E11" s="177">
        <f t="shared" si="0"/>
        <v>79.63141345601754</v>
      </c>
      <c r="F11" s="199" t="str">
        <f t="shared" si="1"/>
        <v/>
      </c>
    </row>
    <row r="12" spans="1:6">
      <c r="A12">
        <v>9</v>
      </c>
      <c r="B12" s="46">
        <v>44206</v>
      </c>
      <c r="C12" s="269">
        <v>78.27291295402128</v>
      </c>
      <c r="D12" s="269">
        <v>124.46511188199077</v>
      </c>
      <c r="E12" s="177">
        <f t="shared" si="0"/>
        <v>78.27291295402128</v>
      </c>
      <c r="F12" s="199" t="str">
        <f t="shared" si="1"/>
        <v/>
      </c>
    </row>
    <row r="13" spans="1:6">
      <c r="A13">
        <v>10</v>
      </c>
      <c r="B13" s="46">
        <v>44207</v>
      </c>
      <c r="C13" s="269">
        <v>89.291085424019414</v>
      </c>
      <c r="D13" s="269">
        <v>124.46511188199077</v>
      </c>
      <c r="E13" s="177">
        <f t="shared" si="0"/>
        <v>89.291085424019414</v>
      </c>
      <c r="F13" s="199" t="str">
        <f t="shared" si="1"/>
        <v/>
      </c>
    </row>
    <row r="14" spans="1:6">
      <c r="A14">
        <v>11</v>
      </c>
      <c r="B14" s="46">
        <v>44208</v>
      </c>
      <c r="C14" s="269">
        <v>103.80750175601942</v>
      </c>
      <c r="D14" s="269">
        <v>124.46511188199077</v>
      </c>
      <c r="E14" s="177">
        <f t="shared" si="0"/>
        <v>103.80750175601942</v>
      </c>
      <c r="F14" s="199" t="str">
        <f t="shared" si="1"/>
        <v/>
      </c>
    </row>
    <row r="15" spans="1:6">
      <c r="A15">
        <v>12</v>
      </c>
      <c r="B15" s="46">
        <v>44209</v>
      </c>
      <c r="C15" s="269">
        <v>65.07410711507066</v>
      </c>
      <c r="D15" s="269">
        <v>124.46511188199077</v>
      </c>
      <c r="E15" s="177">
        <f t="shared" si="0"/>
        <v>65.07410711507066</v>
      </c>
      <c r="F15" s="199" t="str">
        <f t="shared" si="1"/>
        <v/>
      </c>
    </row>
    <row r="16" spans="1:6">
      <c r="A16">
        <v>13</v>
      </c>
      <c r="B16" s="46">
        <v>44210</v>
      </c>
      <c r="C16" s="269">
        <v>63.240659711070649</v>
      </c>
      <c r="D16" s="269">
        <v>124.46511188199077</v>
      </c>
      <c r="E16" s="177">
        <f t="shared" si="0"/>
        <v>63.240659711070649</v>
      </c>
      <c r="F16" s="199" t="str">
        <f t="shared" si="1"/>
        <v/>
      </c>
    </row>
    <row r="17" spans="1:7">
      <c r="A17">
        <v>14</v>
      </c>
      <c r="B17" s="46">
        <v>44211</v>
      </c>
      <c r="C17" s="269">
        <v>62.816474647068794</v>
      </c>
      <c r="D17" s="269">
        <v>124.46511188199077</v>
      </c>
      <c r="E17" s="177">
        <f t="shared" si="0"/>
        <v>62.816474647068794</v>
      </c>
      <c r="F17" s="199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E</v>
      </c>
      <c r="G17" s="200">
        <f>IF(DAY(B17)=15,D17,"")</f>
        <v>124.46511188199077</v>
      </c>
    </row>
    <row r="18" spans="1:7">
      <c r="A18">
        <v>15</v>
      </c>
      <c r="B18" s="46">
        <v>44212</v>
      </c>
      <c r="C18" s="269">
        <v>56.416824859072513</v>
      </c>
      <c r="D18" s="269">
        <v>124.46511188199077</v>
      </c>
      <c r="E18" s="177">
        <f t="shared" si="0"/>
        <v>56.416824859072513</v>
      </c>
      <c r="F18" s="199" t="str">
        <f t="shared" si="1"/>
        <v/>
      </c>
    </row>
    <row r="19" spans="1:7">
      <c r="A19">
        <v>16</v>
      </c>
      <c r="B19" s="46">
        <v>44213</v>
      </c>
      <c r="C19" s="269">
        <v>39.007617675068786</v>
      </c>
      <c r="D19" s="269">
        <v>124.46511188199077</v>
      </c>
      <c r="E19" s="177">
        <f t="shared" si="0"/>
        <v>39.007617675068786</v>
      </c>
      <c r="F19" s="199" t="str">
        <f t="shared" si="1"/>
        <v/>
      </c>
    </row>
    <row r="20" spans="1:7">
      <c r="A20">
        <v>17</v>
      </c>
      <c r="B20" s="46">
        <v>44214</v>
      </c>
      <c r="C20" s="269">
        <v>71.566471235070637</v>
      </c>
      <c r="D20" s="269">
        <v>124.46511188199077</v>
      </c>
      <c r="E20" s="177">
        <f t="shared" si="0"/>
        <v>71.566471235070637</v>
      </c>
      <c r="F20" s="199" t="str">
        <f t="shared" si="1"/>
        <v/>
      </c>
    </row>
    <row r="21" spans="1:7">
      <c r="A21">
        <v>18</v>
      </c>
      <c r="B21" s="46">
        <v>44215</v>
      </c>
      <c r="C21" s="269">
        <v>56.21605761507066</v>
      </c>
      <c r="D21" s="269">
        <v>124.46511188199077</v>
      </c>
      <c r="E21" s="177">
        <f t="shared" si="0"/>
        <v>56.21605761507066</v>
      </c>
      <c r="F21" s="199" t="str">
        <f t="shared" si="1"/>
        <v/>
      </c>
    </row>
    <row r="22" spans="1:7">
      <c r="A22">
        <v>19</v>
      </c>
      <c r="B22" s="46">
        <v>44216</v>
      </c>
      <c r="C22" s="269">
        <v>180.65407095807191</v>
      </c>
      <c r="D22" s="269">
        <v>124.46511188199077</v>
      </c>
      <c r="E22" s="177">
        <f t="shared" si="0"/>
        <v>124.46511188199077</v>
      </c>
      <c r="F22" s="199" t="str">
        <f t="shared" si="1"/>
        <v/>
      </c>
    </row>
    <row r="23" spans="1:7">
      <c r="A23">
        <v>20</v>
      </c>
      <c r="B23" s="46">
        <v>44217</v>
      </c>
      <c r="C23" s="269">
        <v>170.05959577406819</v>
      </c>
      <c r="D23" s="269">
        <v>124.46511188199077</v>
      </c>
      <c r="E23" s="177">
        <f t="shared" si="0"/>
        <v>124.46511188199077</v>
      </c>
      <c r="F23" s="199" t="str">
        <f t="shared" si="1"/>
        <v/>
      </c>
    </row>
    <row r="24" spans="1:7">
      <c r="A24">
        <v>21</v>
      </c>
      <c r="B24" s="46">
        <v>44218</v>
      </c>
      <c r="C24" s="269">
        <v>170.92545026807005</v>
      </c>
      <c r="D24" s="269">
        <v>124.46511188199077</v>
      </c>
      <c r="E24" s="177">
        <f t="shared" si="0"/>
        <v>124.46511188199077</v>
      </c>
      <c r="F24" s="199" t="str">
        <f t="shared" si="1"/>
        <v/>
      </c>
    </row>
    <row r="25" spans="1:7">
      <c r="A25">
        <v>22</v>
      </c>
      <c r="B25" s="46">
        <v>44219</v>
      </c>
      <c r="C25" s="269">
        <v>143.75904223607003</v>
      </c>
      <c r="D25" s="269">
        <v>124.46511188199077</v>
      </c>
      <c r="E25" s="177">
        <f t="shared" si="0"/>
        <v>124.46511188199077</v>
      </c>
      <c r="F25" s="199" t="str">
        <f t="shared" si="1"/>
        <v/>
      </c>
    </row>
    <row r="26" spans="1:7">
      <c r="A26">
        <v>23</v>
      </c>
      <c r="B26" s="46">
        <v>44220</v>
      </c>
      <c r="C26" s="269">
        <v>146.19796674007003</v>
      </c>
      <c r="D26" s="269">
        <v>124.46511188199077</v>
      </c>
      <c r="E26" s="177">
        <f t="shared" si="0"/>
        <v>124.46511188199077</v>
      </c>
      <c r="F26" s="199" t="str">
        <f t="shared" si="1"/>
        <v/>
      </c>
    </row>
    <row r="27" spans="1:7">
      <c r="A27">
        <v>24</v>
      </c>
      <c r="B27" s="46">
        <v>44221</v>
      </c>
      <c r="C27" s="269">
        <v>197.6827134820719</v>
      </c>
      <c r="D27" s="269">
        <v>124.46511188199077</v>
      </c>
      <c r="E27" s="177">
        <f t="shared" si="0"/>
        <v>124.46511188199077</v>
      </c>
      <c r="F27" s="199" t="str">
        <f t="shared" si="1"/>
        <v/>
      </c>
    </row>
    <row r="28" spans="1:7">
      <c r="A28">
        <v>25</v>
      </c>
      <c r="B28" s="46">
        <v>44222</v>
      </c>
      <c r="C28" s="269">
        <v>215.54117273807006</v>
      </c>
      <c r="D28" s="269">
        <v>124.46511188199077</v>
      </c>
      <c r="E28" s="177">
        <f t="shared" si="0"/>
        <v>124.46511188199077</v>
      </c>
      <c r="F28" s="199" t="str">
        <f t="shared" si="1"/>
        <v/>
      </c>
    </row>
    <row r="29" spans="1:7">
      <c r="A29">
        <v>26</v>
      </c>
      <c r="B29" s="46">
        <v>44223</v>
      </c>
      <c r="C29" s="269">
        <v>272.82631553889729</v>
      </c>
      <c r="D29" s="269">
        <v>124.46511188199077</v>
      </c>
      <c r="E29" s="177">
        <f t="shared" si="0"/>
        <v>124.46511188199077</v>
      </c>
      <c r="F29" s="199" t="str">
        <f t="shared" si="1"/>
        <v/>
      </c>
    </row>
    <row r="30" spans="1:7">
      <c r="A30">
        <v>27</v>
      </c>
      <c r="B30" s="46">
        <v>44224</v>
      </c>
      <c r="C30" s="269">
        <v>274.95323513289543</v>
      </c>
      <c r="D30" s="269">
        <v>124.46511188199077</v>
      </c>
      <c r="E30" s="177">
        <f t="shared" si="0"/>
        <v>124.46511188199077</v>
      </c>
      <c r="F30" s="199" t="str">
        <f t="shared" si="1"/>
        <v/>
      </c>
    </row>
    <row r="31" spans="1:7">
      <c r="A31">
        <v>28</v>
      </c>
      <c r="B31" s="46">
        <v>44225</v>
      </c>
      <c r="C31" s="269">
        <v>270.03186463489726</v>
      </c>
      <c r="D31" s="269">
        <v>124.46511188199077</v>
      </c>
      <c r="E31" s="177">
        <f t="shared" si="0"/>
        <v>124.46511188199077</v>
      </c>
      <c r="F31" s="199" t="str">
        <f t="shared" si="1"/>
        <v/>
      </c>
    </row>
    <row r="32" spans="1:7">
      <c r="A32">
        <v>29</v>
      </c>
      <c r="B32" s="46">
        <v>44226</v>
      </c>
      <c r="C32" s="269">
        <v>254.74857380889728</v>
      </c>
      <c r="D32" s="269">
        <v>124.46511188199077</v>
      </c>
      <c r="E32" s="177">
        <f t="shared" si="0"/>
        <v>124.46511188199077</v>
      </c>
      <c r="F32" s="199" t="str">
        <f t="shared" si="1"/>
        <v/>
      </c>
    </row>
    <row r="33" spans="1:7">
      <c r="A33">
        <v>30</v>
      </c>
      <c r="B33" s="46">
        <v>44227</v>
      </c>
      <c r="C33" s="269">
        <v>254.47139566889541</v>
      </c>
      <c r="D33" s="269">
        <v>124.46511188199077</v>
      </c>
      <c r="E33" s="177">
        <f t="shared" si="0"/>
        <v>124.46511188199077</v>
      </c>
      <c r="F33" s="199" t="str">
        <f t="shared" si="1"/>
        <v/>
      </c>
    </row>
    <row r="34" spans="1:7">
      <c r="A34">
        <v>31</v>
      </c>
      <c r="B34" s="46">
        <v>44228</v>
      </c>
      <c r="C34" s="269">
        <v>264.21452582089734</v>
      </c>
      <c r="D34" s="269">
        <v>125.57183874706618</v>
      </c>
      <c r="E34" s="177">
        <f t="shared" si="0"/>
        <v>125.57183874706618</v>
      </c>
      <c r="F34" s="199" t="str">
        <f t="shared" si="1"/>
        <v/>
      </c>
    </row>
    <row r="35" spans="1:7">
      <c r="A35">
        <v>32</v>
      </c>
      <c r="B35" s="46">
        <v>44229</v>
      </c>
      <c r="C35" s="269">
        <v>271.8883815768973</v>
      </c>
      <c r="D35" s="269">
        <v>125.57183874706618</v>
      </c>
      <c r="E35" s="177">
        <f t="shared" si="0"/>
        <v>125.57183874706618</v>
      </c>
      <c r="F35" s="199" t="str">
        <f t="shared" si="1"/>
        <v/>
      </c>
    </row>
    <row r="36" spans="1:7">
      <c r="A36">
        <v>33</v>
      </c>
      <c r="B36" s="46">
        <v>44230</v>
      </c>
      <c r="C36" s="269">
        <v>264.77750888939914</v>
      </c>
      <c r="D36" s="269">
        <v>125.57183874706618</v>
      </c>
      <c r="E36" s="177">
        <f t="shared" si="0"/>
        <v>125.57183874706618</v>
      </c>
      <c r="F36" s="199" t="str">
        <f t="shared" si="1"/>
        <v/>
      </c>
    </row>
    <row r="37" spans="1:7">
      <c r="A37">
        <v>34</v>
      </c>
      <c r="B37" s="46">
        <v>44231</v>
      </c>
      <c r="C37" s="269">
        <v>286.24832100740286</v>
      </c>
      <c r="D37" s="269">
        <v>125.57183874706618</v>
      </c>
      <c r="E37" s="177">
        <f t="shared" si="0"/>
        <v>125.57183874706618</v>
      </c>
      <c r="F37" s="199" t="str">
        <f t="shared" si="1"/>
        <v/>
      </c>
    </row>
    <row r="38" spans="1:7">
      <c r="A38">
        <v>35</v>
      </c>
      <c r="B38" s="46">
        <v>44232</v>
      </c>
      <c r="C38" s="269">
        <v>289.68583658139733</v>
      </c>
      <c r="D38" s="269">
        <v>125.57183874706618</v>
      </c>
      <c r="E38" s="177">
        <f t="shared" si="0"/>
        <v>125.57183874706618</v>
      </c>
      <c r="F38" s="199" t="str">
        <f t="shared" si="1"/>
        <v/>
      </c>
    </row>
    <row r="39" spans="1:7">
      <c r="A39">
        <v>36</v>
      </c>
      <c r="B39" s="46">
        <v>44233</v>
      </c>
      <c r="C39" s="269">
        <v>278.84053050739914</v>
      </c>
      <c r="D39" s="269">
        <v>125.57183874706618</v>
      </c>
      <c r="E39" s="177">
        <f t="shared" si="0"/>
        <v>125.57183874706618</v>
      </c>
      <c r="F39" s="199" t="str">
        <f t="shared" si="1"/>
        <v/>
      </c>
    </row>
    <row r="40" spans="1:7">
      <c r="A40">
        <v>37</v>
      </c>
      <c r="B40" s="46">
        <v>44234</v>
      </c>
      <c r="C40" s="269">
        <v>257.86934344740104</v>
      </c>
      <c r="D40" s="269">
        <v>125.57183874706618</v>
      </c>
      <c r="E40" s="177">
        <f t="shared" si="0"/>
        <v>125.57183874706618</v>
      </c>
      <c r="F40" s="199" t="str">
        <f t="shared" si="1"/>
        <v/>
      </c>
    </row>
    <row r="41" spans="1:7">
      <c r="A41">
        <v>38</v>
      </c>
      <c r="B41" s="46">
        <v>44235</v>
      </c>
      <c r="C41" s="269">
        <v>268.03851418739919</v>
      </c>
      <c r="D41" s="269">
        <v>125.57183874706618</v>
      </c>
      <c r="E41" s="177">
        <f t="shared" si="0"/>
        <v>125.57183874706618</v>
      </c>
      <c r="F41" s="199" t="str">
        <f t="shared" si="1"/>
        <v/>
      </c>
    </row>
    <row r="42" spans="1:7">
      <c r="A42">
        <v>39</v>
      </c>
      <c r="B42" s="46">
        <v>44236</v>
      </c>
      <c r="C42" s="269">
        <v>273.13360594139914</v>
      </c>
      <c r="D42" s="269">
        <v>125.57183874706618</v>
      </c>
      <c r="E42" s="177">
        <f t="shared" si="0"/>
        <v>125.57183874706618</v>
      </c>
      <c r="F42" s="199" t="str">
        <f t="shared" si="1"/>
        <v/>
      </c>
    </row>
    <row r="43" spans="1:7">
      <c r="A43">
        <v>40</v>
      </c>
      <c r="B43" s="46">
        <v>44237</v>
      </c>
      <c r="C43" s="269">
        <v>328.44078269002193</v>
      </c>
      <c r="D43" s="269">
        <v>125.57183874706618</v>
      </c>
      <c r="E43" s="177">
        <f t="shared" si="0"/>
        <v>125.57183874706618</v>
      </c>
      <c r="F43" s="199" t="str">
        <f t="shared" si="1"/>
        <v/>
      </c>
    </row>
    <row r="44" spans="1:7">
      <c r="A44">
        <v>41</v>
      </c>
      <c r="B44" s="46">
        <v>44238</v>
      </c>
      <c r="C44" s="269">
        <v>338.51009790801822</v>
      </c>
      <c r="D44" s="269">
        <v>125.57183874706618</v>
      </c>
      <c r="E44" s="177">
        <f t="shared" si="0"/>
        <v>125.57183874706618</v>
      </c>
      <c r="F44" s="199" t="str">
        <f t="shared" si="1"/>
        <v/>
      </c>
    </row>
    <row r="45" spans="1:7">
      <c r="A45">
        <v>42</v>
      </c>
      <c r="B45" s="46">
        <v>44239</v>
      </c>
      <c r="C45" s="269">
        <v>330.25560903802005</v>
      </c>
      <c r="D45" s="269">
        <v>125.57183874706618</v>
      </c>
      <c r="E45" s="177">
        <f t="shared" si="0"/>
        <v>125.57183874706618</v>
      </c>
      <c r="F45" s="199" t="str">
        <f t="shared" si="1"/>
        <v/>
      </c>
    </row>
    <row r="46" spans="1:7">
      <c r="A46">
        <v>43</v>
      </c>
      <c r="B46" s="46">
        <v>44240</v>
      </c>
      <c r="C46" s="269">
        <v>329.28507639802189</v>
      </c>
      <c r="D46" s="269">
        <v>125.57183874706618</v>
      </c>
      <c r="E46" s="177">
        <f t="shared" si="0"/>
        <v>125.57183874706618</v>
      </c>
      <c r="F46" s="199" t="str">
        <f t="shared" si="1"/>
        <v/>
      </c>
    </row>
    <row r="47" spans="1:7">
      <c r="A47">
        <v>44</v>
      </c>
      <c r="B47" s="46">
        <v>44241</v>
      </c>
      <c r="C47" s="269">
        <v>318.35546310201823</v>
      </c>
      <c r="D47" s="269">
        <v>125.57183874706618</v>
      </c>
      <c r="E47" s="177">
        <f t="shared" si="0"/>
        <v>125.57183874706618</v>
      </c>
      <c r="F47" s="199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</row>
    <row r="48" spans="1:7">
      <c r="A48">
        <v>45</v>
      </c>
      <c r="B48" s="46">
        <v>44242</v>
      </c>
      <c r="C48" s="269">
        <v>312.81087380202382</v>
      </c>
      <c r="D48" s="269">
        <v>125.57183874706618</v>
      </c>
      <c r="E48" s="177">
        <f t="shared" si="0"/>
        <v>125.57183874706618</v>
      </c>
      <c r="F48" s="199" t="str">
        <f t="shared" si="1"/>
        <v>F</v>
      </c>
      <c r="G48" s="200">
        <f>IF(DAY(B48)=15,D48,"")</f>
        <v>125.57183874706618</v>
      </c>
    </row>
    <row r="49" spans="1:6">
      <c r="A49">
        <v>46</v>
      </c>
      <c r="B49" s="46">
        <v>44243</v>
      </c>
      <c r="C49" s="269">
        <v>324.41229373601823</v>
      </c>
      <c r="D49" s="269">
        <v>125.57183874706618</v>
      </c>
      <c r="E49" s="177">
        <f t="shared" si="0"/>
        <v>125.57183874706618</v>
      </c>
      <c r="F49" s="199" t="str">
        <f t="shared" si="1"/>
        <v/>
      </c>
    </row>
    <row r="50" spans="1:6">
      <c r="A50">
        <v>47</v>
      </c>
      <c r="B50" s="46">
        <v>44244</v>
      </c>
      <c r="C50" s="269">
        <v>252.2720333414799</v>
      </c>
      <c r="D50" s="269">
        <v>125.57183874706618</v>
      </c>
      <c r="E50" s="177">
        <f t="shared" si="0"/>
        <v>125.57183874706618</v>
      </c>
      <c r="F50" s="199" t="str">
        <f t="shared" si="1"/>
        <v/>
      </c>
    </row>
    <row r="51" spans="1:6">
      <c r="A51">
        <v>48</v>
      </c>
      <c r="B51" s="46">
        <v>44245</v>
      </c>
      <c r="C51" s="269">
        <v>250.65055446548178</v>
      </c>
      <c r="D51" s="269">
        <v>125.57183874706618</v>
      </c>
      <c r="E51" s="177">
        <f t="shared" si="0"/>
        <v>125.57183874706618</v>
      </c>
      <c r="F51" s="199" t="str">
        <f t="shared" si="1"/>
        <v/>
      </c>
    </row>
    <row r="52" spans="1:6">
      <c r="A52">
        <v>49</v>
      </c>
      <c r="B52" s="46">
        <v>44246</v>
      </c>
      <c r="C52" s="269">
        <v>245.1453820234799</v>
      </c>
      <c r="D52" s="269">
        <v>125.57183874706618</v>
      </c>
      <c r="E52" s="177">
        <f t="shared" si="0"/>
        <v>125.57183874706618</v>
      </c>
      <c r="F52" s="199" t="str">
        <f t="shared" si="1"/>
        <v/>
      </c>
    </row>
    <row r="53" spans="1:6">
      <c r="A53">
        <v>50</v>
      </c>
      <c r="B53" s="46">
        <v>44247</v>
      </c>
      <c r="C53" s="269">
        <v>229.51409113947807</v>
      </c>
      <c r="D53" s="269">
        <v>125.57183874706618</v>
      </c>
      <c r="E53" s="177">
        <f t="shared" si="0"/>
        <v>125.57183874706618</v>
      </c>
      <c r="F53" s="199" t="str">
        <f t="shared" si="1"/>
        <v/>
      </c>
    </row>
    <row r="54" spans="1:6">
      <c r="A54">
        <v>51</v>
      </c>
      <c r="B54" s="46">
        <v>44248</v>
      </c>
      <c r="C54" s="269">
        <v>231.68638140947991</v>
      </c>
      <c r="D54" s="269">
        <v>125.57183874706618</v>
      </c>
      <c r="E54" s="177">
        <f t="shared" si="0"/>
        <v>125.57183874706618</v>
      </c>
      <c r="F54" s="199" t="str">
        <f t="shared" si="1"/>
        <v/>
      </c>
    </row>
    <row r="55" spans="1:6">
      <c r="A55">
        <v>52</v>
      </c>
      <c r="B55" s="46">
        <v>44249</v>
      </c>
      <c r="C55" s="269">
        <v>256.02700607347992</v>
      </c>
      <c r="D55" s="269">
        <v>125.57183874706618</v>
      </c>
      <c r="E55" s="177">
        <f t="shared" si="0"/>
        <v>125.57183874706618</v>
      </c>
      <c r="F55" s="199" t="str">
        <f t="shared" si="1"/>
        <v/>
      </c>
    </row>
    <row r="56" spans="1:6">
      <c r="A56">
        <v>53</v>
      </c>
      <c r="B56" s="46">
        <v>44250</v>
      </c>
      <c r="C56" s="269">
        <v>251.39888980148362</v>
      </c>
      <c r="D56" s="269">
        <v>125.57183874706618</v>
      </c>
      <c r="E56" s="177">
        <f t="shared" si="0"/>
        <v>125.57183874706618</v>
      </c>
      <c r="F56" s="199" t="str">
        <f t="shared" si="1"/>
        <v/>
      </c>
    </row>
    <row r="57" spans="1:6">
      <c r="A57">
        <v>54</v>
      </c>
      <c r="B57" s="46">
        <v>44251</v>
      </c>
      <c r="C57" s="269">
        <v>198.81831994217782</v>
      </c>
      <c r="D57" s="269">
        <v>125.57183874706618</v>
      </c>
      <c r="E57" s="177">
        <f t="shared" si="0"/>
        <v>125.57183874706618</v>
      </c>
      <c r="F57" s="199" t="str">
        <f t="shared" si="1"/>
        <v/>
      </c>
    </row>
    <row r="58" spans="1:6">
      <c r="A58">
        <v>55</v>
      </c>
      <c r="B58" s="46">
        <v>44252</v>
      </c>
      <c r="C58" s="269">
        <v>215.0682341041834</v>
      </c>
      <c r="D58" s="269">
        <v>125.57183874706618</v>
      </c>
      <c r="E58" s="177">
        <f t="shared" si="0"/>
        <v>125.57183874706618</v>
      </c>
      <c r="F58" s="199" t="str">
        <f t="shared" si="1"/>
        <v/>
      </c>
    </row>
    <row r="59" spans="1:6">
      <c r="A59">
        <v>56</v>
      </c>
      <c r="B59" s="46">
        <v>44253</v>
      </c>
      <c r="C59" s="269">
        <v>213.26360656817971</v>
      </c>
      <c r="D59" s="269">
        <v>125.57183874706618</v>
      </c>
      <c r="E59" s="177">
        <f t="shared" si="0"/>
        <v>125.57183874706618</v>
      </c>
      <c r="F59" s="199" t="str">
        <f t="shared" si="1"/>
        <v/>
      </c>
    </row>
    <row r="60" spans="1:6">
      <c r="A60">
        <v>57</v>
      </c>
      <c r="B60" s="46">
        <v>44254</v>
      </c>
      <c r="C60" s="269">
        <v>180.82028814617971</v>
      </c>
      <c r="D60" s="269">
        <v>125.57183874706618</v>
      </c>
      <c r="E60" s="177">
        <f t="shared" si="0"/>
        <v>125.57183874706618</v>
      </c>
      <c r="F60" s="199" t="str">
        <f t="shared" si="1"/>
        <v/>
      </c>
    </row>
    <row r="61" spans="1:6">
      <c r="A61">
        <v>58</v>
      </c>
      <c r="B61" s="46">
        <v>44255</v>
      </c>
      <c r="C61" s="269">
        <v>158.90246914818343</v>
      </c>
      <c r="D61" s="269">
        <v>125.57183874706618</v>
      </c>
      <c r="E61" s="177">
        <f t="shared" si="0"/>
        <v>125.57183874706618</v>
      </c>
      <c r="F61" s="199" t="str">
        <f t="shared" si="1"/>
        <v/>
      </c>
    </row>
    <row r="62" spans="1:6">
      <c r="A62">
        <v>59</v>
      </c>
      <c r="B62" s="46">
        <v>44256</v>
      </c>
      <c r="C62" s="269">
        <v>180.44046921617971</v>
      </c>
      <c r="D62" s="269">
        <v>136.7399554485423</v>
      </c>
      <c r="E62" s="177">
        <f t="shared" si="0"/>
        <v>136.7399554485423</v>
      </c>
      <c r="F62" s="199" t="str">
        <f t="shared" si="1"/>
        <v/>
      </c>
    </row>
    <row r="63" spans="1:6">
      <c r="A63">
        <v>60</v>
      </c>
      <c r="B63" s="46">
        <v>44257</v>
      </c>
      <c r="C63" s="269">
        <v>201.88812913417783</v>
      </c>
      <c r="D63" s="269">
        <v>136.7399554485423</v>
      </c>
      <c r="E63" s="177">
        <f t="shared" si="0"/>
        <v>136.7399554485423</v>
      </c>
      <c r="F63" s="199" t="str">
        <f t="shared" si="1"/>
        <v/>
      </c>
    </row>
    <row r="64" spans="1:6">
      <c r="A64">
        <v>61</v>
      </c>
      <c r="B64" s="46">
        <v>44258</v>
      </c>
      <c r="C64" s="269">
        <v>170.96450658492193</v>
      </c>
      <c r="D64" s="269">
        <v>136.7399554485423</v>
      </c>
      <c r="E64" s="177">
        <f t="shared" si="0"/>
        <v>136.7399554485423</v>
      </c>
      <c r="F64" s="199" t="str">
        <f t="shared" si="1"/>
        <v/>
      </c>
    </row>
    <row r="65" spans="1:7">
      <c r="A65">
        <v>62</v>
      </c>
      <c r="B65" s="46">
        <v>44259</v>
      </c>
      <c r="C65" s="269">
        <v>157.95344540092009</v>
      </c>
      <c r="D65" s="269">
        <v>136.7399554485423</v>
      </c>
      <c r="E65" s="177">
        <f t="shared" si="0"/>
        <v>136.7399554485423</v>
      </c>
      <c r="F65" s="199" t="str">
        <f t="shared" si="1"/>
        <v/>
      </c>
    </row>
    <row r="66" spans="1:7">
      <c r="A66">
        <v>63</v>
      </c>
      <c r="B66" s="46">
        <v>44260</v>
      </c>
      <c r="C66" s="269">
        <v>146.90218992091823</v>
      </c>
      <c r="D66" s="269">
        <v>136.7399554485423</v>
      </c>
      <c r="E66" s="177">
        <f t="shared" si="0"/>
        <v>136.7399554485423</v>
      </c>
      <c r="F66" s="199" t="str">
        <f t="shared" si="1"/>
        <v/>
      </c>
    </row>
    <row r="67" spans="1:7">
      <c r="A67">
        <v>64</v>
      </c>
      <c r="B67" s="46">
        <v>44261</v>
      </c>
      <c r="C67" s="269">
        <v>129.03140171292009</v>
      </c>
      <c r="D67" s="269">
        <v>136.7399554485423</v>
      </c>
      <c r="E67" s="177">
        <f t="shared" si="0"/>
        <v>129.03140171292009</v>
      </c>
      <c r="F67" s="199" t="str">
        <f t="shared" si="1"/>
        <v/>
      </c>
    </row>
    <row r="68" spans="1:7">
      <c r="A68">
        <v>65</v>
      </c>
      <c r="B68" s="46">
        <v>44262</v>
      </c>
      <c r="C68" s="269">
        <v>122.20862098892007</v>
      </c>
      <c r="D68" s="269">
        <v>136.7399554485423</v>
      </c>
      <c r="E68" s="177">
        <f t="shared" ref="E68:E131" si="2">IF(C68&lt;D68,C68,D68)</f>
        <v>122.20862098892007</v>
      </c>
      <c r="F68" s="199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44263</v>
      </c>
      <c r="C69" s="269">
        <v>153.32061997692009</v>
      </c>
      <c r="D69" s="269">
        <v>136.7399554485423</v>
      </c>
      <c r="E69" s="177">
        <f t="shared" si="2"/>
        <v>136.7399554485423</v>
      </c>
      <c r="F69" s="199" t="str">
        <f t="shared" si="3"/>
        <v/>
      </c>
    </row>
    <row r="70" spans="1:7">
      <c r="A70">
        <v>67</v>
      </c>
      <c r="B70" s="46">
        <v>44264</v>
      </c>
      <c r="C70" s="269">
        <v>149.23340450492009</v>
      </c>
      <c r="D70" s="269">
        <v>136.7399554485423</v>
      </c>
      <c r="E70" s="177">
        <f t="shared" si="2"/>
        <v>136.7399554485423</v>
      </c>
      <c r="F70" s="199" t="str">
        <f t="shared" si="3"/>
        <v/>
      </c>
    </row>
    <row r="71" spans="1:7">
      <c r="A71">
        <v>68</v>
      </c>
      <c r="B71" s="46">
        <v>44265</v>
      </c>
      <c r="C71" s="269">
        <v>129.11765964011255</v>
      </c>
      <c r="D71" s="269">
        <v>136.7399554485423</v>
      </c>
      <c r="E71" s="177">
        <f t="shared" si="2"/>
        <v>129.11765964011255</v>
      </c>
      <c r="F71" s="199" t="str">
        <f t="shared" si="3"/>
        <v/>
      </c>
    </row>
    <row r="72" spans="1:7">
      <c r="A72">
        <v>69</v>
      </c>
      <c r="B72" s="46">
        <v>44266</v>
      </c>
      <c r="C72" s="269">
        <v>101.24274598610882</v>
      </c>
      <c r="D72" s="269">
        <v>136.7399554485423</v>
      </c>
      <c r="E72" s="177">
        <f t="shared" si="2"/>
        <v>101.24274598610882</v>
      </c>
      <c r="F72" s="199" t="str">
        <f t="shared" si="3"/>
        <v/>
      </c>
    </row>
    <row r="73" spans="1:7">
      <c r="A73">
        <v>70</v>
      </c>
      <c r="B73" s="46">
        <v>44267</v>
      </c>
      <c r="C73" s="269">
        <v>100.59386583211254</v>
      </c>
      <c r="D73" s="269">
        <v>136.7399554485423</v>
      </c>
      <c r="E73" s="177">
        <f t="shared" si="2"/>
        <v>100.59386583211254</v>
      </c>
      <c r="F73" s="199" t="str">
        <f t="shared" si="3"/>
        <v/>
      </c>
    </row>
    <row r="74" spans="1:7">
      <c r="A74">
        <v>71</v>
      </c>
      <c r="B74" s="46">
        <v>44268</v>
      </c>
      <c r="C74" s="269">
        <v>72.327119336108822</v>
      </c>
      <c r="D74" s="269">
        <v>136.7399554485423</v>
      </c>
      <c r="E74" s="177">
        <f t="shared" si="2"/>
        <v>72.327119336108822</v>
      </c>
      <c r="F74" s="199" t="str">
        <f t="shared" si="3"/>
        <v/>
      </c>
    </row>
    <row r="75" spans="1:7">
      <c r="A75">
        <v>72</v>
      </c>
      <c r="B75" s="46">
        <v>44269</v>
      </c>
      <c r="C75" s="269">
        <v>68.551170946110673</v>
      </c>
      <c r="D75" s="269">
        <v>136.7399554485423</v>
      </c>
      <c r="E75" s="177">
        <f t="shared" si="2"/>
        <v>68.551170946110673</v>
      </c>
      <c r="F75" s="199" t="str">
        <f t="shared" si="3"/>
        <v/>
      </c>
    </row>
    <row r="76" spans="1:7">
      <c r="A76">
        <v>73</v>
      </c>
      <c r="B76" s="46">
        <v>44270</v>
      </c>
      <c r="C76" s="269">
        <v>105.40515978611255</v>
      </c>
      <c r="D76" s="269">
        <v>136.7399554485423</v>
      </c>
      <c r="E76" s="177">
        <f t="shared" si="2"/>
        <v>105.40515978611255</v>
      </c>
      <c r="F76" s="199" t="str">
        <f t="shared" si="3"/>
        <v>M</v>
      </c>
      <c r="G76" s="200">
        <f>IF(DAY(B76)=15,D76,"")</f>
        <v>136.7399554485423</v>
      </c>
    </row>
    <row r="77" spans="1:7">
      <c r="A77">
        <v>74</v>
      </c>
      <c r="B77" s="46">
        <v>44271</v>
      </c>
      <c r="C77" s="269">
        <v>84.462778064108818</v>
      </c>
      <c r="D77" s="269">
        <v>136.7399554485423</v>
      </c>
      <c r="E77" s="177">
        <f t="shared" si="2"/>
        <v>84.462778064108818</v>
      </c>
      <c r="F77" s="199" t="str">
        <f t="shared" si="3"/>
        <v/>
      </c>
    </row>
    <row r="78" spans="1:7">
      <c r="A78">
        <v>75</v>
      </c>
      <c r="B78" s="46">
        <v>44272</v>
      </c>
      <c r="C78" s="269">
        <v>78.694627249169685</v>
      </c>
      <c r="D78" s="269">
        <v>136.7399554485423</v>
      </c>
      <c r="E78" s="177">
        <f t="shared" si="2"/>
        <v>78.694627249169685</v>
      </c>
      <c r="F78" s="199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/>
      </c>
    </row>
    <row r="79" spans="1:7">
      <c r="A79">
        <v>76</v>
      </c>
      <c r="B79" s="46">
        <v>44273</v>
      </c>
      <c r="C79" s="269">
        <v>91.903880105165968</v>
      </c>
      <c r="D79" s="269">
        <v>136.7399554485423</v>
      </c>
      <c r="E79" s="177">
        <f t="shared" si="2"/>
        <v>91.903880105165968</v>
      </c>
      <c r="F79" s="199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/>
      </c>
    </row>
    <row r="80" spans="1:7">
      <c r="A80">
        <v>77</v>
      </c>
      <c r="B80" s="46">
        <v>44274</v>
      </c>
      <c r="C80" s="269">
        <v>86.793806863165969</v>
      </c>
      <c r="D80" s="269">
        <v>136.7399554485423</v>
      </c>
      <c r="E80" s="177">
        <f t="shared" si="2"/>
        <v>86.793806863165969</v>
      </c>
      <c r="F80" s="199" t="str">
        <f t="shared" si="3"/>
        <v/>
      </c>
    </row>
    <row r="81" spans="1:6">
      <c r="A81">
        <v>78</v>
      </c>
      <c r="B81" s="46">
        <v>44275</v>
      </c>
      <c r="C81" s="269">
        <v>43.181008023169689</v>
      </c>
      <c r="D81" s="269">
        <v>136.7399554485423</v>
      </c>
      <c r="E81" s="177">
        <f t="shared" si="2"/>
        <v>43.181008023169689</v>
      </c>
      <c r="F81" s="199" t="str">
        <f t="shared" si="3"/>
        <v/>
      </c>
    </row>
    <row r="82" spans="1:6">
      <c r="A82">
        <v>79</v>
      </c>
      <c r="B82" s="46">
        <v>44276</v>
      </c>
      <c r="C82" s="269">
        <v>48.583970891164107</v>
      </c>
      <c r="D82" s="269">
        <v>136.7399554485423</v>
      </c>
      <c r="E82" s="177">
        <f t="shared" si="2"/>
        <v>48.583970891164107</v>
      </c>
      <c r="F82" s="199" t="str">
        <f t="shared" si="3"/>
        <v/>
      </c>
    </row>
    <row r="83" spans="1:6">
      <c r="A83">
        <v>80</v>
      </c>
      <c r="B83" s="46">
        <v>44277</v>
      </c>
      <c r="C83" s="269">
        <v>100.21419246116783</v>
      </c>
      <c r="D83" s="269">
        <v>136.7399554485423</v>
      </c>
      <c r="E83" s="177">
        <f t="shared" si="2"/>
        <v>100.21419246116783</v>
      </c>
      <c r="F83" s="199" t="str">
        <f t="shared" si="3"/>
        <v/>
      </c>
    </row>
    <row r="84" spans="1:6">
      <c r="A84">
        <v>81</v>
      </c>
      <c r="B84" s="46">
        <v>44278</v>
      </c>
      <c r="C84" s="269">
        <v>123.68496788916784</v>
      </c>
      <c r="D84" s="269">
        <v>136.7399554485423</v>
      </c>
      <c r="E84" s="177">
        <f t="shared" si="2"/>
        <v>123.68496788916784</v>
      </c>
      <c r="F84" s="199" t="str">
        <f t="shared" si="3"/>
        <v/>
      </c>
    </row>
    <row r="85" spans="1:6">
      <c r="A85">
        <v>82</v>
      </c>
      <c r="B85" s="46">
        <v>44279</v>
      </c>
      <c r="C85" s="269">
        <v>101.77382673701705</v>
      </c>
      <c r="D85" s="269">
        <v>136.7399554485423</v>
      </c>
      <c r="E85" s="177">
        <f t="shared" si="2"/>
        <v>101.77382673701705</v>
      </c>
      <c r="F85" s="199" t="str">
        <f t="shared" si="3"/>
        <v/>
      </c>
    </row>
    <row r="86" spans="1:6">
      <c r="A86">
        <v>83</v>
      </c>
      <c r="B86" s="46">
        <v>44280</v>
      </c>
      <c r="C86" s="269">
        <v>101.07529431301704</v>
      </c>
      <c r="D86" s="269">
        <v>136.7399554485423</v>
      </c>
      <c r="E86" s="177">
        <f t="shared" si="2"/>
        <v>101.07529431301704</v>
      </c>
      <c r="F86" s="199" t="str">
        <f t="shared" si="3"/>
        <v/>
      </c>
    </row>
    <row r="87" spans="1:6">
      <c r="A87">
        <v>84</v>
      </c>
      <c r="B87" s="46">
        <v>44281</v>
      </c>
      <c r="C87" s="269">
        <v>86.702990501018917</v>
      </c>
      <c r="D87" s="269">
        <v>136.7399554485423</v>
      </c>
      <c r="E87" s="177">
        <f t="shared" si="2"/>
        <v>86.702990501018917</v>
      </c>
      <c r="F87" s="199" t="str">
        <f t="shared" si="3"/>
        <v/>
      </c>
    </row>
    <row r="88" spans="1:6">
      <c r="A88">
        <v>85</v>
      </c>
      <c r="B88" s="46">
        <v>44282</v>
      </c>
      <c r="C88" s="269">
        <v>52.272516185018915</v>
      </c>
      <c r="D88" s="269">
        <v>136.7399554485423</v>
      </c>
      <c r="E88" s="177">
        <f t="shared" si="2"/>
        <v>52.272516185018915</v>
      </c>
      <c r="F88" s="199" t="str">
        <f t="shared" si="3"/>
        <v/>
      </c>
    </row>
    <row r="89" spans="1:6">
      <c r="A89">
        <v>86</v>
      </c>
      <c r="B89" s="46">
        <v>44283</v>
      </c>
      <c r="C89" s="269">
        <v>22.482826741017053</v>
      </c>
      <c r="D89" s="269">
        <v>136.7399554485423</v>
      </c>
      <c r="E89" s="177">
        <f t="shared" si="2"/>
        <v>22.482826741017053</v>
      </c>
      <c r="F89" s="199" t="str">
        <f t="shared" si="3"/>
        <v/>
      </c>
    </row>
    <row r="90" spans="1:6">
      <c r="A90">
        <v>87</v>
      </c>
      <c r="B90" s="46">
        <v>44284</v>
      </c>
      <c r="C90" s="269">
        <v>50.266185601017057</v>
      </c>
      <c r="D90" s="269">
        <v>136.7399554485423</v>
      </c>
      <c r="E90" s="177">
        <f t="shared" si="2"/>
        <v>50.266185601017057</v>
      </c>
      <c r="F90" s="199" t="str">
        <f t="shared" si="3"/>
        <v/>
      </c>
    </row>
    <row r="91" spans="1:6">
      <c r="A91">
        <v>88</v>
      </c>
      <c r="B91" s="46">
        <v>44285</v>
      </c>
      <c r="C91" s="269">
        <v>60.653618513017051</v>
      </c>
      <c r="D91" s="269">
        <v>136.7399554485423</v>
      </c>
      <c r="E91" s="177">
        <f t="shared" si="2"/>
        <v>60.653618513017051</v>
      </c>
      <c r="F91" s="199" t="str">
        <f t="shared" si="3"/>
        <v/>
      </c>
    </row>
    <row r="92" spans="1:6">
      <c r="A92">
        <v>89</v>
      </c>
      <c r="B92" s="46">
        <v>44286</v>
      </c>
      <c r="C92" s="269">
        <v>75.173001266482387</v>
      </c>
      <c r="D92" s="269">
        <v>136.7399554485423</v>
      </c>
      <c r="E92" s="177">
        <f t="shared" si="2"/>
        <v>75.173001266482387</v>
      </c>
      <c r="F92" s="199" t="str">
        <f t="shared" si="3"/>
        <v/>
      </c>
    </row>
    <row r="93" spans="1:6">
      <c r="A93">
        <v>90</v>
      </c>
      <c r="B93" s="46">
        <v>44287</v>
      </c>
      <c r="C93" s="269">
        <v>63.751534450480527</v>
      </c>
      <c r="D93" s="269">
        <v>128.52573371940508</v>
      </c>
      <c r="E93" s="177">
        <f t="shared" si="2"/>
        <v>63.751534450480527</v>
      </c>
      <c r="F93" s="199" t="str">
        <f t="shared" si="3"/>
        <v/>
      </c>
    </row>
    <row r="94" spans="1:6">
      <c r="A94">
        <v>91</v>
      </c>
      <c r="B94" s="46">
        <v>44288</v>
      </c>
      <c r="C94" s="269">
        <v>65.469556810482388</v>
      </c>
      <c r="D94" s="269">
        <v>128.52573371940508</v>
      </c>
      <c r="E94" s="177">
        <f t="shared" si="2"/>
        <v>65.469556810482388</v>
      </c>
      <c r="F94" s="199" t="str">
        <f t="shared" si="3"/>
        <v/>
      </c>
    </row>
    <row r="95" spans="1:6">
      <c r="A95">
        <v>92</v>
      </c>
      <c r="B95" s="46">
        <v>44289</v>
      </c>
      <c r="C95" s="269">
        <v>42.394872066480531</v>
      </c>
      <c r="D95" s="269">
        <v>128.52573371940508</v>
      </c>
      <c r="E95" s="177">
        <f t="shared" si="2"/>
        <v>42.394872066480531</v>
      </c>
      <c r="F95" s="199" t="str">
        <f t="shared" si="3"/>
        <v/>
      </c>
    </row>
    <row r="96" spans="1:6">
      <c r="A96">
        <v>93</v>
      </c>
      <c r="B96" s="46">
        <v>44290</v>
      </c>
      <c r="C96" s="269">
        <v>41.921852302478669</v>
      </c>
      <c r="D96" s="269">
        <v>128.52573371940508</v>
      </c>
      <c r="E96" s="177">
        <f t="shared" si="2"/>
        <v>41.921852302478669</v>
      </c>
      <c r="F96" s="199" t="str">
        <f t="shared" si="3"/>
        <v/>
      </c>
    </row>
    <row r="97" spans="1:7">
      <c r="A97">
        <v>94</v>
      </c>
      <c r="B97" s="46">
        <v>44291</v>
      </c>
      <c r="C97" s="269">
        <v>57.354918402480529</v>
      </c>
      <c r="D97" s="269">
        <v>128.52573371940508</v>
      </c>
      <c r="E97" s="177">
        <f t="shared" si="2"/>
        <v>57.354918402480529</v>
      </c>
      <c r="F97" s="199" t="str">
        <f t="shared" si="3"/>
        <v/>
      </c>
    </row>
    <row r="98" spans="1:7">
      <c r="A98">
        <v>95</v>
      </c>
      <c r="B98" s="46">
        <v>44292</v>
      </c>
      <c r="C98" s="269">
        <v>72.645776494480529</v>
      </c>
      <c r="D98" s="269">
        <v>128.52573371940508</v>
      </c>
      <c r="E98" s="177">
        <f t="shared" si="2"/>
        <v>72.645776494480529</v>
      </c>
      <c r="F98" s="199" t="str">
        <f t="shared" si="3"/>
        <v/>
      </c>
    </row>
    <row r="99" spans="1:7">
      <c r="A99">
        <v>96</v>
      </c>
      <c r="B99" s="46">
        <v>44293</v>
      </c>
      <c r="C99" s="269">
        <v>73.096940716146577</v>
      </c>
      <c r="D99" s="269">
        <v>128.52573371940508</v>
      </c>
      <c r="E99" s="177">
        <f t="shared" si="2"/>
        <v>73.096940716146577</v>
      </c>
      <c r="F99" s="199" t="str">
        <f t="shared" si="3"/>
        <v/>
      </c>
    </row>
    <row r="100" spans="1:7">
      <c r="A100">
        <v>97</v>
      </c>
      <c r="B100" s="46">
        <v>44294</v>
      </c>
      <c r="C100" s="269">
        <v>97.066670200148423</v>
      </c>
      <c r="D100" s="269">
        <v>128.52573371940508</v>
      </c>
      <c r="E100" s="177">
        <f t="shared" si="2"/>
        <v>97.066670200148423</v>
      </c>
      <c r="F100" s="199" t="str">
        <f t="shared" si="3"/>
        <v/>
      </c>
    </row>
    <row r="101" spans="1:7">
      <c r="A101">
        <v>98</v>
      </c>
      <c r="B101" s="46">
        <v>44295</v>
      </c>
      <c r="C101" s="269">
        <v>89.110312520142855</v>
      </c>
      <c r="D101" s="269">
        <v>128.52573371940508</v>
      </c>
      <c r="E101" s="177">
        <f t="shared" si="2"/>
        <v>89.110312520142855</v>
      </c>
      <c r="F101" s="199" t="str">
        <f t="shared" si="3"/>
        <v/>
      </c>
    </row>
    <row r="102" spans="1:7">
      <c r="A102">
        <v>99</v>
      </c>
      <c r="B102" s="46">
        <v>44296</v>
      </c>
      <c r="C102" s="269">
        <v>59.675219168146576</v>
      </c>
      <c r="D102" s="269">
        <v>128.52573371940508</v>
      </c>
      <c r="E102" s="177">
        <f t="shared" si="2"/>
        <v>59.675219168146576</v>
      </c>
      <c r="F102" s="199" t="str">
        <f t="shared" si="3"/>
        <v/>
      </c>
    </row>
    <row r="103" spans="1:7">
      <c r="A103">
        <v>100</v>
      </c>
      <c r="B103" s="46">
        <v>44297</v>
      </c>
      <c r="C103" s="269">
        <v>36.012027652150294</v>
      </c>
      <c r="D103" s="269">
        <v>128.52573371940508</v>
      </c>
      <c r="E103" s="177">
        <f t="shared" si="2"/>
        <v>36.012027652150294</v>
      </c>
      <c r="F103" s="199" t="str">
        <f t="shared" si="3"/>
        <v/>
      </c>
    </row>
    <row r="104" spans="1:7">
      <c r="A104">
        <v>101</v>
      </c>
      <c r="B104" s="46">
        <v>44298</v>
      </c>
      <c r="C104" s="269">
        <v>71.971308904144706</v>
      </c>
      <c r="D104" s="269">
        <v>128.52573371940508</v>
      </c>
      <c r="E104" s="177">
        <f t="shared" si="2"/>
        <v>71.971308904144706</v>
      </c>
      <c r="F104" s="199" t="str">
        <f t="shared" si="3"/>
        <v/>
      </c>
    </row>
    <row r="105" spans="1:7">
      <c r="A105">
        <v>102</v>
      </c>
      <c r="B105" s="46">
        <v>44299</v>
      </c>
      <c r="C105" s="269">
        <v>87.947210396146573</v>
      </c>
      <c r="D105" s="269">
        <v>128.52573371940508</v>
      </c>
      <c r="E105" s="177">
        <f t="shared" si="2"/>
        <v>87.947210396146573</v>
      </c>
      <c r="F105" s="199" t="str">
        <f t="shared" si="3"/>
        <v/>
      </c>
    </row>
    <row r="106" spans="1:7">
      <c r="A106">
        <v>103</v>
      </c>
      <c r="B106" s="46">
        <v>44300</v>
      </c>
      <c r="C106" s="269">
        <v>74.086402859665498</v>
      </c>
      <c r="D106" s="269">
        <v>128.52573371940508</v>
      </c>
      <c r="E106" s="177">
        <f t="shared" si="2"/>
        <v>74.086402859665498</v>
      </c>
      <c r="F106" s="199" t="str">
        <f t="shared" si="3"/>
        <v/>
      </c>
    </row>
    <row r="107" spans="1:7">
      <c r="A107">
        <v>104</v>
      </c>
      <c r="B107" s="46">
        <v>44301</v>
      </c>
      <c r="C107" s="269">
        <v>65.578525103665498</v>
      </c>
      <c r="D107" s="269">
        <v>128.52573371940508</v>
      </c>
      <c r="E107" s="177">
        <f t="shared" si="2"/>
        <v>65.578525103665498</v>
      </c>
      <c r="F107" s="199" t="str">
        <f t="shared" si="3"/>
        <v>A</v>
      </c>
      <c r="G107" s="200">
        <f>IF(DAY(B107)=15,D107,"")</f>
        <v>128.52573371940508</v>
      </c>
    </row>
    <row r="108" spans="1:7">
      <c r="A108">
        <v>105</v>
      </c>
      <c r="B108" s="46">
        <v>44302</v>
      </c>
      <c r="C108" s="269">
        <v>52.699597831667354</v>
      </c>
      <c r="D108" s="269">
        <v>128.52573371940508</v>
      </c>
      <c r="E108" s="177">
        <f t="shared" si="2"/>
        <v>52.699597831667354</v>
      </c>
      <c r="F108" s="199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44303</v>
      </c>
      <c r="C109" s="269">
        <v>28.046403551661772</v>
      </c>
      <c r="D109" s="269">
        <v>128.52573371940508</v>
      </c>
      <c r="E109" s="177">
        <f t="shared" si="2"/>
        <v>28.046403551661772</v>
      </c>
      <c r="F109" s="199" t="str">
        <f t="shared" si="3"/>
        <v/>
      </c>
    </row>
    <row r="110" spans="1:7">
      <c r="A110">
        <v>107</v>
      </c>
      <c r="B110" s="46">
        <v>44304</v>
      </c>
      <c r="C110" s="269">
        <v>25.635951475665497</v>
      </c>
      <c r="D110" s="269">
        <v>128.52573371940508</v>
      </c>
      <c r="E110" s="177">
        <f t="shared" si="2"/>
        <v>25.635951475665497</v>
      </c>
      <c r="F110" s="199" t="str">
        <f t="shared" si="3"/>
        <v/>
      </c>
    </row>
    <row r="111" spans="1:7">
      <c r="A111">
        <v>108</v>
      </c>
      <c r="B111" s="46">
        <v>44305</v>
      </c>
      <c r="C111" s="269">
        <v>67.719343807665496</v>
      </c>
      <c r="D111" s="269">
        <v>128.52573371940508</v>
      </c>
      <c r="E111" s="177">
        <f t="shared" si="2"/>
        <v>67.719343807665496</v>
      </c>
      <c r="F111" s="199" t="str">
        <f t="shared" si="3"/>
        <v/>
      </c>
    </row>
    <row r="112" spans="1:7">
      <c r="A112">
        <v>109</v>
      </c>
      <c r="B112" s="46">
        <v>44306</v>
      </c>
      <c r="C112" s="269">
        <v>64.315226755665492</v>
      </c>
      <c r="D112" s="269">
        <v>128.52573371940508</v>
      </c>
      <c r="E112" s="177">
        <f t="shared" si="2"/>
        <v>64.315226755665492</v>
      </c>
      <c r="F112" s="199" t="str">
        <f t="shared" si="3"/>
        <v/>
      </c>
    </row>
    <row r="113" spans="1:6">
      <c r="A113">
        <v>110</v>
      </c>
      <c r="B113" s="46">
        <v>44307</v>
      </c>
      <c r="C113" s="269">
        <v>77.320690818515956</v>
      </c>
      <c r="D113" s="269">
        <v>128.52573371940508</v>
      </c>
      <c r="E113" s="177">
        <f t="shared" si="2"/>
        <v>77.320690818515956</v>
      </c>
      <c r="F113" s="199" t="str">
        <f t="shared" si="3"/>
        <v/>
      </c>
    </row>
    <row r="114" spans="1:6">
      <c r="A114">
        <v>111</v>
      </c>
      <c r="B114" s="46">
        <v>44308</v>
      </c>
      <c r="C114" s="269">
        <v>70.427260162521549</v>
      </c>
      <c r="D114" s="269">
        <v>128.52573371940508</v>
      </c>
      <c r="E114" s="177">
        <f t="shared" si="2"/>
        <v>70.427260162521549</v>
      </c>
      <c r="F114" s="199" t="str">
        <f t="shared" si="3"/>
        <v/>
      </c>
    </row>
    <row r="115" spans="1:6">
      <c r="A115">
        <v>112</v>
      </c>
      <c r="B115" s="46">
        <v>44309</v>
      </c>
      <c r="C115" s="269">
        <v>33.338680286519683</v>
      </c>
      <c r="D115" s="269">
        <v>128.52573371940508</v>
      </c>
      <c r="E115" s="177">
        <f t="shared" si="2"/>
        <v>33.338680286519683</v>
      </c>
      <c r="F115" s="199" t="str">
        <f t="shared" si="3"/>
        <v/>
      </c>
    </row>
    <row r="116" spans="1:6">
      <c r="A116">
        <v>113</v>
      </c>
      <c r="B116" s="46">
        <v>44310</v>
      </c>
      <c r="C116" s="269">
        <v>20.936699170515961</v>
      </c>
      <c r="D116" s="269">
        <v>128.52573371940508</v>
      </c>
      <c r="E116" s="177">
        <f t="shared" si="2"/>
        <v>20.936699170515961</v>
      </c>
      <c r="F116" s="199" t="str">
        <f t="shared" si="3"/>
        <v/>
      </c>
    </row>
    <row r="117" spans="1:6">
      <c r="A117">
        <v>114</v>
      </c>
      <c r="B117" s="46">
        <v>44311</v>
      </c>
      <c r="C117" s="269">
        <v>29.937314190521544</v>
      </c>
      <c r="D117" s="269">
        <v>128.52573371940508</v>
      </c>
      <c r="E117" s="177">
        <f t="shared" si="2"/>
        <v>29.937314190521544</v>
      </c>
      <c r="F117" s="199" t="str">
        <f t="shared" si="3"/>
        <v/>
      </c>
    </row>
    <row r="118" spans="1:6">
      <c r="A118">
        <v>115</v>
      </c>
      <c r="B118" s="46">
        <v>44312</v>
      </c>
      <c r="C118" s="269">
        <v>70.087260902517826</v>
      </c>
      <c r="D118" s="269">
        <v>128.52573371940508</v>
      </c>
      <c r="E118" s="177">
        <f t="shared" si="2"/>
        <v>70.087260902517826</v>
      </c>
      <c r="F118" s="199" t="str">
        <f t="shared" si="3"/>
        <v/>
      </c>
    </row>
    <row r="119" spans="1:6">
      <c r="A119">
        <v>116</v>
      </c>
      <c r="B119" s="46">
        <v>44313</v>
      </c>
      <c r="C119" s="269">
        <v>69.586048770521543</v>
      </c>
      <c r="D119" s="269">
        <v>128.52573371940508</v>
      </c>
      <c r="E119" s="177">
        <f t="shared" si="2"/>
        <v>69.586048770521543</v>
      </c>
      <c r="F119" s="199" t="str">
        <f t="shared" si="3"/>
        <v/>
      </c>
    </row>
    <row r="120" spans="1:6">
      <c r="A120">
        <v>117</v>
      </c>
      <c r="B120" s="46">
        <v>44314</v>
      </c>
      <c r="C120" s="269">
        <v>94.811123895477394</v>
      </c>
      <c r="D120" s="269">
        <v>128.52573371940508</v>
      </c>
      <c r="E120" s="177">
        <f t="shared" si="2"/>
        <v>94.811123895477394</v>
      </c>
      <c r="F120" s="199" t="str">
        <f t="shared" si="3"/>
        <v/>
      </c>
    </row>
    <row r="121" spans="1:6">
      <c r="A121">
        <v>118</v>
      </c>
      <c r="B121" s="46">
        <v>44315</v>
      </c>
      <c r="C121" s="269">
        <v>98.495314667479249</v>
      </c>
      <c r="D121" s="269">
        <v>128.52573371940508</v>
      </c>
      <c r="E121" s="177">
        <f t="shared" si="2"/>
        <v>98.495314667479249</v>
      </c>
      <c r="F121" s="199" t="str">
        <f t="shared" si="3"/>
        <v/>
      </c>
    </row>
    <row r="122" spans="1:6">
      <c r="A122">
        <v>119</v>
      </c>
      <c r="B122" s="46">
        <v>44316</v>
      </c>
      <c r="C122" s="269">
        <v>95.389489947479262</v>
      </c>
      <c r="D122" s="269">
        <v>128.52573371940508</v>
      </c>
      <c r="E122" s="177">
        <f t="shared" si="2"/>
        <v>95.389489947479262</v>
      </c>
      <c r="F122" s="199" t="str">
        <f t="shared" si="3"/>
        <v/>
      </c>
    </row>
    <row r="123" spans="1:6">
      <c r="A123">
        <v>120</v>
      </c>
      <c r="B123" s="46">
        <v>44317</v>
      </c>
      <c r="C123" s="269">
        <v>42.14744966347925</v>
      </c>
      <c r="D123" s="269">
        <v>101.55332277089387</v>
      </c>
      <c r="E123" s="177">
        <f t="shared" si="2"/>
        <v>42.14744966347925</v>
      </c>
      <c r="F123" s="199" t="str">
        <f t="shared" si="3"/>
        <v/>
      </c>
    </row>
    <row r="124" spans="1:6">
      <c r="A124">
        <v>121</v>
      </c>
      <c r="B124" s="46">
        <v>44318</v>
      </c>
      <c r="C124" s="269">
        <v>37.57853361947739</v>
      </c>
      <c r="D124" s="269">
        <v>101.55332277089387</v>
      </c>
      <c r="E124" s="177">
        <f t="shared" si="2"/>
        <v>37.57853361947739</v>
      </c>
      <c r="F124" s="199" t="str">
        <f t="shared" si="3"/>
        <v/>
      </c>
    </row>
    <row r="125" spans="1:6">
      <c r="A125">
        <v>122</v>
      </c>
      <c r="B125" s="46">
        <v>44319</v>
      </c>
      <c r="C125" s="269">
        <v>62.326994219481115</v>
      </c>
      <c r="D125" s="269">
        <v>101.55332277089387</v>
      </c>
      <c r="E125" s="177">
        <f t="shared" si="2"/>
        <v>62.326994219481115</v>
      </c>
      <c r="F125" s="199" t="str">
        <f t="shared" si="3"/>
        <v/>
      </c>
    </row>
    <row r="126" spans="1:6">
      <c r="A126">
        <v>123</v>
      </c>
      <c r="B126" s="46">
        <v>44320</v>
      </c>
      <c r="C126" s="269">
        <v>72.05960744347739</v>
      </c>
      <c r="D126" s="269">
        <v>101.55332277089387</v>
      </c>
      <c r="E126" s="177">
        <f t="shared" si="2"/>
        <v>72.05960744347739</v>
      </c>
      <c r="F126" s="199" t="str">
        <f t="shared" si="3"/>
        <v/>
      </c>
    </row>
    <row r="127" spans="1:6">
      <c r="A127">
        <v>124</v>
      </c>
      <c r="B127" s="46">
        <v>44321</v>
      </c>
      <c r="C127" s="269">
        <v>64.887411791812966</v>
      </c>
      <c r="D127" s="269">
        <v>101.55332277089387</v>
      </c>
      <c r="E127" s="177">
        <f t="shared" si="2"/>
        <v>64.887411791812966</v>
      </c>
      <c r="F127" s="199" t="str">
        <f t="shared" si="3"/>
        <v/>
      </c>
    </row>
    <row r="128" spans="1:6">
      <c r="A128">
        <v>125</v>
      </c>
      <c r="B128" s="46">
        <v>44322</v>
      </c>
      <c r="C128" s="269">
        <v>60.964489771811103</v>
      </c>
      <c r="D128" s="269">
        <v>101.55332277089387</v>
      </c>
      <c r="E128" s="177">
        <f t="shared" si="2"/>
        <v>60.964489771811103</v>
      </c>
      <c r="F128" s="199" t="str">
        <f t="shared" si="3"/>
        <v/>
      </c>
    </row>
    <row r="129" spans="1:7">
      <c r="A129">
        <v>126</v>
      </c>
      <c r="B129" s="46">
        <v>44323</v>
      </c>
      <c r="C129" s="269">
        <v>70.575137851807369</v>
      </c>
      <c r="D129" s="269">
        <v>101.55332277089387</v>
      </c>
      <c r="E129" s="177">
        <f t="shared" si="2"/>
        <v>70.575137851807369</v>
      </c>
      <c r="F129" s="199" t="str">
        <f t="shared" si="3"/>
        <v/>
      </c>
    </row>
    <row r="130" spans="1:7">
      <c r="A130">
        <v>127</v>
      </c>
      <c r="B130" s="46">
        <v>44324</v>
      </c>
      <c r="C130" s="269">
        <v>41.411219935811111</v>
      </c>
      <c r="D130" s="269">
        <v>101.55332277089387</v>
      </c>
      <c r="E130" s="177">
        <f t="shared" si="2"/>
        <v>41.411219935811111</v>
      </c>
      <c r="F130" s="199" t="str">
        <f t="shared" si="3"/>
        <v/>
      </c>
    </row>
    <row r="131" spans="1:7">
      <c r="A131">
        <v>128</v>
      </c>
      <c r="B131" s="46">
        <v>44325</v>
      </c>
      <c r="C131" s="269">
        <v>41.354351751809247</v>
      </c>
      <c r="D131" s="269">
        <v>101.55332277089387</v>
      </c>
      <c r="E131" s="177">
        <f t="shared" si="2"/>
        <v>41.354351751809247</v>
      </c>
      <c r="F131" s="199" t="str">
        <f t="shared" si="3"/>
        <v/>
      </c>
    </row>
    <row r="132" spans="1:7">
      <c r="A132">
        <v>129</v>
      </c>
      <c r="B132" s="46">
        <v>44326</v>
      </c>
      <c r="C132" s="269">
        <v>60.270329379809247</v>
      </c>
      <c r="D132" s="269">
        <v>101.55332277089387</v>
      </c>
      <c r="E132" s="177">
        <f t="shared" ref="E132:E195" si="4">IF(C132&lt;D132,C132,D132)</f>
        <v>60.270329379809247</v>
      </c>
      <c r="F132" s="199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44327</v>
      </c>
      <c r="C133" s="269">
        <v>56.167001323812975</v>
      </c>
      <c r="D133" s="269">
        <v>101.55332277089387</v>
      </c>
      <c r="E133" s="177">
        <f t="shared" si="4"/>
        <v>56.167001323812975</v>
      </c>
      <c r="F133" s="199" t="str">
        <f t="shared" si="5"/>
        <v/>
      </c>
    </row>
    <row r="134" spans="1:7">
      <c r="A134">
        <v>131</v>
      </c>
      <c r="B134" s="46">
        <v>44328</v>
      </c>
      <c r="C134" s="269">
        <v>64.955905773205401</v>
      </c>
      <c r="D134" s="269">
        <v>101.55332277089387</v>
      </c>
      <c r="E134" s="177">
        <f t="shared" si="4"/>
        <v>64.955905773205401</v>
      </c>
      <c r="F134" s="199" t="str">
        <f t="shared" si="5"/>
        <v/>
      </c>
    </row>
    <row r="135" spans="1:7">
      <c r="A135">
        <v>132</v>
      </c>
      <c r="B135" s="46">
        <v>44329</v>
      </c>
      <c r="C135" s="269">
        <v>70.251595309207261</v>
      </c>
      <c r="D135" s="269">
        <v>101.55332277089387</v>
      </c>
      <c r="E135" s="177">
        <f t="shared" si="4"/>
        <v>70.251595309207261</v>
      </c>
      <c r="F135" s="199" t="str">
        <f t="shared" si="5"/>
        <v/>
      </c>
    </row>
    <row r="136" spans="1:7">
      <c r="A136">
        <v>133</v>
      </c>
      <c r="B136" s="46">
        <v>44330</v>
      </c>
      <c r="C136" s="269">
        <v>73.453813457207261</v>
      </c>
      <c r="D136" s="269">
        <v>101.55332277089387</v>
      </c>
      <c r="E136" s="177">
        <f t="shared" si="4"/>
        <v>73.453813457207261</v>
      </c>
      <c r="F136" s="199" t="str">
        <f t="shared" si="5"/>
        <v/>
      </c>
    </row>
    <row r="137" spans="1:7">
      <c r="A137">
        <v>134</v>
      </c>
      <c r="B137" s="46">
        <v>44331</v>
      </c>
      <c r="C137" s="269">
        <v>61.41329723721099</v>
      </c>
      <c r="D137" s="269">
        <v>101.55332277089387</v>
      </c>
      <c r="E137" s="177">
        <f t="shared" si="4"/>
        <v>61.41329723721099</v>
      </c>
      <c r="F137" s="199" t="str">
        <f t="shared" si="5"/>
        <v>M</v>
      </c>
      <c r="G137" s="200">
        <f>IF(DAY(B137)=15,D137,"")</f>
        <v>101.55332277089387</v>
      </c>
    </row>
    <row r="138" spans="1:7">
      <c r="A138">
        <v>135</v>
      </c>
      <c r="B138" s="46">
        <v>44332</v>
      </c>
      <c r="C138" s="269">
        <v>62.940818797205402</v>
      </c>
      <c r="D138" s="269">
        <v>101.55332277089387</v>
      </c>
      <c r="E138" s="177">
        <f t="shared" si="4"/>
        <v>62.940818797205402</v>
      </c>
      <c r="F138" s="199" t="str">
        <f t="shared" si="5"/>
        <v/>
      </c>
    </row>
    <row r="139" spans="1:7">
      <c r="A139">
        <v>136</v>
      </c>
      <c r="B139" s="46">
        <v>44333</v>
      </c>
      <c r="C139" s="269">
        <v>84.709564105210987</v>
      </c>
      <c r="D139" s="269">
        <v>101.55332277089387</v>
      </c>
      <c r="E139" s="177">
        <f t="shared" si="4"/>
        <v>84.709564105210987</v>
      </c>
      <c r="F139" s="199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/>
      </c>
    </row>
    <row r="140" spans="1:7">
      <c r="A140">
        <v>137</v>
      </c>
      <c r="B140" s="46">
        <v>44334</v>
      </c>
      <c r="C140" s="269">
        <v>82.972954585209123</v>
      </c>
      <c r="D140" s="269">
        <v>101.55332277089387</v>
      </c>
      <c r="E140" s="177">
        <f t="shared" si="4"/>
        <v>82.972954585209123</v>
      </c>
      <c r="F140" s="199" t="str">
        <f t="shared" si="5"/>
        <v/>
      </c>
    </row>
    <row r="141" spans="1:7">
      <c r="A141">
        <v>138</v>
      </c>
      <c r="B141" s="46">
        <v>44335</v>
      </c>
      <c r="C141" s="269">
        <v>88.427482961818527</v>
      </c>
      <c r="D141" s="269">
        <v>101.55332277089387</v>
      </c>
      <c r="E141" s="177">
        <f t="shared" si="4"/>
        <v>88.427482961818527</v>
      </c>
      <c r="F141" s="199" t="str">
        <f t="shared" si="5"/>
        <v/>
      </c>
    </row>
    <row r="142" spans="1:7">
      <c r="A142">
        <v>139</v>
      </c>
      <c r="B142" s="46">
        <v>44336</v>
      </c>
      <c r="C142" s="269">
        <v>87.490739521816664</v>
      </c>
      <c r="D142" s="269">
        <v>101.55332277089387</v>
      </c>
      <c r="E142" s="177">
        <f t="shared" si="4"/>
        <v>87.490739521816664</v>
      </c>
      <c r="F142" s="199" t="str">
        <f t="shared" si="5"/>
        <v/>
      </c>
    </row>
    <row r="143" spans="1:7">
      <c r="A143">
        <v>140</v>
      </c>
      <c r="B143" s="46">
        <v>44337</v>
      </c>
      <c r="C143" s="269">
        <v>81.839326337818534</v>
      </c>
      <c r="D143" s="269">
        <v>101.55332277089387</v>
      </c>
      <c r="E143" s="177">
        <f t="shared" si="4"/>
        <v>81.839326337818534</v>
      </c>
      <c r="F143" s="199" t="str">
        <f t="shared" si="5"/>
        <v/>
      </c>
    </row>
    <row r="144" spans="1:7">
      <c r="A144">
        <v>141</v>
      </c>
      <c r="B144" s="46">
        <v>44338</v>
      </c>
      <c r="C144" s="269">
        <v>85.388859121820389</v>
      </c>
      <c r="D144" s="269">
        <v>101.55332277089387</v>
      </c>
      <c r="E144" s="177">
        <f t="shared" si="4"/>
        <v>85.388859121820389</v>
      </c>
      <c r="F144" s="199" t="str">
        <f t="shared" si="5"/>
        <v/>
      </c>
    </row>
    <row r="145" spans="1:6">
      <c r="A145">
        <v>142</v>
      </c>
      <c r="B145" s="46">
        <v>44339</v>
      </c>
      <c r="C145" s="269">
        <v>63.71166492181667</v>
      </c>
      <c r="D145" s="269">
        <v>101.55332277089387</v>
      </c>
      <c r="E145" s="177">
        <f t="shared" si="4"/>
        <v>63.71166492181667</v>
      </c>
      <c r="F145" s="199" t="str">
        <f t="shared" si="5"/>
        <v/>
      </c>
    </row>
    <row r="146" spans="1:6">
      <c r="A146">
        <v>143</v>
      </c>
      <c r="B146" s="46">
        <v>44340</v>
      </c>
      <c r="C146" s="269">
        <v>71.876081133820392</v>
      </c>
      <c r="D146" s="269">
        <v>101.55332277089387</v>
      </c>
      <c r="E146" s="177">
        <f t="shared" si="4"/>
        <v>71.876081133820392</v>
      </c>
      <c r="F146" s="199" t="str">
        <f t="shared" si="5"/>
        <v/>
      </c>
    </row>
    <row r="147" spans="1:6">
      <c r="A147">
        <v>144</v>
      </c>
      <c r="B147" s="46">
        <v>44341</v>
      </c>
      <c r="C147" s="269">
        <v>76.705485453822263</v>
      </c>
      <c r="D147" s="269">
        <v>101.55332277089387</v>
      </c>
      <c r="E147" s="177">
        <f t="shared" si="4"/>
        <v>76.705485453822263</v>
      </c>
      <c r="F147" s="199" t="str">
        <f t="shared" si="5"/>
        <v/>
      </c>
    </row>
    <row r="148" spans="1:6">
      <c r="A148">
        <v>145</v>
      </c>
      <c r="B148" s="46">
        <v>44342</v>
      </c>
      <c r="C148" s="269">
        <v>44.956101361653779</v>
      </c>
      <c r="D148" s="269">
        <v>101.55332277089387</v>
      </c>
      <c r="E148" s="177">
        <f t="shared" si="4"/>
        <v>44.956101361653779</v>
      </c>
      <c r="F148" s="199" t="str">
        <f t="shared" si="5"/>
        <v/>
      </c>
    </row>
    <row r="149" spans="1:6">
      <c r="A149">
        <v>146</v>
      </c>
      <c r="B149" s="46">
        <v>44343</v>
      </c>
      <c r="C149" s="269">
        <v>84.572710257655629</v>
      </c>
      <c r="D149" s="269">
        <v>101.55332277089387</v>
      </c>
      <c r="E149" s="177">
        <f t="shared" si="4"/>
        <v>84.572710257655629</v>
      </c>
      <c r="F149" s="199" t="str">
        <f t="shared" si="5"/>
        <v/>
      </c>
    </row>
    <row r="150" spans="1:6">
      <c r="A150">
        <v>147</v>
      </c>
      <c r="B150" s="46">
        <v>44344</v>
      </c>
      <c r="C150" s="269">
        <v>51.348431629655636</v>
      </c>
      <c r="D150" s="269">
        <v>101.55332277089387</v>
      </c>
      <c r="E150" s="177">
        <f t="shared" si="4"/>
        <v>51.348431629655636</v>
      </c>
      <c r="F150" s="199" t="str">
        <f t="shared" si="5"/>
        <v/>
      </c>
    </row>
    <row r="151" spans="1:6">
      <c r="A151">
        <v>148</v>
      </c>
      <c r="B151" s="46">
        <v>44345</v>
      </c>
      <c r="C151" s="269">
        <v>47.238694169655645</v>
      </c>
      <c r="D151" s="269">
        <v>101.55332277089387</v>
      </c>
      <c r="E151" s="177">
        <f t="shared" si="4"/>
        <v>47.238694169655645</v>
      </c>
      <c r="F151" s="199" t="str">
        <f t="shared" si="5"/>
        <v/>
      </c>
    </row>
    <row r="152" spans="1:6">
      <c r="A152">
        <v>149</v>
      </c>
      <c r="B152" s="46">
        <v>44346</v>
      </c>
      <c r="C152" s="269">
        <v>30.961489121657504</v>
      </c>
      <c r="D152" s="269">
        <v>101.55332277089387</v>
      </c>
      <c r="E152" s="177">
        <f t="shared" si="4"/>
        <v>30.961489121657504</v>
      </c>
      <c r="F152" s="199" t="str">
        <f t="shared" si="5"/>
        <v/>
      </c>
    </row>
    <row r="153" spans="1:6">
      <c r="A153">
        <v>150</v>
      </c>
      <c r="B153" s="46">
        <v>44347</v>
      </c>
      <c r="C153" s="269">
        <v>46.410529833651921</v>
      </c>
      <c r="D153" s="269">
        <v>101.55332277089387</v>
      </c>
      <c r="E153" s="177">
        <f t="shared" si="4"/>
        <v>46.410529833651921</v>
      </c>
      <c r="F153" s="199" t="str">
        <f t="shared" si="5"/>
        <v/>
      </c>
    </row>
    <row r="154" spans="1:6">
      <c r="A154">
        <v>151</v>
      </c>
      <c r="B154" s="46">
        <v>44348</v>
      </c>
      <c r="C154" s="269">
        <v>49.7390358816575</v>
      </c>
      <c r="D154" s="269">
        <v>64.00894044961241</v>
      </c>
      <c r="E154" s="177">
        <f t="shared" si="4"/>
        <v>49.7390358816575</v>
      </c>
      <c r="F154" s="199" t="str">
        <f t="shared" si="5"/>
        <v/>
      </c>
    </row>
    <row r="155" spans="1:6">
      <c r="A155">
        <v>152</v>
      </c>
      <c r="B155" s="46">
        <v>44349</v>
      </c>
      <c r="C155" s="269">
        <v>59.622137735076741</v>
      </c>
      <c r="D155" s="269">
        <v>64.00894044961241</v>
      </c>
      <c r="E155" s="177">
        <f t="shared" si="4"/>
        <v>59.622137735076741</v>
      </c>
      <c r="F155" s="199" t="str">
        <f t="shared" si="5"/>
        <v/>
      </c>
    </row>
    <row r="156" spans="1:6">
      <c r="A156">
        <v>153</v>
      </c>
      <c r="B156" s="46">
        <v>44350</v>
      </c>
      <c r="C156" s="269">
        <v>43.383433879082332</v>
      </c>
      <c r="D156" s="269">
        <v>64.00894044961241</v>
      </c>
      <c r="E156" s="177">
        <f t="shared" si="4"/>
        <v>43.383433879082332</v>
      </c>
      <c r="F156" s="199" t="str">
        <f t="shared" si="5"/>
        <v/>
      </c>
    </row>
    <row r="157" spans="1:6">
      <c r="A157">
        <v>154</v>
      </c>
      <c r="B157" s="46">
        <v>44351</v>
      </c>
      <c r="C157" s="269">
        <v>51.377849187080471</v>
      </c>
      <c r="D157" s="269">
        <v>64.00894044961241</v>
      </c>
      <c r="E157" s="177">
        <f t="shared" si="4"/>
        <v>51.377849187080471</v>
      </c>
      <c r="F157" s="199" t="str">
        <f t="shared" si="5"/>
        <v/>
      </c>
    </row>
    <row r="158" spans="1:6">
      <c r="A158">
        <v>155</v>
      </c>
      <c r="B158" s="46">
        <v>44352</v>
      </c>
      <c r="C158" s="269">
        <v>46.978688771082325</v>
      </c>
      <c r="D158" s="269">
        <v>64.00894044961241</v>
      </c>
      <c r="E158" s="177">
        <f t="shared" si="4"/>
        <v>46.978688771082325</v>
      </c>
      <c r="F158" s="199" t="str">
        <f t="shared" si="5"/>
        <v/>
      </c>
    </row>
    <row r="159" spans="1:6">
      <c r="A159">
        <v>156</v>
      </c>
      <c r="B159" s="46">
        <v>44353</v>
      </c>
      <c r="C159" s="269">
        <v>38.849053715080466</v>
      </c>
      <c r="D159" s="269">
        <v>64.00894044961241</v>
      </c>
      <c r="E159" s="177">
        <f t="shared" si="4"/>
        <v>38.849053715080466</v>
      </c>
      <c r="F159" s="199" t="str">
        <f t="shared" si="5"/>
        <v/>
      </c>
    </row>
    <row r="160" spans="1:6">
      <c r="A160">
        <v>157</v>
      </c>
      <c r="B160" s="46">
        <v>44354</v>
      </c>
      <c r="C160" s="269">
        <v>42.251729895078604</v>
      </c>
      <c r="D160" s="269">
        <v>64.00894044961241</v>
      </c>
      <c r="E160" s="177">
        <f t="shared" si="4"/>
        <v>42.251729895078604</v>
      </c>
      <c r="F160" s="199" t="str">
        <f t="shared" si="5"/>
        <v/>
      </c>
    </row>
    <row r="161" spans="1:7">
      <c r="A161">
        <v>158</v>
      </c>
      <c r="B161" s="46">
        <v>44355</v>
      </c>
      <c r="C161" s="269">
        <v>48.831029183082336</v>
      </c>
      <c r="D161" s="269">
        <v>64.00894044961241</v>
      </c>
      <c r="E161" s="177">
        <f t="shared" si="4"/>
        <v>48.831029183082336</v>
      </c>
      <c r="F161" s="199" t="str">
        <f t="shared" si="5"/>
        <v/>
      </c>
    </row>
    <row r="162" spans="1:7">
      <c r="A162">
        <v>159</v>
      </c>
      <c r="B162" s="46">
        <v>44356</v>
      </c>
      <c r="C162" s="269">
        <v>39.655213428078106</v>
      </c>
      <c r="D162" s="269">
        <v>64.00894044961241</v>
      </c>
      <c r="E162" s="177">
        <f t="shared" si="4"/>
        <v>39.655213428078106</v>
      </c>
      <c r="F162" s="199" t="str">
        <f t="shared" si="5"/>
        <v/>
      </c>
    </row>
    <row r="163" spans="1:7">
      <c r="A163">
        <v>160</v>
      </c>
      <c r="B163" s="46">
        <v>44357</v>
      </c>
      <c r="C163" s="269">
        <v>56.533653168078104</v>
      </c>
      <c r="D163" s="269">
        <v>64.00894044961241</v>
      </c>
      <c r="E163" s="177">
        <f t="shared" si="4"/>
        <v>56.533653168078104</v>
      </c>
      <c r="F163" s="199" t="str">
        <f t="shared" si="5"/>
        <v/>
      </c>
    </row>
    <row r="164" spans="1:7">
      <c r="A164">
        <v>161</v>
      </c>
      <c r="B164" s="46">
        <v>44358</v>
      </c>
      <c r="C164" s="269">
        <v>35.848084328079977</v>
      </c>
      <c r="D164" s="269">
        <v>64.00894044961241</v>
      </c>
      <c r="E164" s="177">
        <f t="shared" si="4"/>
        <v>35.848084328079977</v>
      </c>
      <c r="F164" s="199" t="str">
        <f t="shared" si="5"/>
        <v/>
      </c>
    </row>
    <row r="165" spans="1:7">
      <c r="A165">
        <v>162</v>
      </c>
      <c r="B165" s="46">
        <v>44359</v>
      </c>
      <c r="C165" s="269">
        <v>39.187553216074392</v>
      </c>
      <c r="D165" s="269">
        <v>64.00894044961241</v>
      </c>
      <c r="E165" s="177">
        <f t="shared" si="4"/>
        <v>39.187553216074392</v>
      </c>
      <c r="F165" s="199" t="str">
        <f t="shared" si="5"/>
        <v/>
      </c>
    </row>
    <row r="166" spans="1:7">
      <c r="A166">
        <v>163</v>
      </c>
      <c r="B166" s="46">
        <v>44360</v>
      </c>
      <c r="C166" s="269">
        <v>34.758196140078105</v>
      </c>
      <c r="D166" s="269">
        <v>64.00894044961241</v>
      </c>
      <c r="E166" s="177">
        <f t="shared" si="4"/>
        <v>34.758196140078105</v>
      </c>
      <c r="F166" s="199" t="str">
        <f t="shared" si="5"/>
        <v/>
      </c>
    </row>
    <row r="167" spans="1:7">
      <c r="A167">
        <v>164</v>
      </c>
      <c r="B167" s="46">
        <v>44361</v>
      </c>
      <c r="C167" s="269">
        <v>71.697258952078101</v>
      </c>
      <c r="D167" s="269">
        <v>64.00894044961241</v>
      </c>
      <c r="E167" s="177">
        <f t="shared" si="4"/>
        <v>64.00894044961241</v>
      </c>
      <c r="F167" s="199" t="str">
        <f t="shared" si="5"/>
        <v/>
      </c>
    </row>
    <row r="168" spans="1:7">
      <c r="A168">
        <v>165</v>
      </c>
      <c r="B168" s="46">
        <v>44362</v>
      </c>
      <c r="C168" s="269">
        <v>67.650048800076235</v>
      </c>
      <c r="D168" s="269">
        <v>64.00894044961241</v>
      </c>
      <c r="E168" s="177">
        <f t="shared" si="4"/>
        <v>64.00894044961241</v>
      </c>
      <c r="F168" s="199" t="str">
        <f t="shared" si="5"/>
        <v>J</v>
      </c>
      <c r="G168" s="200">
        <f>IF(DAY(B168)=15,D168,"")</f>
        <v>64.00894044961241</v>
      </c>
    </row>
    <row r="169" spans="1:7">
      <c r="A169">
        <v>166</v>
      </c>
      <c r="B169" s="46">
        <v>44363</v>
      </c>
      <c r="C169" s="269">
        <v>62.759781339110461</v>
      </c>
      <c r="D169" s="269">
        <v>64.00894044961241</v>
      </c>
      <c r="E169" s="177">
        <f t="shared" si="4"/>
        <v>62.759781339110461</v>
      </c>
      <c r="F169" s="199" t="str">
        <f t="shared" si="5"/>
        <v/>
      </c>
    </row>
    <row r="170" spans="1:7">
      <c r="A170">
        <v>167</v>
      </c>
      <c r="B170" s="46">
        <v>44364</v>
      </c>
      <c r="C170" s="269">
        <v>64.330589743110465</v>
      </c>
      <c r="D170" s="269">
        <v>64.00894044961241</v>
      </c>
      <c r="E170" s="177">
        <f t="shared" si="4"/>
        <v>64.00894044961241</v>
      </c>
      <c r="F170" s="199" t="str">
        <f t="shared" si="5"/>
        <v/>
      </c>
    </row>
    <row r="171" spans="1:7">
      <c r="A171">
        <v>168</v>
      </c>
      <c r="B171" s="46">
        <v>44365</v>
      </c>
      <c r="C171" s="269">
        <v>51.741532331110456</v>
      </c>
      <c r="D171" s="269">
        <v>64.00894044961241</v>
      </c>
      <c r="E171" s="177">
        <f t="shared" si="4"/>
        <v>51.741532331110456</v>
      </c>
      <c r="F171" s="199" t="str">
        <f t="shared" si="5"/>
        <v/>
      </c>
    </row>
    <row r="172" spans="1:7">
      <c r="A172">
        <v>169</v>
      </c>
      <c r="B172" s="46">
        <v>44366</v>
      </c>
      <c r="C172" s="269">
        <v>42.602421635112314</v>
      </c>
      <c r="D172" s="269">
        <v>64.00894044961241</v>
      </c>
      <c r="E172" s="177">
        <f t="shared" si="4"/>
        <v>42.602421635112314</v>
      </c>
      <c r="F172" s="199" t="str">
        <f t="shared" si="5"/>
        <v/>
      </c>
    </row>
    <row r="173" spans="1:7">
      <c r="A173">
        <v>170</v>
      </c>
      <c r="B173" s="46">
        <v>44367</v>
      </c>
      <c r="C173" s="269">
        <v>30.117633127108594</v>
      </c>
      <c r="D173" s="269">
        <v>64.00894044961241</v>
      </c>
      <c r="E173" s="177">
        <f t="shared" si="4"/>
        <v>30.117633127108594</v>
      </c>
      <c r="F173" s="199" t="str">
        <f t="shared" si="5"/>
        <v/>
      </c>
    </row>
    <row r="174" spans="1:7">
      <c r="A174">
        <v>171</v>
      </c>
      <c r="B174" s="46">
        <v>44368</v>
      </c>
      <c r="C174" s="269">
        <v>41.492384483112325</v>
      </c>
      <c r="D174" s="269">
        <v>64.00894044961241</v>
      </c>
      <c r="E174" s="177">
        <f t="shared" si="4"/>
        <v>41.492384483112325</v>
      </c>
      <c r="F174" s="199" t="str">
        <f t="shared" si="5"/>
        <v/>
      </c>
    </row>
    <row r="175" spans="1:7">
      <c r="A175">
        <v>172</v>
      </c>
      <c r="B175" s="46">
        <v>44369</v>
      </c>
      <c r="C175" s="269">
        <v>51.60537784311046</v>
      </c>
      <c r="D175" s="269">
        <v>64.00894044961241</v>
      </c>
      <c r="E175" s="177">
        <f t="shared" si="4"/>
        <v>51.60537784311046</v>
      </c>
      <c r="F175" s="199" t="str">
        <f t="shared" si="5"/>
        <v/>
      </c>
    </row>
    <row r="176" spans="1:7">
      <c r="A176">
        <v>173</v>
      </c>
      <c r="B176" s="46">
        <v>44370</v>
      </c>
      <c r="C176" s="269">
        <v>56.123723707417419</v>
      </c>
      <c r="D176" s="269">
        <v>64.00894044961241</v>
      </c>
      <c r="E176" s="177">
        <f t="shared" si="4"/>
        <v>56.123723707417419</v>
      </c>
      <c r="F176" s="199" t="str">
        <f t="shared" si="5"/>
        <v/>
      </c>
    </row>
    <row r="177" spans="1:6">
      <c r="A177">
        <v>174</v>
      </c>
      <c r="B177" s="46">
        <v>44371</v>
      </c>
      <c r="C177" s="269">
        <v>62.085323663419288</v>
      </c>
      <c r="D177" s="269">
        <v>64.00894044961241</v>
      </c>
      <c r="E177" s="177">
        <f t="shared" si="4"/>
        <v>62.085323663419288</v>
      </c>
      <c r="F177" s="199" t="str">
        <f t="shared" si="5"/>
        <v/>
      </c>
    </row>
    <row r="178" spans="1:6">
      <c r="A178">
        <v>175</v>
      </c>
      <c r="B178" s="46">
        <v>44372</v>
      </c>
      <c r="C178" s="269">
        <v>59.580692003419287</v>
      </c>
      <c r="D178" s="269">
        <v>64.00894044961241</v>
      </c>
      <c r="E178" s="177">
        <f t="shared" si="4"/>
        <v>59.580692003419287</v>
      </c>
      <c r="F178" s="199" t="str">
        <f t="shared" si="5"/>
        <v/>
      </c>
    </row>
    <row r="179" spans="1:6">
      <c r="A179">
        <v>176</v>
      </c>
      <c r="B179" s="46">
        <v>44373</v>
      </c>
      <c r="C179" s="269">
        <v>44.02805007541928</v>
      </c>
      <c r="D179" s="269">
        <v>64.00894044961241</v>
      </c>
      <c r="E179" s="177">
        <f t="shared" si="4"/>
        <v>44.02805007541928</v>
      </c>
      <c r="F179" s="199" t="str">
        <f t="shared" si="5"/>
        <v/>
      </c>
    </row>
    <row r="180" spans="1:6">
      <c r="A180">
        <v>177</v>
      </c>
      <c r="B180" s="46">
        <v>44374</v>
      </c>
      <c r="C180" s="269">
        <v>35.421572939419292</v>
      </c>
      <c r="D180" s="269">
        <v>64.00894044961241</v>
      </c>
      <c r="E180" s="177">
        <f t="shared" si="4"/>
        <v>35.421572939419292</v>
      </c>
      <c r="F180" s="199" t="str">
        <f t="shared" si="5"/>
        <v/>
      </c>
    </row>
    <row r="181" spans="1:6">
      <c r="A181">
        <v>178</v>
      </c>
      <c r="B181" s="46">
        <v>44375</v>
      </c>
      <c r="C181" s="269">
        <v>57.747371875419283</v>
      </c>
      <c r="D181" s="269">
        <v>64.00894044961241</v>
      </c>
      <c r="E181" s="177">
        <f t="shared" si="4"/>
        <v>57.747371875419283</v>
      </c>
      <c r="F181" s="199" t="str">
        <f t="shared" si="5"/>
        <v/>
      </c>
    </row>
    <row r="182" spans="1:6">
      <c r="A182">
        <v>179</v>
      </c>
      <c r="B182" s="46">
        <v>44376</v>
      </c>
      <c r="C182" s="269">
        <v>56.617720343419293</v>
      </c>
      <c r="D182" s="269">
        <v>64.00894044961241</v>
      </c>
      <c r="E182" s="177">
        <f t="shared" si="4"/>
        <v>56.617720343419293</v>
      </c>
      <c r="F182" s="199" t="str">
        <f t="shared" si="5"/>
        <v/>
      </c>
    </row>
    <row r="183" spans="1:6">
      <c r="A183">
        <v>180</v>
      </c>
      <c r="B183" s="46">
        <v>44377</v>
      </c>
      <c r="C183" s="269">
        <v>38.670632130302387</v>
      </c>
      <c r="D183" s="269">
        <v>64.00894044961241</v>
      </c>
      <c r="E183" s="177">
        <f t="shared" si="4"/>
        <v>38.670632130302387</v>
      </c>
      <c r="F183" s="199" t="str">
        <f t="shared" si="5"/>
        <v/>
      </c>
    </row>
    <row r="184" spans="1:6">
      <c r="A184">
        <v>181</v>
      </c>
      <c r="B184" s="46">
        <v>44378</v>
      </c>
      <c r="C184" s="269">
        <v>44.623334314304259</v>
      </c>
      <c r="D184" s="269">
        <v>28.26541708637771</v>
      </c>
      <c r="E184" s="177">
        <f t="shared" si="4"/>
        <v>28.26541708637771</v>
      </c>
      <c r="F184" s="199" t="str">
        <f t="shared" si="5"/>
        <v/>
      </c>
    </row>
    <row r="185" spans="1:6">
      <c r="A185">
        <v>182</v>
      </c>
      <c r="B185" s="46">
        <v>44379</v>
      </c>
      <c r="C185" s="269">
        <v>42.427835178304257</v>
      </c>
      <c r="D185" s="269">
        <v>28.26541708637771</v>
      </c>
      <c r="E185" s="177">
        <f t="shared" si="4"/>
        <v>28.26541708637771</v>
      </c>
      <c r="F185" s="199" t="str">
        <f t="shared" si="5"/>
        <v/>
      </c>
    </row>
    <row r="186" spans="1:6">
      <c r="A186">
        <v>183</v>
      </c>
      <c r="B186" s="46">
        <v>44380</v>
      </c>
      <c r="C186" s="269">
        <v>38.561034278302394</v>
      </c>
      <c r="D186" s="269">
        <v>28.26541708637771</v>
      </c>
      <c r="E186" s="177">
        <f t="shared" si="4"/>
        <v>28.26541708637771</v>
      </c>
      <c r="F186" s="199" t="str">
        <f t="shared" si="5"/>
        <v/>
      </c>
    </row>
    <row r="187" spans="1:6">
      <c r="A187">
        <v>184</v>
      </c>
      <c r="B187" s="46">
        <v>44381</v>
      </c>
      <c r="C187" s="269">
        <v>4.5919972943023968</v>
      </c>
      <c r="D187" s="269">
        <v>28.26541708637771</v>
      </c>
      <c r="E187" s="177">
        <f t="shared" si="4"/>
        <v>4.5919972943023968</v>
      </c>
      <c r="F187" s="199" t="str">
        <f t="shared" si="5"/>
        <v/>
      </c>
    </row>
    <row r="188" spans="1:6">
      <c r="A188">
        <v>185</v>
      </c>
      <c r="B188" s="46">
        <v>44382</v>
      </c>
      <c r="C188" s="269">
        <v>37.482896742304263</v>
      </c>
      <c r="D188" s="269">
        <v>28.26541708637771</v>
      </c>
      <c r="E188" s="177">
        <f t="shared" si="4"/>
        <v>28.26541708637771</v>
      </c>
      <c r="F188" s="199" t="str">
        <f t="shared" si="5"/>
        <v/>
      </c>
    </row>
    <row r="189" spans="1:6">
      <c r="A189">
        <v>186</v>
      </c>
      <c r="B189" s="46">
        <v>44383</v>
      </c>
      <c r="C189" s="269">
        <v>40.491079394304251</v>
      </c>
      <c r="D189" s="269">
        <v>28.26541708637771</v>
      </c>
      <c r="E189" s="177">
        <f t="shared" si="4"/>
        <v>28.26541708637771</v>
      </c>
      <c r="F189" s="199" t="str">
        <f t="shared" si="5"/>
        <v/>
      </c>
    </row>
    <row r="190" spans="1:6">
      <c r="A190">
        <v>187</v>
      </c>
      <c r="B190" s="46">
        <v>44384</v>
      </c>
      <c r="C190" s="269">
        <v>37.486758876303213</v>
      </c>
      <c r="D190" s="269">
        <v>28.26541708637771</v>
      </c>
      <c r="E190" s="177">
        <f t="shared" si="4"/>
        <v>28.26541708637771</v>
      </c>
      <c r="F190" s="199" t="str">
        <f t="shared" si="5"/>
        <v/>
      </c>
    </row>
    <row r="191" spans="1:6">
      <c r="A191">
        <v>188</v>
      </c>
      <c r="B191" s="46">
        <v>44385</v>
      </c>
      <c r="C191" s="269">
        <v>25.244979888306947</v>
      </c>
      <c r="D191" s="269">
        <v>28.26541708637771</v>
      </c>
      <c r="E191" s="177">
        <f t="shared" si="4"/>
        <v>25.244979888306947</v>
      </c>
      <c r="F191" s="199" t="str">
        <f t="shared" si="5"/>
        <v/>
      </c>
    </row>
    <row r="192" spans="1:6">
      <c r="A192">
        <v>189</v>
      </c>
      <c r="B192" s="46">
        <v>44386</v>
      </c>
      <c r="C192" s="269">
        <v>24.840714244305083</v>
      </c>
      <c r="D192" s="269">
        <v>28.26541708637771</v>
      </c>
      <c r="E192" s="177">
        <f t="shared" si="4"/>
        <v>24.840714244305083</v>
      </c>
      <c r="F192" s="199" t="str">
        <f t="shared" si="5"/>
        <v/>
      </c>
    </row>
    <row r="193" spans="1:7">
      <c r="A193">
        <v>190</v>
      </c>
      <c r="B193" s="46">
        <v>44387</v>
      </c>
      <c r="C193" s="269">
        <v>24.870762528305072</v>
      </c>
      <c r="D193" s="269">
        <v>28.26541708637771</v>
      </c>
      <c r="E193" s="177">
        <f t="shared" si="4"/>
        <v>24.870762528305072</v>
      </c>
      <c r="F193" s="199" t="str">
        <f t="shared" si="5"/>
        <v/>
      </c>
    </row>
    <row r="194" spans="1:7">
      <c r="A194">
        <v>191</v>
      </c>
      <c r="B194" s="46">
        <v>44388</v>
      </c>
      <c r="C194" s="269">
        <v>24.551447760305077</v>
      </c>
      <c r="D194" s="269">
        <v>28.26541708637771</v>
      </c>
      <c r="E194" s="177">
        <f t="shared" si="4"/>
        <v>24.551447760305077</v>
      </c>
      <c r="F194" s="199" t="str">
        <f t="shared" si="5"/>
        <v/>
      </c>
    </row>
    <row r="195" spans="1:7">
      <c r="A195">
        <v>192</v>
      </c>
      <c r="B195" s="46">
        <v>44389</v>
      </c>
      <c r="C195" s="269">
        <v>14.562916316305083</v>
      </c>
      <c r="D195" s="269">
        <v>28.26541708637771</v>
      </c>
      <c r="E195" s="177">
        <f t="shared" si="4"/>
        <v>14.562916316305083</v>
      </c>
      <c r="F195" s="199" t="str">
        <f t="shared" si="5"/>
        <v/>
      </c>
    </row>
    <row r="196" spans="1:7">
      <c r="A196">
        <v>193</v>
      </c>
      <c r="B196" s="46">
        <v>44390</v>
      </c>
      <c r="C196" s="269">
        <v>17.441116352305077</v>
      </c>
      <c r="D196" s="269">
        <v>28.26541708637771</v>
      </c>
      <c r="E196" s="177">
        <f t="shared" ref="E196:E259" si="6">IF(C196&lt;D196,C196,D196)</f>
        <v>17.441116352305077</v>
      </c>
      <c r="F196" s="199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44391</v>
      </c>
      <c r="C197" s="269">
        <v>3.2754083586414198</v>
      </c>
      <c r="D197" s="269">
        <v>28.26541708637771</v>
      </c>
      <c r="E197" s="177">
        <f t="shared" si="6"/>
        <v>3.2754083586414198</v>
      </c>
      <c r="F197" s="199" t="str">
        <f t="shared" si="7"/>
        <v/>
      </c>
    </row>
    <row r="198" spans="1:7">
      <c r="A198">
        <v>195</v>
      </c>
      <c r="B198" s="46">
        <v>44392</v>
      </c>
      <c r="C198" s="269">
        <v>3.6945645986414166</v>
      </c>
      <c r="D198" s="269">
        <v>28.26541708637771</v>
      </c>
      <c r="E198" s="177">
        <f t="shared" si="6"/>
        <v>3.6945645986414166</v>
      </c>
      <c r="F198" s="199" t="str">
        <f t="shared" si="7"/>
        <v>J</v>
      </c>
      <c r="G198" s="200">
        <f>IF(DAY(B198)=15,D198,"")</f>
        <v>28.26541708637771</v>
      </c>
    </row>
    <row r="199" spans="1:7">
      <c r="A199">
        <v>196</v>
      </c>
      <c r="B199" s="46">
        <v>44393</v>
      </c>
      <c r="C199" s="269">
        <v>3.4268584426414161</v>
      </c>
      <c r="D199" s="269">
        <v>28.26541708637771</v>
      </c>
      <c r="E199" s="177">
        <f t="shared" si="6"/>
        <v>3.4268584426414161</v>
      </c>
      <c r="F199" s="199" t="str">
        <f t="shared" si="7"/>
        <v/>
      </c>
    </row>
    <row r="200" spans="1:7">
      <c r="A200">
        <v>197</v>
      </c>
      <c r="B200" s="46">
        <v>44394</v>
      </c>
      <c r="C200" s="269">
        <v>4.1824974026414132</v>
      </c>
      <c r="D200" s="269">
        <v>28.26541708637771</v>
      </c>
      <c r="E200" s="177">
        <f t="shared" si="6"/>
        <v>4.1824974026414132</v>
      </c>
      <c r="F200" s="199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44395</v>
      </c>
      <c r="C201" s="269">
        <v>4.8783048986432842</v>
      </c>
      <c r="D201" s="269">
        <v>28.26541708637771</v>
      </c>
      <c r="E201" s="177">
        <f t="shared" si="6"/>
        <v>4.8783048986432842</v>
      </c>
      <c r="F201" s="199" t="str">
        <f t="shared" si="7"/>
        <v/>
      </c>
    </row>
    <row r="202" spans="1:7">
      <c r="A202">
        <v>199</v>
      </c>
      <c r="B202" s="46">
        <v>44396</v>
      </c>
      <c r="C202" s="269">
        <v>3.8029007226414251</v>
      </c>
      <c r="D202" s="269">
        <v>28.26541708637771</v>
      </c>
      <c r="E202" s="177">
        <f t="shared" si="6"/>
        <v>3.8029007226414251</v>
      </c>
      <c r="F202" s="199" t="str">
        <f t="shared" si="7"/>
        <v/>
      </c>
    </row>
    <row r="203" spans="1:7">
      <c r="A203">
        <v>200</v>
      </c>
      <c r="B203" s="46">
        <v>44397</v>
      </c>
      <c r="C203" s="269">
        <v>0.74183819064328416</v>
      </c>
      <c r="D203" s="269">
        <v>28.26541708637771</v>
      </c>
      <c r="E203" s="177">
        <f t="shared" si="6"/>
        <v>0.74183819064328416</v>
      </c>
      <c r="F203" s="199" t="str">
        <f t="shared" si="7"/>
        <v/>
      </c>
    </row>
    <row r="204" spans="1:7">
      <c r="A204">
        <v>201</v>
      </c>
      <c r="B204" s="46">
        <v>44398</v>
      </c>
      <c r="C204" s="269">
        <v>19.400675297499554</v>
      </c>
      <c r="D204" s="269">
        <v>28.26541708637771</v>
      </c>
      <c r="E204" s="177">
        <f t="shared" si="6"/>
        <v>19.400675297499554</v>
      </c>
      <c r="F204" s="199" t="str">
        <f t="shared" si="7"/>
        <v/>
      </c>
    </row>
    <row r="205" spans="1:7">
      <c r="A205">
        <v>202</v>
      </c>
      <c r="B205" s="46">
        <v>44399</v>
      </c>
      <c r="C205" s="269">
        <v>16.547869301501422</v>
      </c>
      <c r="D205" s="269">
        <v>28.26541708637771</v>
      </c>
      <c r="E205" s="177">
        <f t="shared" si="6"/>
        <v>16.547869301501422</v>
      </c>
      <c r="F205" s="199" t="str">
        <f t="shared" si="7"/>
        <v/>
      </c>
    </row>
    <row r="206" spans="1:7">
      <c r="A206">
        <v>203</v>
      </c>
      <c r="B206" s="46">
        <v>44400</v>
      </c>
      <c r="C206" s="269">
        <v>13.253901153499559</v>
      </c>
      <c r="D206" s="269">
        <v>28.26541708637771</v>
      </c>
      <c r="E206" s="177">
        <f t="shared" si="6"/>
        <v>13.253901153499559</v>
      </c>
      <c r="F206" s="199" t="str">
        <f t="shared" si="7"/>
        <v/>
      </c>
    </row>
    <row r="207" spans="1:7">
      <c r="A207">
        <v>204</v>
      </c>
      <c r="B207" s="46">
        <v>44401</v>
      </c>
      <c r="C207" s="269">
        <v>11.600976877501417</v>
      </c>
      <c r="D207" s="269">
        <v>28.26541708637771</v>
      </c>
      <c r="E207" s="177">
        <f t="shared" si="6"/>
        <v>11.600976877501417</v>
      </c>
      <c r="F207" s="199" t="str">
        <f t="shared" si="7"/>
        <v/>
      </c>
    </row>
    <row r="208" spans="1:7">
      <c r="A208">
        <v>205</v>
      </c>
      <c r="B208" s="46">
        <v>44402</v>
      </c>
      <c r="C208" s="269">
        <v>7.0930074214995544</v>
      </c>
      <c r="D208" s="269">
        <v>28.26541708637771</v>
      </c>
      <c r="E208" s="177">
        <f t="shared" si="6"/>
        <v>7.0930074214995544</v>
      </c>
      <c r="F208" s="199" t="str">
        <f t="shared" si="7"/>
        <v/>
      </c>
    </row>
    <row r="209" spans="1:6">
      <c r="A209">
        <v>206</v>
      </c>
      <c r="B209" s="46">
        <v>44403</v>
      </c>
      <c r="C209" s="269">
        <v>10.135140933501418</v>
      </c>
      <c r="D209" s="269">
        <v>28.26541708637771</v>
      </c>
      <c r="E209" s="177">
        <f t="shared" si="6"/>
        <v>10.135140933501418</v>
      </c>
      <c r="F209" s="199" t="str">
        <f t="shared" si="7"/>
        <v/>
      </c>
    </row>
    <row r="210" spans="1:6">
      <c r="A210">
        <v>207</v>
      </c>
      <c r="B210" s="46">
        <v>44404</v>
      </c>
      <c r="C210" s="269">
        <v>9.3445790974995546</v>
      </c>
      <c r="D210" s="269">
        <v>28.26541708637771</v>
      </c>
      <c r="E210" s="177">
        <f t="shared" si="6"/>
        <v>9.3445790974995546</v>
      </c>
      <c r="F210" s="199" t="str">
        <f t="shared" si="7"/>
        <v/>
      </c>
    </row>
    <row r="211" spans="1:6">
      <c r="A211">
        <v>208</v>
      </c>
      <c r="B211" s="46">
        <v>44405</v>
      </c>
      <c r="C211" s="269">
        <v>6.3715039010995751</v>
      </c>
      <c r="D211" s="269">
        <v>28.26541708637771</v>
      </c>
      <c r="E211" s="177">
        <f t="shared" si="6"/>
        <v>6.3715039010995751</v>
      </c>
      <c r="F211" s="199" t="str">
        <f t="shared" si="7"/>
        <v/>
      </c>
    </row>
    <row r="212" spans="1:6">
      <c r="A212">
        <v>209</v>
      </c>
      <c r="B212" s="46">
        <v>44406</v>
      </c>
      <c r="C212" s="269">
        <v>18.602762529097717</v>
      </c>
      <c r="D212" s="269">
        <v>28.26541708637771</v>
      </c>
      <c r="E212" s="177">
        <f t="shared" si="6"/>
        <v>18.602762529097717</v>
      </c>
      <c r="F212" s="199" t="str">
        <f t="shared" si="7"/>
        <v/>
      </c>
    </row>
    <row r="213" spans="1:6">
      <c r="A213">
        <v>210</v>
      </c>
      <c r="B213" s="46">
        <v>44407</v>
      </c>
      <c r="C213" s="269">
        <v>18.106815577097716</v>
      </c>
      <c r="D213" s="269">
        <v>28.26541708637771</v>
      </c>
      <c r="E213" s="177">
        <f t="shared" si="6"/>
        <v>18.106815577097716</v>
      </c>
      <c r="F213" s="199" t="str">
        <f t="shared" si="7"/>
        <v/>
      </c>
    </row>
    <row r="214" spans="1:6">
      <c r="A214">
        <v>211</v>
      </c>
      <c r="B214" s="46">
        <v>44408</v>
      </c>
      <c r="C214" s="269">
        <v>3.8845743750977126</v>
      </c>
      <c r="D214" s="269">
        <v>28.26541708637771</v>
      </c>
      <c r="E214" s="177">
        <f t="shared" si="6"/>
        <v>3.8845743750977126</v>
      </c>
      <c r="F214" s="199" t="str">
        <f t="shared" si="7"/>
        <v/>
      </c>
    </row>
    <row r="215" spans="1:6">
      <c r="A215">
        <v>212</v>
      </c>
      <c r="B215" s="46">
        <v>44409</v>
      </c>
      <c r="C215" s="269">
        <v>4.4793895870995764</v>
      </c>
      <c r="D215" s="269">
        <v>17.065966880459293</v>
      </c>
      <c r="E215" s="177">
        <f t="shared" si="6"/>
        <v>4.4793895870995764</v>
      </c>
      <c r="F215" s="199" t="str">
        <f t="shared" si="7"/>
        <v/>
      </c>
    </row>
    <row r="216" spans="1:6">
      <c r="A216">
        <v>213</v>
      </c>
      <c r="B216" s="46">
        <v>44410</v>
      </c>
      <c r="C216" s="269">
        <v>24.126066195101433</v>
      </c>
      <c r="D216" s="269">
        <v>17.065966880459293</v>
      </c>
      <c r="E216" s="177">
        <f t="shared" si="6"/>
        <v>17.065966880459293</v>
      </c>
      <c r="F216" s="199" t="str">
        <f t="shared" si="7"/>
        <v/>
      </c>
    </row>
    <row r="217" spans="1:6">
      <c r="A217">
        <v>214</v>
      </c>
      <c r="B217" s="46">
        <v>44411</v>
      </c>
      <c r="C217" s="269">
        <v>22.844926373095849</v>
      </c>
      <c r="D217" s="269">
        <v>17.065966880459293</v>
      </c>
      <c r="E217" s="177">
        <f t="shared" si="6"/>
        <v>17.065966880459293</v>
      </c>
      <c r="F217" s="199" t="str">
        <f t="shared" si="7"/>
        <v/>
      </c>
    </row>
    <row r="218" spans="1:6">
      <c r="A218">
        <v>215</v>
      </c>
      <c r="B218" s="46">
        <v>44412</v>
      </c>
      <c r="C218" s="269">
        <v>20.832162048340773</v>
      </c>
      <c r="D218" s="269">
        <v>17.065966880459293</v>
      </c>
      <c r="E218" s="177">
        <f t="shared" si="6"/>
        <v>17.065966880459293</v>
      </c>
      <c r="F218" s="199" t="str">
        <f t="shared" si="7"/>
        <v/>
      </c>
    </row>
    <row r="219" spans="1:6">
      <c r="A219">
        <v>216</v>
      </c>
      <c r="B219" s="46">
        <v>44413</v>
      </c>
      <c r="C219" s="269">
        <v>20.410571116342631</v>
      </c>
      <c r="D219" s="269">
        <v>17.065966880459293</v>
      </c>
      <c r="E219" s="177">
        <f t="shared" si="6"/>
        <v>17.065966880459293</v>
      </c>
      <c r="F219" s="199" t="str">
        <f t="shared" si="7"/>
        <v/>
      </c>
    </row>
    <row r="220" spans="1:6">
      <c r="A220">
        <v>217</v>
      </c>
      <c r="B220" s="46">
        <v>44414</v>
      </c>
      <c r="C220" s="269">
        <v>5.423779910340774</v>
      </c>
      <c r="D220" s="269">
        <v>17.065966880459293</v>
      </c>
      <c r="E220" s="177">
        <f t="shared" si="6"/>
        <v>5.423779910340774</v>
      </c>
      <c r="F220" s="199" t="str">
        <f t="shared" si="7"/>
        <v/>
      </c>
    </row>
    <row r="221" spans="1:6">
      <c r="A221">
        <v>218</v>
      </c>
      <c r="B221" s="46">
        <v>44415</v>
      </c>
      <c r="C221" s="269">
        <v>3.9983903463426325</v>
      </c>
      <c r="D221" s="269">
        <v>17.065966880459293</v>
      </c>
      <c r="E221" s="177">
        <f t="shared" si="6"/>
        <v>3.9983903463426325</v>
      </c>
      <c r="F221" s="199" t="str">
        <f t="shared" si="7"/>
        <v/>
      </c>
    </row>
    <row r="222" spans="1:6">
      <c r="A222">
        <v>219</v>
      </c>
      <c r="B222" s="46">
        <v>44416</v>
      </c>
      <c r="C222" s="269">
        <v>2.8788622423407721</v>
      </c>
      <c r="D222" s="269">
        <v>17.065966880459293</v>
      </c>
      <c r="E222" s="177">
        <f t="shared" si="6"/>
        <v>2.8788622423407721</v>
      </c>
      <c r="F222" s="199" t="str">
        <f t="shared" si="7"/>
        <v/>
      </c>
    </row>
    <row r="223" spans="1:6">
      <c r="A223">
        <v>220</v>
      </c>
      <c r="B223" s="46">
        <v>44417</v>
      </c>
      <c r="C223" s="269">
        <v>16.043749728340771</v>
      </c>
      <c r="D223" s="269">
        <v>17.065966880459293</v>
      </c>
      <c r="E223" s="177">
        <f t="shared" si="6"/>
        <v>16.043749728340771</v>
      </c>
      <c r="F223" s="199" t="str">
        <f t="shared" si="7"/>
        <v/>
      </c>
    </row>
    <row r="224" spans="1:6">
      <c r="A224">
        <v>221</v>
      </c>
      <c r="B224" s="46">
        <v>44418</v>
      </c>
      <c r="C224" s="269">
        <v>12.268163616340768</v>
      </c>
      <c r="D224" s="269">
        <v>17.065966880459293</v>
      </c>
      <c r="E224" s="177">
        <f t="shared" si="6"/>
        <v>12.268163616340768</v>
      </c>
      <c r="F224" s="199" t="str">
        <f t="shared" si="7"/>
        <v/>
      </c>
    </row>
    <row r="225" spans="1:7">
      <c r="A225">
        <v>222</v>
      </c>
      <c r="B225" s="46">
        <v>44419</v>
      </c>
      <c r="C225" s="269">
        <v>12.80672435372902</v>
      </c>
      <c r="D225" s="269">
        <v>17.065966880459293</v>
      </c>
      <c r="E225" s="177">
        <f t="shared" si="6"/>
        <v>12.80672435372902</v>
      </c>
      <c r="F225" s="199" t="str">
        <f t="shared" si="7"/>
        <v/>
      </c>
    </row>
    <row r="226" spans="1:7">
      <c r="A226">
        <v>223</v>
      </c>
      <c r="B226" s="46">
        <v>44420</v>
      </c>
      <c r="C226" s="269">
        <v>11.791758197727148</v>
      </c>
      <c r="D226" s="269">
        <v>17.065966880459293</v>
      </c>
      <c r="E226" s="177">
        <f t="shared" si="6"/>
        <v>11.791758197727148</v>
      </c>
      <c r="F226" s="199" t="str">
        <f t="shared" si="7"/>
        <v/>
      </c>
    </row>
    <row r="227" spans="1:7">
      <c r="A227">
        <v>224</v>
      </c>
      <c r="B227" s="46">
        <v>44421</v>
      </c>
      <c r="C227" s="269">
        <v>10.618293341727156</v>
      </c>
      <c r="D227" s="269">
        <v>17.065966880459293</v>
      </c>
      <c r="E227" s="177">
        <f t="shared" si="6"/>
        <v>10.618293341727156</v>
      </c>
      <c r="F227" s="199" t="str">
        <f t="shared" si="7"/>
        <v/>
      </c>
    </row>
    <row r="228" spans="1:7">
      <c r="A228">
        <v>225</v>
      </c>
      <c r="B228" s="46">
        <v>44422</v>
      </c>
      <c r="C228" s="269">
        <v>8.296624413727157</v>
      </c>
      <c r="D228" s="269">
        <v>17.065966880459293</v>
      </c>
      <c r="E228" s="177">
        <f t="shared" si="6"/>
        <v>8.296624413727157</v>
      </c>
      <c r="F228" s="199" t="str">
        <f t="shared" si="7"/>
        <v/>
      </c>
    </row>
    <row r="229" spans="1:7">
      <c r="A229">
        <v>226</v>
      </c>
      <c r="B229" s="46">
        <v>44423</v>
      </c>
      <c r="C229" s="269">
        <v>2.8303781297280803</v>
      </c>
      <c r="D229" s="269">
        <v>17.065966880459293</v>
      </c>
      <c r="E229" s="177">
        <f t="shared" si="6"/>
        <v>2.8303781297280803</v>
      </c>
      <c r="F229" s="199" t="str">
        <f t="shared" si="7"/>
        <v>A</v>
      </c>
      <c r="G229" s="200">
        <f>IF(DAY(B229)=15,D229,"")</f>
        <v>17.065966880459293</v>
      </c>
    </row>
    <row r="230" spans="1:7">
      <c r="A230">
        <v>227</v>
      </c>
      <c r="B230" s="46">
        <v>44424</v>
      </c>
      <c r="C230" s="269">
        <v>2.5184554617262185</v>
      </c>
      <c r="D230" s="269">
        <v>17.065966880459293</v>
      </c>
      <c r="E230" s="177">
        <f t="shared" si="6"/>
        <v>2.5184554617262185</v>
      </c>
      <c r="F230" s="199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</row>
    <row r="231" spans="1:7">
      <c r="A231">
        <v>228</v>
      </c>
      <c r="B231" s="46">
        <v>44425</v>
      </c>
      <c r="C231" s="269">
        <v>1.6434941217280865</v>
      </c>
      <c r="D231" s="269">
        <v>17.065966880459293</v>
      </c>
      <c r="E231" s="177">
        <f t="shared" si="6"/>
        <v>1.6434941217280865</v>
      </c>
      <c r="F231" s="199" t="str">
        <f t="shared" si="7"/>
        <v/>
      </c>
    </row>
    <row r="232" spans="1:7">
      <c r="A232">
        <v>229</v>
      </c>
      <c r="B232" s="46">
        <v>44426</v>
      </c>
      <c r="C232" s="269">
        <v>1.1219695109318855</v>
      </c>
      <c r="D232" s="269">
        <v>17.065966880459293</v>
      </c>
      <c r="E232" s="177">
        <f t="shared" si="6"/>
        <v>1.1219695109318855</v>
      </c>
      <c r="F232" s="199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</row>
    <row r="233" spans="1:7">
      <c r="A233">
        <v>230</v>
      </c>
      <c r="B233" s="46">
        <v>44427</v>
      </c>
      <c r="C233" s="269">
        <v>12.315969820931882</v>
      </c>
      <c r="D233" s="269">
        <v>17.065966880459293</v>
      </c>
      <c r="E233" s="177">
        <f t="shared" si="6"/>
        <v>12.315969820931882</v>
      </c>
      <c r="F233" s="199" t="str">
        <f t="shared" si="7"/>
        <v/>
      </c>
    </row>
    <row r="234" spans="1:7">
      <c r="A234">
        <v>231</v>
      </c>
      <c r="B234" s="46">
        <v>44428</v>
      </c>
      <c r="C234" s="269">
        <v>10.072871832931879</v>
      </c>
      <c r="D234" s="269">
        <v>17.065966880459293</v>
      </c>
      <c r="E234" s="177">
        <f t="shared" si="6"/>
        <v>10.072871832931879</v>
      </c>
      <c r="F234" s="199" t="str">
        <f t="shared" si="7"/>
        <v/>
      </c>
    </row>
    <row r="235" spans="1:7">
      <c r="A235">
        <v>232</v>
      </c>
      <c r="B235" s="46">
        <v>44429</v>
      </c>
      <c r="C235" s="269">
        <v>3.852570796932814</v>
      </c>
      <c r="D235" s="269">
        <v>17.065966880459293</v>
      </c>
      <c r="E235" s="177">
        <f t="shared" si="6"/>
        <v>3.852570796932814</v>
      </c>
      <c r="F235" s="199" t="str">
        <f t="shared" si="7"/>
        <v/>
      </c>
    </row>
    <row r="236" spans="1:7">
      <c r="A236">
        <v>233</v>
      </c>
      <c r="B236" s="46">
        <v>44430</v>
      </c>
      <c r="C236" s="269">
        <v>0.51405824493095131</v>
      </c>
      <c r="D236" s="269">
        <v>17.065966880459293</v>
      </c>
      <c r="E236" s="177">
        <f t="shared" si="6"/>
        <v>0.51405824493095131</v>
      </c>
      <c r="F236" s="199" t="str">
        <f t="shared" si="7"/>
        <v/>
      </c>
    </row>
    <row r="237" spans="1:7">
      <c r="A237">
        <v>234</v>
      </c>
      <c r="B237" s="46">
        <v>44431</v>
      </c>
      <c r="C237" s="269">
        <v>1.0592070569318821</v>
      </c>
      <c r="D237" s="269">
        <v>17.065966880459293</v>
      </c>
      <c r="E237" s="177">
        <f t="shared" si="6"/>
        <v>1.0592070569318821</v>
      </c>
      <c r="F237" s="199" t="str">
        <f t="shared" si="7"/>
        <v/>
      </c>
    </row>
    <row r="238" spans="1:7">
      <c r="A238">
        <v>235</v>
      </c>
      <c r="B238" s="46">
        <v>44432</v>
      </c>
      <c r="C238" s="269">
        <v>0.95501198293281053</v>
      </c>
      <c r="D238" s="269">
        <v>17.065966880459293</v>
      </c>
      <c r="E238" s="177">
        <f t="shared" si="6"/>
        <v>0.95501198293281053</v>
      </c>
      <c r="F238" s="199" t="str">
        <f t="shared" si="7"/>
        <v/>
      </c>
    </row>
    <row r="239" spans="1:7">
      <c r="A239">
        <v>236</v>
      </c>
      <c r="B239" s="46">
        <v>44433</v>
      </c>
      <c r="C239" s="269">
        <v>7.152762117668142</v>
      </c>
      <c r="D239" s="269">
        <v>17.065966880459293</v>
      </c>
      <c r="E239" s="177">
        <f t="shared" si="6"/>
        <v>7.152762117668142</v>
      </c>
      <c r="F239" s="199" t="str">
        <f t="shared" si="7"/>
        <v/>
      </c>
    </row>
    <row r="240" spans="1:7">
      <c r="A240">
        <v>237</v>
      </c>
      <c r="B240" s="46">
        <v>44434</v>
      </c>
      <c r="C240" s="269">
        <v>9.1935223616690713</v>
      </c>
      <c r="D240" s="269">
        <v>17.065966880459293</v>
      </c>
      <c r="E240" s="177">
        <f t="shared" si="6"/>
        <v>9.1935223616690713</v>
      </c>
      <c r="F240" s="199" t="str">
        <f t="shared" si="7"/>
        <v/>
      </c>
    </row>
    <row r="241" spans="1:6">
      <c r="A241">
        <v>238</v>
      </c>
      <c r="B241" s="46">
        <v>44435</v>
      </c>
      <c r="C241" s="269">
        <v>4.1368342336709318</v>
      </c>
      <c r="D241" s="269">
        <v>17.065966880459293</v>
      </c>
      <c r="E241" s="177">
        <f t="shared" si="6"/>
        <v>4.1368342336709318</v>
      </c>
      <c r="F241" s="199" t="str">
        <f t="shared" si="7"/>
        <v/>
      </c>
    </row>
    <row r="242" spans="1:6">
      <c r="A242">
        <v>239</v>
      </c>
      <c r="B242" s="46">
        <v>44436</v>
      </c>
      <c r="C242" s="269">
        <v>0.77167649366813562</v>
      </c>
      <c r="D242" s="269">
        <v>17.065966880459293</v>
      </c>
      <c r="E242" s="177">
        <f t="shared" si="6"/>
        <v>0.77167649366813562</v>
      </c>
      <c r="F242" s="199" t="str">
        <f t="shared" si="7"/>
        <v/>
      </c>
    </row>
    <row r="243" spans="1:6">
      <c r="A243">
        <v>240</v>
      </c>
      <c r="B243" s="46">
        <v>44437</v>
      </c>
      <c r="C243" s="269">
        <v>1.0640124536700022</v>
      </c>
      <c r="D243" s="269">
        <v>17.065966880459293</v>
      </c>
      <c r="E243" s="177">
        <f t="shared" si="6"/>
        <v>1.0640124536700022</v>
      </c>
      <c r="F243" s="199" t="str">
        <f t="shared" si="7"/>
        <v/>
      </c>
    </row>
    <row r="244" spans="1:6">
      <c r="A244">
        <v>241</v>
      </c>
      <c r="B244" s="46">
        <v>44438</v>
      </c>
      <c r="C244" s="269">
        <v>10.140156249667205</v>
      </c>
      <c r="D244" s="269">
        <v>17.065966880459293</v>
      </c>
      <c r="E244" s="177">
        <f t="shared" si="6"/>
        <v>10.140156249667205</v>
      </c>
      <c r="F244" s="199" t="str">
        <f t="shared" si="7"/>
        <v/>
      </c>
    </row>
    <row r="245" spans="1:6">
      <c r="A245">
        <v>242</v>
      </c>
      <c r="B245" s="46">
        <v>44439</v>
      </c>
      <c r="C245" s="269">
        <v>13.884612205670935</v>
      </c>
      <c r="D245" s="269">
        <v>17.065966880459293</v>
      </c>
      <c r="E245" s="177">
        <f t="shared" si="6"/>
        <v>13.884612205670935</v>
      </c>
      <c r="F245" s="199" t="str">
        <f t="shared" si="7"/>
        <v/>
      </c>
    </row>
    <row r="246" spans="1:6">
      <c r="A246">
        <v>243</v>
      </c>
      <c r="B246" s="46">
        <v>44440</v>
      </c>
      <c r="C246" s="269">
        <v>24.232942552924062</v>
      </c>
      <c r="D246" s="269">
        <v>21.014323006984561</v>
      </c>
      <c r="E246" s="177">
        <f t="shared" si="6"/>
        <v>21.014323006984561</v>
      </c>
      <c r="F246" s="199" t="str">
        <f t="shared" si="7"/>
        <v/>
      </c>
    </row>
    <row r="247" spans="1:6">
      <c r="A247">
        <v>244</v>
      </c>
      <c r="B247" s="46">
        <v>44441</v>
      </c>
      <c r="C247" s="269">
        <v>23.923948540925927</v>
      </c>
      <c r="D247" s="269">
        <v>21.014323006984561</v>
      </c>
      <c r="E247" s="177">
        <f t="shared" si="6"/>
        <v>21.014323006984561</v>
      </c>
      <c r="F247" s="199" t="str">
        <f t="shared" si="7"/>
        <v/>
      </c>
    </row>
    <row r="248" spans="1:6">
      <c r="A248">
        <v>245</v>
      </c>
      <c r="B248" s="46">
        <v>44442</v>
      </c>
      <c r="C248" s="269">
        <v>22.820461948923132</v>
      </c>
      <c r="D248" s="269">
        <v>21.014323006984561</v>
      </c>
      <c r="E248" s="177">
        <f t="shared" si="6"/>
        <v>21.014323006984561</v>
      </c>
      <c r="F248" s="199" t="str">
        <f t="shared" si="7"/>
        <v/>
      </c>
    </row>
    <row r="249" spans="1:6">
      <c r="A249">
        <v>246</v>
      </c>
      <c r="B249" s="46">
        <v>44443</v>
      </c>
      <c r="C249" s="269">
        <v>16.785473316926858</v>
      </c>
      <c r="D249" s="269">
        <v>21.014323006984561</v>
      </c>
      <c r="E249" s="177">
        <f t="shared" si="6"/>
        <v>16.785473316926858</v>
      </c>
      <c r="F249" s="199" t="str">
        <f t="shared" si="7"/>
        <v/>
      </c>
    </row>
    <row r="250" spans="1:6">
      <c r="A250">
        <v>247</v>
      </c>
      <c r="B250" s="46">
        <v>44444</v>
      </c>
      <c r="C250" s="269">
        <v>10.244637292924068</v>
      </c>
      <c r="D250" s="269">
        <v>21.014323006984561</v>
      </c>
      <c r="E250" s="177">
        <f t="shared" si="6"/>
        <v>10.244637292924068</v>
      </c>
      <c r="F250" s="199" t="str">
        <f t="shared" si="7"/>
        <v/>
      </c>
    </row>
    <row r="251" spans="1:6">
      <c r="A251">
        <v>248</v>
      </c>
      <c r="B251" s="46">
        <v>44445</v>
      </c>
      <c r="C251" s="269">
        <v>15.825120408925926</v>
      </c>
      <c r="D251" s="269">
        <v>21.014323006984561</v>
      </c>
      <c r="E251" s="177">
        <f t="shared" si="6"/>
        <v>15.825120408925926</v>
      </c>
      <c r="F251" s="199" t="str">
        <f t="shared" si="7"/>
        <v/>
      </c>
    </row>
    <row r="252" spans="1:6">
      <c r="A252">
        <v>249</v>
      </c>
      <c r="B252" s="46">
        <v>44446</v>
      </c>
      <c r="C252" s="269">
        <v>6.2947448249249938</v>
      </c>
      <c r="D252" s="269">
        <v>21.014323006984561</v>
      </c>
      <c r="E252" s="177">
        <f t="shared" si="6"/>
        <v>6.2947448249249938</v>
      </c>
      <c r="F252" s="199" t="str">
        <f t="shared" si="7"/>
        <v/>
      </c>
    </row>
    <row r="253" spans="1:6">
      <c r="A253">
        <v>250</v>
      </c>
      <c r="B253" s="46">
        <v>44447</v>
      </c>
      <c r="C253" s="269">
        <v>20.115420491951163</v>
      </c>
      <c r="D253" s="269">
        <v>21.014323006984561</v>
      </c>
      <c r="E253" s="177">
        <f t="shared" si="6"/>
        <v>20.115420491951163</v>
      </c>
      <c r="F253" s="199" t="str">
        <f t="shared" si="7"/>
        <v/>
      </c>
    </row>
    <row r="254" spans="1:6">
      <c r="A254">
        <v>251</v>
      </c>
      <c r="B254" s="46">
        <v>44448</v>
      </c>
      <c r="C254" s="269">
        <v>20.943244847952091</v>
      </c>
      <c r="D254" s="269">
        <v>21.014323006984561</v>
      </c>
      <c r="E254" s="177">
        <f t="shared" si="6"/>
        <v>20.943244847952091</v>
      </c>
      <c r="F254" s="199" t="str">
        <f t="shared" si="7"/>
        <v/>
      </c>
    </row>
    <row r="255" spans="1:6">
      <c r="A255">
        <v>252</v>
      </c>
      <c r="B255" s="46">
        <v>44449</v>
      </c>
      <c r="C255" s="269">
        <v>20.22736524795209</v>
      </c>
      <c r="D255" s="269">
        <v>21.014323006984561</v>
      </c>
      <c r="E255" s="177">
        <f t="shared" si="6"/>
        <v>20.22736524795209</v>
      </c>
      <c r="F255" s="199" t="str">
        <f t="shared" si="7"/>
        <v/>
      </c>
    </row>
    <row r="256" spans="1:6">
      <c r="A256">
        <v>253</v>
      </c>
      <c r="B256" s="46">
        <v>44450</v>
      </c>
      <c r="C256" s="269">
        <v>15.135667991953021</v>
      </c>
      <c r="D256" s="269">
        <v>21.014323006984561</v>
      </c>
      <c r="E256" s="177">
        <f t="shared" si="6"/>
        <v>15.135667991953021</v>
      </c>
      <c r="F256" s="199" t="str">
        <f t="shared" si="7"/>
        <v/>
      </c>
    </row>
    <row r="257" spans="1:7">
      <c r="A257">
        <v>254</v>
      </c>
      <c r="B257" s="46">
        <v>44451</v>
      </c>
      <c r="C257" s="269">
        <v>20.061154527952095</v>
      </c>
      <c r="D257" s="269">
        <v>21.014323006984561</v>
      </c>
      <c r="E257" s="177">
        <f t="shared" si="6"/>
        <v>20.061154527952095</v>
      </c>
      <c r="F257" s="199" t="str">
        <f t="shared" si="7"/>
        <v/>
      </c>
    </row>
    <row r="258" spans="1:7">
      <c r="A258">
        <v>255</v>
      </c>
      <c r="B258" s="46">
        <v>44452</v>
      </c>
      <c r="C258" s="269">
        <v>12.823799795953025</v>
      </c>
      <c r="D258" s="269">
        <v>21.014323006984561</v>
      </c>
      <c r="E258" s="177">
        <f t="shared" si="6"/>
        <v>12.823799795953025</v>
      </c>
      <c r="F258" s="199" t="str">
        <f t="shared" si="7"/>
        <v/>
      </c>
    </row>
    <row r="259" spans="1:7">
      <c r="A259">
        <v>256</v>
      </c>
      <c r="B259" s="46">
        <v>44453</v>
      </c>
      <c r="C259" s="269">
        <v>25.974186331951163</v>
      </c>
      <c r="D259" s="269">
        <v>21.014323006984561</v>
      </c>
      <c r="E259" s="177">
        <f t="shared" si="6"/>
        <v>21.014323006984561</v>
      </c>
      <c r="F259" s="199" t="str">
        <f t="shared" si="7"/>
        <v/>
      </c>
    </row>
    <row r="260" spans="1:7">
      <c r="A260">
        <v>257</v>
      </c>
      <c r="B260" s="46">
        <v>44454</v>
      </c>
      <c r="C260" s="269">
        <v>38.31835680787313</v>
      </c>
      <c r="D260" s="269">
        <v>21.014323006984561</v>
      </c>
      <c r="E260" s="177">
        <f t="shared" ref="E260:E323" si="8">IF(C260&lt;D260,C260,D260)</f>
        <v>21.014323006984561</v>
      </c>
      <c r="F260" s="199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S</v>
      </c>
      <c r="G260" s="200">
        <f>IF(DAY(B260)=15,D260,"")</f>
        <v>21.014323006984561</v>
      </c>
    </row>
    <row r="261" spans="1:7">
      <c r="A261">
        <v>258</v>
      </c>
      <c r="B261" s="46">
        <v>44455</v>
      </c>
      <c r="C261" s="269">
        <v>21.487675855873132</v>
      </c>
      <c r="D261" s="269">
        <v>21.014323006984561</v>
      </c>
      <c r="E261" s="177">
        <f t="shared" si="8"/>
        <v>21.014323006984561</v>
      </c>
      <c r="F261" s="199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44456</v>
      </c>
      <c r="C262" s="269">
        <v>16.394569441872203</v>
      </c>
      <c r="D262" s="269">
        <v>21.014323006984561</v>
      </c>
      <c r="E262" s="177">
        <f t="shared" si="8"/>
        <v>16.394569441872203</v>
      </c>
      <c r="F262" s="199" t="str">
        <f t="shared" si="9"/>
        <v/>
      </c>
    </row>
    <row r="263" spans="1:7">
      <c r="A263">
        <v>260</v>
      </c>
      <c r="B263" s="46">
        <v>44457</v>
      </c>
      <c r="C263" s="269">
        <v>11.821708425872202</v>
      </c>
      <c r="D263" s="269">
        <v>21.014323006984561</v>
      </c>
      <c r="E263" s="177">
        <f t="shared" si="8"/>
        <v>11.821708425872202</v>
      </c>
      <c r="F263" s="199" t="str">
        <f t="shared" si="9"/>
        <v/>
      </c>
    </row>
    <row r="264" spans="1:7">
      <c r="A264">
        <v>261</v>
      </c>
      <c r="B264" s="46">
        <v>44458</v>
      </c>
      <c r="C264" s="269">
        <v>11.033212529874065</v>
      </c>
      <c r="D264" s="269">
        <v>21.014323006984561</v>
      </c>
      <c r="E264" s="177">
        <f t="shared" si="8"/>
        <v>11.033212529874065</v>
      </c>
      <c r="F264" s="199" t="str">
        <f t="shared" si="9"/>
        <v/>
      </c>
    </row>
    <row r="265" spans="1:7">
      <c r="A265">
        <v>262</v>
      </c>
      <c r="B265" s="46">
        <v>44459</v>
      </c>
      <c r="C265" s="269">
        <v>12.408188627872201</v>
      </c>
      <c r="D265" s="269">
        <v>21.014323006984561</v>
      </c>
      <c r="E265" s="177">
        <f t="shared" si="8"/>
        <v>12.408188627872201</v>
      </c>
      <c r="F265" s="199" t="str">
        <f t="shared" si="9"/>
        <v/>
      </c>
    </row>
    <row r="266" spans="1:7">
      <c r="A266">
        <v>263</v>
      </c>
      <c r="B266" s="46">
        <v>44460</v>
      </c>
      <c r="C266" s="269">
        <v>11.887315421872204</v>
      </c>
      <c r="D266" s="269">
        <v>21.014323006984561</v>
      </c>
      <c r="E266" s="177">
        <f t="shared" si="8"/>
        <v>11.887315421872204</v>
      </c>
      <c r="F266" s="199" t="str">
        <f t="shared" si="9"/>
        <v/>
      </c>
    </row>
    <row r="267" spans="1:7">
      <c r="A267">
        <v>264</v>
      </c>
      <c r="B267" s="46">
        <v>44461</v>
      </c>
      <c r="C267" s="269">
        <v>24.565719547283638</v>
      </c>
      <c r="D267" s="269">
        <v>21.014323006984561</v>
      </c>
      <c r="E267" s="177">
        <f t="shared" si="8"/>
        <v>21.014323006984561</v>
      </c>
      <c r="F267" s="199" t="str">
        <f t="shared" si="9"/>
        <v/>
      </c>
    </row>
    <row r="268" spans="1:7">
      <c r="A268">
        <v>265</v>
      </c>
      <c r="B268" s="46">
        <v>44462</v>
      </c>
      <c r="C268" s="269">
        <v>18.78037494927991</v>
      </c>
      <c r="D268" s="269">
        <v>21.014323006984561</v>
      </c>
      <c r="E268" s="177">
        <f t="shared" si="8"/>
        <v>18.78037494927991</v>
      </c>
      <c r="F268" s="199" t="str">
        <f t="shared" si="9"/>
        <v/>
      </c>
    </row>
    <row r="269" spans="1:7">
      <c r="A269">
        <v>266</v>
      </c>
      <c r="B269" s="46">
        <v>44463</v>
      </c>
      <c r="C269" s="269">
        <v>28.647999827281776</v>
      </c>
      <c r="D269" s="269">
        <v>21.014323006984561</v>
      </c>
      <c r="E269" s="177">
        <f t="shared" si="8"/>
        <v>21.014323006984561</v>
      </c>
      <c r="F269" s="199" t="str">
        <f t="shared" si="9"/>
        <v/>
      </c>
    </row>
    <row r="270" spans="1:7">
      <c r="A270">
        <v>267</v>
      </c>
      <c r="B270" s="46">
        <v>44464</v>
      </c>
      <c r="C270" s="269">
        <v>21.776072683282706</v>
      </c>
      <c r="D270" s="269">
        <v>21.014323006984561</v>
      </c>
      <c r="E270" s="177">
        <f t="shared" si="8"/>
        <v>21.014323006984561</v>
      </c>
      <c r="F270" s="199" t="str">
        <f t="shared" si="9"/>
        <v/>
      </c>
    </row>
    <row r="271" spans="1:7">
      <c r="A271">
        <v>268</v>
      </c>
      <c r="B271" s="46">
        <v>44465</v>
      </c>
      <c r="C271" s="269">
        <v>15.501655585280846</v>
      </c>
      <c r="D271" s="269">
        <v>21.014323006984561</v>
      </c>
      <c r="E271" s="177">
        <f t="shared" si="8"/>
        <v>15.501655585280846</v>
      </c>
      <c r="F271" s="199" t="str">
        <f t="shared" si="9"/>
        <v/>
      </c>
    </row>
    <row r="272" spans="1:7">
      <c r="A272">
        <v>269</v>
      </c>
      <c r="B272" s="46">
        <v>44466</v>
      </c>
      <c r="C272" s="269">
        <v>22.111520435282706</v>
      </c>
      <c r="D272" s="269">
        <v>21.014323006984561</v>
      </c>
      <c r="E272" s="177">
        <f t="shared" si="8"/>
        <v>21.014323006984561</v>
      </c>
      <c r="F272" s="199" t="str">
        <f t="shared" si="9"/>
        <v/>
      </c>
    </row>
    <row r="273" spans="1:6">
      <c r="A273">
        <v>270</v>
      </c>
      <c r="B273" s="46">
        <v>44467</v>
      </c>
      <c r="C273" s="269">
        <v>31.315857271280844</v>
      </c>
      <c r="D273" s="269">
        <v>21.014323006984561</v>
      </c>
      <c r="E273" s="177">
        <f t="shared" si="8"/>
        <v>21.014323006984561</v>
      </c>
      <c r="F273" s="199" t="str">
        <f t="shared" si="9"/>
        <v/>
      </c>
    </row>
    <row r="274" spans="1:6">
      <c r="A274">
        <v>271</v>
      </c>
      <c r="B274" s="46">
        <v>44468</v>
      </c>
      <c r="C274" s="269">
        <v>21.160280351840992</v>
      </c>
      <c r="D274" s="269">
        <v>21.014323006984561</v>
      </c>
      <c r="E274" s="177">
        <f t="shared" si="8"/>
        <v>21.014323006984561</v>
      </c>
      <c r="F274" s="199" t="str">
        <f t="shared" si="9"/>
        <v/>
      </c>
    </row>
    <row r="275" spans="1:6">
      <c r="A275">
        <v>272</v>
      </c>
      <c r="B275" s="46">
        <v>44469</v>
      </c>
      <c r="C275" s="269">
        <v>20.742861095840059</v>
      </c>
      <c r="D275" s="269">
        <v>21.014323006984561</v>
      </c>
      <c r="E275" s="177">
        <f t="shared" si="8"/>
        <v>20.742861095840059</v>
      </c>
      <c r="F275" s="199" t="str">
        <f t="shared" si="9"/>
        <v/>
      </c>
    </row>
    <row r="276" spans="1:6">
      <c r="A276">
        <v>273</v>
      </c>
      <c r="B276" s="46">
        <v>44470</v>
      </c>
      <c r="C276" s="269">
        <v>26.484012107839131</v>
      </c>
      <c r="D276" s="269">
        <v>42.895784539321873</v>
      </c>
      <c r="E276" s="177">
        <f t="shared" si="8"/>
        <v>26.484012107839131</v>
      </c>
      <c r="F276" s="199" t="str">
        <f t="shared" si="9"/>
        <v/>
      </c>
    </row>
    <row r="277" spans="1:6">
      <c r="A277">
        <v>274</v>
      </c>
      <c r="B277" s="46">
        <v>44471</v>
      </c>
      <c r="C277" s="269">
        <v>11.422333385840993</v>
      </c>
      <c r="D277" s="269">
        <v>42.895784539321873</v>
      </c>
      <c r="E277" s="177">
        <f t="shared" si="8"/>
        <v>11.422333385840993</v>
      </c>
      <c r="F277" s="199" t="str">
        <f t="shared" si="9"/>
        <v/>
      </c>
    </row>
    <row r="278" spans="1:6">
      <c r="A278">
        <v>275</v>
      </c>
      <c r="B278" s="46">
        <v>44472</v>
      </c>
      <c r="C278" s="269">
        <v>7.014401093840064</v>
      </c>
      <c r="D278" s="269">
        <v>42.895784539321873</v>
      </c>
      <c r="E278" s="177">
        <f t="shared" si="8"/>
        <v>7.014401093840064</v>
      </c>
      <c r="F278" s="199" t="str">
        <f t="shared" si="9"/>
        <v/>
      </c>
    </row>
    <row r="279" spans="1:6">
      <c r="A279">
        <v>276</v>
      </c>
      <c r="B279" s="46">
        <v>44473</v>
      </c>
      <c r="C279" s="269">
        <v>20.050433471840066</v>
      </c>
      <c r="D279" s="269">
        <v>42.895784539321873</v>
      </c>
      <c r="E279" s="177">
        <f t="shared" si="8"/>
        <v>20.050433471840066</v>
      </c>
      <c r="F279" s="199" t="str">
        <f t="shared" si="9"/>
        <v/>
      </c>
    </row>
    <row r="280" spans="1:6">
      <c r="A280">
        <v>277</v>
      </c>
      <c r="B280" s="46">
        <v>44474</v>
      </c>
      <c r="C280" s="269">
        <v>20.381699117839133</v>
      </c>
      <c r="D280" s="269">
        <v>42.895784539321873</v>
      </c>
      <c r="E280" s="177">
        <f t="shared" si="8"/>
        <v>20.381699117839133</v>
      </c>
      <c r="F280" s="199" t="str">
        <f t="shared" si="9"/>
        <v/>
      </c>
    </row>
    <row r="281" spans="1:6">
      <c r="A281">
        <v>278</v>
      </c>
      <c r="B281" s="46">
        <v>44475</v>
      </c>
      <c r="C281" s="269">
        <v>34.52539895779509</v>
      </c>
      <c r="D281" s="269">
        <v>42.895784539321873</v>
      </c>
      <c r="E281" s="177">
        <f t="shared" si="8"/>
        <v>34.52539895779509</v>
      </c>
      <c r="F281" s="199" t="str">
        <f t="shared" si="9"/>
        <v/>
      </c>
    </row>
    <row r="282" spans="1:6">
      <c r="A282">
        <v>279</v>
      </c>
      <c r="B282" s="46">
        <v>44476</v>
      </c>
      <c r="C282" s="269">
        <v>32.413288555796015</v>
      </c>
      <c r="D282" s="269">
        <v>42.895784539321873</v>
      </c>
      <c r="E282" s="177">
        <f t="shared" si="8"/>
        <v>32.413288555796015</v>
      </c>
      <c r="F282" s="199" t="str">
        <f t="shared" si="9"/>
        <v/>
      </c>
    </row>
    <row r="283" spans="1:6">
      <c r="A283">
        <v>280</v>
      </c>
      <c r="B283" s="46">
        <v>44477</v>
      </c>
      <c r="C283" s="269">
        <v>28.821596095796021</v>
      </c>
      <c r="D283" s="269">
        <v>42.895784539321873</v>
      </c>
      <c r="E283" s="177">
        <f t="shared" si="8"/>
        <v>28.821596095796021</v>
      </c>
      <c r="F283" s="199" t="str">
        <f t="shared" si="9"/>
        <v/>
      </c>
    </row>
    <row r="284" spans="1:6">
      <c r="A284">
        <v>281</v>
      </c>
      <c r="B284" s="46">
        <v>44478</v>
      </c>
      <c r="C284" s="269">
        <v>26.066840315795091</v>
      </c>
      <c r="D284" s="269">
        <v>42.895784539321873</v>
      </c>
      <c r="E284" s="177">
        <f t="shared" si="8"/>
        <v>26.066840315795091</v>
      </c>
      <c r="F284" s="199" t="str">
        <f t="shared" si="9"/>
        <v/>
      </c>
    </row>
    <row r="285" spans="1:6">
      <c r="A285">
        <v>282</v>
      </c>
      <c r="B285" s="46">
        <v>44479</v>
      </c>
      <c r="C285" s="269">
        <v>14.96657990579509</v>
      </c>
      <c r="D285" s="269">
        <v>42.895784539321873</v>
      </c>
      <c r="E285" s="177">
        <f t="shared" si="8"/>
        <v>14.96657990579509</v>
      </c>
      <c r="F285" s="199" t="str">
        <f t="shared" si="9"/>
        <v/>
      </c>
    </row>
    <row r="286" spans="1:6">
      <c r="A286">
        <v>283</v>
      </c>
      <c r="B286" s="46">
        <v>44480</v>
      </c>
      <c r="C286" s="269">
        <v>18.981357715795088</v>
      </c>
      <c r="D286" s="269">
        <v>42.895784539321873</v>
      </c>
      <c r="E286" s="177">
        <f t="shared" si="8"/>
        <v>18.981357715795088</v>
      </c>
      <c r="F286" s="199" t="str">
        <f t="shared" si="9"/>
        <v/>
      </c>
    </row>
    <row r="287" spans="1:6">
      <c r="A287">
        <v>284</v>
      </c>
      <c r="B287" s="46">
        <v>44481</v>
      </c>
      <c r="C287" s="269">
        <v>16.802798215795089</v>
      </c>
      <c r="D287" s="269">
        <v>42.895784539321873</v>
      </c>
      <c r="E287" s="177">
        <f t="shared" si="8"/>
        <v>16.802798215795089</v>
      </c>
      <c r="F287" s="199" t="str">
        <f t="shared" si="9"/>
        <v/>
      </c>
    </row>
    <row r="288" spans="1:6">
      <c r="A288">
        <v>285</v>
      </c>
      <c r="B288" s="46">
        <v>44482</v>
      </c>
      <c r="C288" s="269">
        <v>9.6846070946646687</v>
      </c>
      <c r="D288" s="269">
        <v>42.895784539321873</v>
      </c>
      <c r="E288" s="177">
        <f t="shared" si="8"/>
        <v>9.6846070946646687</v>
      </c>
      <c r="F288" s="199" t="str">
        <f t="shared" si="9"/>
        <v/>
      </c>
    </row>
    <row r="289" spans="1:7">
      <c r="A289">
        <v>286</v>
      </c>
      <c r="B289" s="46">
        <v>44483</v>
      </c>
      <c r="C289" s="269">
        <v>21.032429324664669</v>
      </c>
      <c r="D289" s="269">
        <v>42.895784539321873</v>
      </c>
      <c r="E289" s="177">
        <f t="shared" si="8"/>
        <v>21.032429324664669</v>
      </c>
      <c r="F289" s="199" t="str">
        <f t="shared" si="9"/>
        <v/>
      </c>
    </row>
    <row r="290" spans="1:7">
      <c r="A290">
        <v>287</v>
      </c>
      <c r="B290" s="46">
        <v>44484</v>
      </c>
      <c r="C290" s="269">
        <v>22.649003934664666</v>
      </c>
      <c r="D290" s="269">
        <v>42.895784539321873</v>
      </c>
      <c r="E290" s="177">
        <f t="shared" si="8"/>
        <v>22.649003934664666</v>
      </c>
      <c r="F290" s="199" t="str">
        <f t="shared" si="9"/>
        <v>O</v>
      </c>
      <c r="G290" s="200">
        <f>IF(DAY(B290)=15,D290,"")</f>
        <v>42.895784539321873</v>
      </c>
    </row>
    <row r="291" spans="1:7">
      <c r="A291">
        <v>288</v>
      </c>
      <c r="B291" s="46">
        <v>44485</v>
      </c>
      <c r="C291" s="269">
        <v>22.74705282466374</v>
      </c>
      <c r="D291" s="269">
        <v>42.895784539321873</v>
      </c>
      <c r="E291" s="177">
        <f t="shared" si="8"/>
        <v>22.74705282466374</v>
      </c>
      <c r="F291" s="199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</row>
    <row r="292" spans="1:7">
      <c r="A292">
        <v>289</v>
      </c>
      <c r="B292" s="46">
        <v>44486</v>
      </c>
      <c r="C292" s="269">
        <v>20.389109104664669</v>
      </c>
      <c r="D292" s="269">
        <v>42.895784539321873</v>
      </c>
      <c r="E292" s="177">
        <f t="shared" si="8"/>
        <v>20.389109104664669</v>
      </c>
      <c r="F292" s="199" t="str">
        <f t="shared" si="9"/>
        <v/>
      </c>
    </row>
    <row r="293" spans="1:7">
      <c r="A293">
        <v>290</v>
      </c>
      <c r="B293" s="46">
        <v>44487</v>
      </c>
      <c r="C293" s="269">
        <v>19.91802019466374</v>
      </c>
      <c r="D293" s="269">
        <v>42.895784539321873</v>
      </c>
      <c r="E293" s="177">
        <f t="shared" si="8"/>
        <v>19.91802019466374</v>
      </c>
      <c r="F293" s="199" t="str">
        <f t="shared" si="9"/>
        <v/>
      </c>
    </row>
    <row r="294" spans="1:7">
      <c r="A294">
        <v>291</v>
      </c>
      <c r="B294" s="46">
        <v>44488</v>
      </c>
      <c r="C294" s="269">
        <v>13.611966614663739</v>
      </c>
      <c r="D294" s="269">
        <v>42.895784539321873</v>
      </c>
      <c r="E294" s="177">
        <f t="shared" si="8"/>
        <v>13.611966614663739</v>
      </c>
      <c r="F294" s="199" t="str">
        <f t="shared" si="9"/>
        <v/>
      </c>
    </row>
    <row r="295" spans="1:7">
      <c r="A295">
        <v>292</v>
      </c>
      <c r="B295" s="46">
        <v>44489</v>
      </c>
      <c r="C295" s="269">
        <v>15.358722254522178</v>
      </c>
      <c r="D295" s="269">
        <v>42.895784539321873</v>
      </c>
      <c r="E295" s="177">
        <f t="shared" si="8"/>
        <v>15.358722254522178</v>
      </c>
      <c r="F295" s="199" t="str">
        <f t="shared" si="9"/>
        <v/>
      </c>
    </row>
    <row r="296" spans="1:7">
      <c r="A296">
        <v>293</v>
      </c>
      <c r="B296" s="46">
        <v>44490</v>
      </c>
      <c r="C296" s="269">
        <v>22.043631314521249</v>
      </c>
      <c r="D296" s="269">
        <v>42.895784539321873</v>
      </c>
      <c r="E296" s="177">
        <f t="shared" si="8"/>
        <v>22.043631314521249</v>
      </c>
      <c r="F296" s="199" t="str">
        <f t="shared" si="9"/>
        <v/>
      </c>
    </row>
    <row r="297" spans="1:7">
      <c r="A297">
        <v>294</v>
      </c>
      <c r="B297" s="46">
        <v>44491</v>
      </c>
      <c r="C297" s="269">
        <v>15.948809024523111</v>
      </c>
      <c r="D297" s="269">
        <v>42.895784539321873</v>
      </c>
      <c r="E297" s="177">
        <f t="shared" si="8"/>
        <v>15.948809024523111</v>
      </c>
      <c r="F297" s="199" t="str">
        <f t="shared" si="9"/>
        <v/>
      </c>
    </row>
    <row r="298" spans="1:7">
      <c r="A298">
        <v>295</v>
      </c>
      <c r="B298" s="46">
        <v>44492</v>
      </c>
      <c r="C298" s="269">
        <v>16.075023874521243</v>
      </c>
      <c r="D298" s="269">
        <v>42.895784539321873</v>
      </c>
      <c r="E298" s="177">
        <f t="shared" si="8"/>
        <v>16.075023874521243</v>
      </c>
      <c r="F298" s="199" t="str">
        <f t="shared" si="9"/>
        <v/>
      </c>
    </row>
    <row r="299" spans="1:7">
      <c r="A299">
        <v>296</v>
      </c>
      <c r="B299" s="46">
        <v>44493</v>
      </c>
      <c r="C299" s="269">
        <v>16.832100644522178</v>
      </c>
      <c r="D299" s="269">
        <v>42.895784539321873</v>
      </c>
      <c r="E299" s="177">
        <f t="shared" si="8"/>
        <v>16.832100644522178</v>
      </c>
      <c r="F299" s="199" t="str">
        <f t="shared" si="9"/>
        <v/>
      </c>
    </row>
    <row r="300" spans="1:7">
      <c r="A300">
        <v>297</v>
      </c>
      <c r="B300" s="46">
        <v>44494</v>
      </c>
      <c r="C300" s="269">
        <v>28.021523204521248</v>
      </c>
      <c r="D300" s="269">
        <v>42.895784539321873</v>
      </c>
      <c r="E300" s="177">
        <f t="shared" si="8"/>
        <v>28.021523204521248</v>
      </c>
      <c r="F300" s="199" t="str">
        <f t="shared" si="9"/>
        <v/>
      </c>
    </row>
    <row r="301" spans="1:7">
      <c r="A301">
        <v>298</v>
      </c>
      <c r="B301" s="46">
        <v>44495</v>
      </c>
      <c r="C301" s="269">
        <v>20.54823370452311</v>
      </c>
      <c r="D301" s="269">
        <v>42.895784539321873</v>
      </c>
      <c r="E301" s="177">
        <f t="shared" si="8"/>
        <v>20.54823370452311</v>
      </c>
      <c r="F301" s="199" t="str">
        <f t="shared" si="9"/>
        <v/>
      </c>
    </row>
    <row r="302" spans="1:7">
      <c r="A302">
        <v>299</v>
      </c>
      <c r="B302" s="46">
        <v>44496</v>
      </c>
      <c r="C302" s="269">
        <v>38.624622912769432</v>
      </c>
      <c r="D302" s="269">
        <v>42.895784539321873</v>
      </c>
      <c r="E302" s="177">
        <f t="shared" si="8"/>
        <v>38.624622912769432</v>
      </c>
      <c r="F302" s="199" t="str">
        <f t="shared" si="9"/>
        <v/>
      </c>
    </row>
    <row r="303" spans="1:7">
      <c r="A303">
        <v>300</v>
      </c>
      <c r="B303" s="46">
        <v>44497</v>
      </c>
      <c r="C303" s="269">
        <v>29.89881810277129</v>
      </c>
      <c r="D303" s="269">
        <v>42.895784539321873</v>
      </c>
      <c r="E303" s="177">
        <f t="shared" si="8"/>
        <v>29.89881810277129</v>
      </c>
      <c r="F303" s="199" t="str">
        <f t="shared" si="9"/>
        <v/>
      </c>
    </row>
    <row r="304" spans="1:7">
      <c r="A304">
        <v>301</v>
      </c>
      <c r="B304" s="46">
        <v>44498</v>
      </c>
      <c r="C304" s="269">
        <v>25.749093082769427</v>
      </c>
      <c r="D304" s="269">
        <v>42.895784539321873</v>
      </c>
      <c r="E304" s="177">
        <f t="shared" si="8"/>
        <v>25.749093082769427</v>
      </c>
      <c r="F304" s="199" t="str">
        <f t="shared" si="9"/>
        <v/>
      </c>
    </row>
    <row r="305" spans="1:6">
      <c r="A305">
        <v>302</v>
      </c>
      <c r="B305" s="46">
        <v>44499</v>
      </c>
      <c r="C305" s="269">
        <v>27.014702642770359</v>
      </c>
      <c r="D305" s="269">
        <v>42.895784539321873</v>
      </c>
      <c r="E305" s="177">
        <f t="shared" si="8"/>
        <v>27.014702642770359</v>
      </c>
      <c r="F305" s="199" t="str">
        <f t="shared" si="9"/>
        <v/>
      </c>
    </row>
    <row r="306" spans="1:6">
      <c r="A306">
        <v>303</v>
      </c>
      <c r="B306" s="46">
        <v>44500</v>
      </c>
      <c r="C306" s="269">
        <v>14.624562322768497</v>
      </c>
      <c r="D306" s="269">
        <v>42.895784539321873</v>
      </c>
      <c r="E306" s="177">
        <f t="shared" si="8"/>
        <v>14.624562322768497</v>
      </c>
      <c r="F306" s="199" t="str">
        <f t="shared" si="9"/>
        <v/>
      </c>
    </row>
    <row r="307" spans="1:6">
      <c r="A307">
        <v>304</v>
      </c>
      <c r="B307" s="46">
        <v>44501</v>
      </c>
      <c r="C307" s="269">
        <v>22.308230842770357</v>
      </c>
      <c r="D307" s="269">
        <v>83.114057360768328</v>
      </c>
      <c r="E307" s="177">
        <f t="shared" si="8"/>
        <v>22.308230842770357</v>
      </c>
      <c r="F307" s="199" t="str">
        <f t="shared" si="9"/>
        <v/>
      </c>
    </row>
    <row r="308" spans="1:6">
      <c r="A308">
        <v>305</v>
      </c>
      <c r="B308" s="46">
        <v>44502</v>
      </c>
      <c r="C308" s="269">
        <v>28.861979306771289</v>
      </c>
      <c r="D308" s="269">
        <v>83.114057360768328</v>
      </c>
      <c r="E308" s="177">
        <f t="shared" si="8"/>
        <v>28.861979306771289</v>
      </c>
      <c r="F308" s="199" t="str">
        <f t="shared" si="9"/>
        <v/>
      </c>
    </row>
    <row r="309" spans="1:6">
      <c r="A309">
        <v>306</v>
      </c>
      <c r="B309" s="46">
        <v>44503</v>
      </c>
      <c r="C309" s="269">
        <v>55.962576198660777</v>
      </c>
      <c r="D309" s="269">
        <v>83.114057360768328</v>
      </c>
      <c r="E309" s="177">
        <f t="shared" si="8"/>
        <v>55.962576198660777</v>
      </c>
      <c r="F309" s="199" t="str">
        <f t="shared" si="9"/>
        <v/>
      </c>
    </row>
    <row r="310" spans="1:6">
      <c r="A310">
        <v>307</v>
      </c>
      <c r="B310" s="46">
        <v>44504</v>
      </c>
      <c r="C310" s="269">
        <v>53.423324498659845</v>
      </c>
      <c r="D310" s="269">
        <v>83.114057360768328</v>
      </c>
      <c r="E310" s="177">
        <f t="shared" si="8"/>
        <v>53.423324498659845</v>
      </c>
      <c r="F310" s="199" t="str">
        <f t="shared" si="9"/>
        <v/>
      </c>
    </row>
    <row r="311" spans="1:6">
      <c r="A311">
        <v>308</v>
      </c>
      <c r="B311" s="46">
        <v>44505</v>
      </c>
      <c r="C311" s="269">
        <v>54.768987696662641</v>
      </c>
      <c r="D311" s="269">
        <v>83.114057360768328</v>
      </c>
      <c r="E311" s="177">
        <f t="shared" si="8"/>
        <v>54.768987696662641</v>
      </c>
      <c r="F311" s="199" t="str">
        <f t="shared" si="9"/>
        <v/>
      </c>
    </row>
    <row r="312" spans="1:6">
      <c r="A312">
        <v>309</v>
      </c>
      <c r="B312" s="46">
        <v>44506</v>
      </c>
      <c r="C312" s="269">
        <v>51.567977068661712</v>
      </c>
      <c r="D312" s="269">
        <v>83.114057360768328</v>
      </c>
      <c r="E312" s="177">
        <f t="shared" si="8"/>
        <v>51.567977068661712</v>
      </c>
      <c r="F312" s="199" t="str">
        <f t="shared" si="9"/>
        <v/>
      </c>
    </row>
    <row r="313" spans="1:6">
      <c r="A313">
        <v>310</v>
      </c>
      <c r="B313" s="46">
        <v>44507</v>
      </c>
      <c r="C313" s="269">
        <v>44.701077378660777</v>
      </c>
      <c r="D313" s="269">
        <v>83.114057360768328</v>
      </c>
      <c r="E313" s="177">
        <f t="shared" si="8"/>
        <v>44.701077378660777</v>
      </c>
      <c r="F313" s="199" t="str">
        <f t="shared" si="9"/>
        <v/>
      </c>
    </row>
    <row r="314" spans="1:6">
      <c r="A314">
        <v>311</v>
      </c>
      <c r="B314" s="46">
        <v>44508</v>
      </c>
      <c r="C314" s="269">
        <v>58.140543336660777</v>
      </c>
      <c r="D314" s="269">
        <v>83.114057360768328</v>
      </c>
      <c r="E314" s="177">
        <f t="shared" si="8"/>
        <v>58.140543336660777</v>
      </c>
      <c r="F314" s="199" t="str">
        <f t="shared" si="9"/>
        <v/>
      </c>
    </row>
    <row r="315" spans="1:6">
      <c r="A315">
        <v>312</v>
      </c>
      <c r="B315" s="46">
        <v>44509</v>
      </c>
      <c r="C315" s="269">
        <v>60.352147998661714</v>
      </c>
      <c r="D315" s="269">
        <v>83.114057360768328</v>
      </c>
      <c r="E315" s="177">
        <f t="shared" si="8"/>
        <v>60.352147998661714</v>
      </c>
      <c r="F315" s="199" t="str">
        <f t="shared" si="9"/>
        <v/>
      </c>
    </row>
    <row r="316" spans="1:6">
      <c r="A316">
        <v>313</v>
      </c>
      <c r="B316" s="46">
        <v>44510</v>
      </c>
      <c r="C316" s="269">
        <v>40.642748824205341</v>
      </c>
      <c r="D316" s="269">
        <v>83.114057360768328</v>
      </c>
      <c r="E316" s="177">
        <f t="shared" si="8"/>
        <v>40.642748824205341</v>
      </c>
      <c r="F316" s="199" t="str">
        <f t="shared" si="9"/>
        <v/>
      </c>
    </row>
    <row r="317" spans="1:6">
      <c r="A317">
        <v>314</v>
      </c>
      <c r="B317" s="46">
        <v>44511</v>
      </c>
      <c r="C317" s="269">
        <v>42.387206774205346</v>
      </c>
      <c r="D317" s="269">
        <v>83.114057360768328</v>
      </c>
      <c r="E317" s="177">
        <f t="shared" si="8"/>
        <v>42.387206774205346</v>
      </c>
      <c r="F317" s="199" t="str">
        <f t="shared" si="9"/>
        <v/>
      </c>
    </row>
    <row r="318" spans="1:6">
      <c r="A318">
        <v>315</v>
      </c>
      <c r="B318" s="46">
        <v>44512</v>
      </c>
      <c r="C318" s="269">
        <v>41.148877884206271</v>
      </c>
      <c r="D318" s="269">
        <v>83.114057360768328</v>
      </c>
      <c r="E318" s="177">
        <f t="shared" si="8"/>
        <v>41.148877884206271</v>
      </c>
      <c r="F318" s="199" t="str">
        <f t="shared" si="9"/>
        <v/>
      </c>
    </row>
    <row r="319" spans="1:6">
      <c r="A319">
        <v>316</v>
      </c>
      <c r="B319" s="46">
        <v>44513</v>
      </c>
      <c r="C319" s="269">
        <v>23.362326284206276</v>
      </c>
      <c r="D319" s="269">
        <v>83.114057360768328</v>
      </c>
      <c r="E319" s="177">
        <f t="shared" si="8"/>
        <v>23.362326284206276</v>
      </c>
      <c r="F319" s="199" t="str">
        <f t="shared" si="9"/>
        <v/>
      </c>
    </row>
    <row r="320" spans="1:6">
      <c r="A320">
        <v>317</v>
      </c>
      <c r="B320" s="46">
        <v>44514</v>
      </c>
      <c r="C320" s="269">
        <v>24.407600184204412</v>
      </c>
      <c r="D320" s="269">
        <v>83.114057360768328</v>
      </c>
      <c r="E320" s="177">
        <f t="shared" si="8"/>
        <v>24.407600184204412</v>
      </c>
      <c r="F320" s="199" t="str">
        <f t="shared" si="9"/>
        <v/>
      </c>
    </row>
    <row r="321" spans="1:7">
      <c r="A321">
        <v>318</v>
      </c>
      <c r="B321" s="46">
        <v>44515</v>
      </c>
      <c r="C321" s="269">
        <v>34.030043696206278</v>
      </c>
      <c r="D321" s="269">
        <v>83.114057360768328</v>
      </c>
      <c r="E321" s="177">
        <f t="shared" si="8"/>
        <v>34.030043696206278</v>
      </c>
      <c r="F321" s="199" t="str">
        <f t="shared" si="9"/>
        <v>N</v>
      </c>
      <c r="G321" s="200">
        <f>IF(DAY(B321)=15,D321,"")</f>
        <v>83.114057360768328</v>
      </c>
    </row>
    <row r="322" spans="1:7">
      <c r="A322">
        <v>319</v>
      </c>
      <c r="B322" s="46">
        <v>44516</v>
      </c>
      <c r="C322" s="269">
        <v>28.109943584206274</v>
      </c>
      <c r="D322" s="269">
        <v>83.114057360768328</v>
      </c>
      <c r="E322" s="177">
        <f t="shared" si="8"/>
        <v>28.109943584206274</v>
      </c>
      <c r="F322" s="199" t="str">
        <f t="shared" si="9"/>
        <v/>
      </c>
    </row>
    <row r="323" spans="1:7">
      <c r="A323">
        <v>320</v>
      </c>
      <c r="B323" s="46">
        <v>44517</v>
      </c>
      <c r="C323" s="269">
        <v>16.007058459577522</v>
      </c>
      <c r="D323" s="269">
        <v>83.114057360768328</v>
      </c>
      <c r="E323" s="177">
        <f t="shared" si="8"/>
        <v>16.007058459577522</v>
      </c>
      <c r="F323" s="199" t="str">
        <f t="shared" si="9"/>
        <v/>
      </c>
    </row>
    <row r="324" spans="1:7">
      <c r="A324">
        <v>321</v>
      </c>
      <c r="B324" s="46">
        <v>44518</v>
      </c>
      <c r="C324" s="269">
        <v>19.80991207957566</v>
      </c>
      <c r="D324" s="269">
        <v>83.114057360768328</v>
      </c>
      <c r="E324" s="177">
        <f t="shared" ref="E324:E387" si="10">IF(C324&lt;D324,C324,D324)</f>
        <v>19.80991207957566</v>
      </c>
      <c r="F324" s="199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44519</v>
      </c>
      <c r="C325" s="269">
        <v>29.004762949575657</v>
      </c>
      <c r="D325" s="269">
        <v>83.114057360768328</v>
      </c>
      <c r="E325" s="177">
        <f t="shared" si="10"/>
        <v>29.004762949575657</v>
      </c>
      <c r="F325" s="199" t="str">
        <f t="shared" si="11"/>
        <v/>
      </c>
    </row>
    <row r="326" spans="1:7">
      <c r="A326">
        <v>323</v>
      </c>
      <c r="B326" s="46">
        <v>44520</v>
      </c>
      <c r="C326" s="269">
        <v>25.17667563157752</v>
      </c>
      <c r="D326" s="269">
        <v>83.114057360768328</v>
      </c>
      <c r="E326" s="177">
        <f t="shared" si="10"/>
        <v>25.17667563157752</v>
      </c>
      <c r="F326" s="199" t="str">
        <f t="shared" si="11"/>
        <v/>
      </c>
    </row>
    <row r="327" spans="1:7">
      <c r="A327">
        <v>324</v>
      </c>
      <c r="B327" s="46">
        <v>44521</v>
      </c>
      <c r="C327" s="269">
        <v>27.447862815575661</v>
      </c>
      <c r="D327" s="269">
        <v>83.114057360768328</v>
      </c>
      <c r="E327" s="177">
        <f t="shared" si="10"/>
        <v>27.447862815575661</v>
      </c>
      <c r="F327" s="199" t="str">
        <f t="shared" si="11"/>
        <v/>
      </c>
    </row>
    <row r="328" spans="1:7">
      <c r="A328">
        <v>325</v>
      </c>
      <c r="B328" s="46">
        <v>44522</v>
      </c>
      <c r="C328" s="269">
        <v>27.954714831577519</v>
      </c>
      <c r="D328" s="269">
        <v>83.114057360768328</v>
      </c>
      <c r="E328" s="177">
        <f t="shared" si="10"/>
        <v>27.954714831577519</v>
      </c>
      <c r="F328" s="199" t="str">
        <f t="shared" si="11"/>
        <v/>
      </c>
    </row>
    <row r="329" spans="1:7">
      <c r="A329">
        <v>326</v>
      </c>
      <c r="B329" s="46">
        <v>44523</v>
      </c>
      <c r="C329" s="269">
        <v>26.71150298357659</v>
      </c>
      <c r="D329" s="269">
        <v>83.114057360768328</v>
      </c>
      <c r="E329" s="177">
        <f t="shared" si="10"/>
        <v>26.71150298357659</v>
      </c>
      <c r="F329" s="199" t="str">
        <f t="shared" si="11"/>
        <v/>
      </c>
    </row>
    <row r="330" spans="1:7">
      <c r="A330">
        <v>327</v>
      </c>
      <c r="B330" s="46">
        <v>44524</v>
      </c>
      <c r="C330" s="269">
        <v>45.498446717377334</v>
      </c>
      <c r="D330" s="269">
        <v>83.114057360768328</v>
      </c>
      <c r="E330" s="177">
        <f t="shared" si="10"/>
        <v>45.498446717377334</v>
      </c>
      <c r="F330" s="199" t="str">
        <f t="shared" si="11"/>
        <v/>
      </c>
    </row>
    <row r="331" spans="1:7">
      <c r="A331">
        <v>328</v>
      </c>
      <c r="B331" s="46">
        <v>44525</v>
      </c>
      <c r="C331" s="269">
        <v>47.59839343537827</v>
      </c>
      <c r="D331" s="269">
        <v>83.114057360768328</v>
      </c>
      <c r="E331" s="177">
        <f t="shared" si="10"/>
        <v>47.59839343537827</v>
      </c>
      <c r="F331" s="199" t="str">
        <f t="shared" si="11"/>
        <v/>
      </c>
    </row>
    <row r="332" spans="1:7">
      <c r="A332">
        <v>329</v>
      </c>
      <c r="B332" s="46">
        <v>44526</v>
      </c>
      <c r="C332" s="269">
        <v>47.584021095378269</v>
      </c>
      <c r="D332" s="269">
        <v>83.114057360768328</v>
      </c>
      <c r="E332" s="177">
        <f t="shared" si="10"/>
        <v>47.584021095378269</v>
      </c>
      <c r="F332" s="199" t="str">
        <f t="shared" si="11"/>
        <v/>
      </c>
    </row>
    <row r="333" spans="1:7">
      <c r="A333">
        <v>330</v>
      </c>
      <c r="B333" s="46">
        <v>44527</v>
      </c>
      <c r="C333" s="269">
        <v>51.494670423378267</v>
      </c>
      <c r="D333" s="269">
        <v>83.114057360768328</v>
      </c>
      <c r="E333" s="177">
        <f t="shared" si="10"/>
        <v>51.494670423378267</v>
      </c>
      <c r="F333" s="199" t="str">
        <f t="shared" si="11"/>
        <v/>
      </c>
    </row>
    <row r="334" spans="1:7">
      <c r="A334">
        <v>331</v>
      </c>
      <c r="B334" s="46">
        <v>44528</v>
      </c>
      <c r="C334" s="269">
        <v>44.40616921137827</v>
      </c>
      <c r="D334" s="269">
        <v>83.114057360768328</v>
      </c>
      <c r="E334" s="177">
        <f t="shared" si="10"/>
        <v>44.40616921137827</v>
      </c>
      <c r="F334" s="199" t="str">
        <f t="shared" si="11"/>
        <v/>
      </c>
    </row>
    <row r="335" spans="1:7">
      <c r="A335">
        <v>332</v>
      </c>
      <c r="B335" s="46">
        <v>44529</v>
      </c>
      <c r="C335" s="269">
        <v>53.894276795377337</v>
      </c>
      <c r="D335" s="269">
        <v>83.114057360768328</v>
      </c>
      <c r="E335" s="177">
        <f t="shared" si="10"/>
        <v>53.894276795377337</v>
      </c>
      <c r="F335" s="199" t="str">
        <f t="shared" si="11"/>
        <v/>
      </c>
    </row>
    <row r="336" spans="1:7">
      <c r="A336">
        <v>333</v>
      </c>
      <c r="B336" s="46">
        <v>44530</v>
      </c>
      <c r="C336" s="269">
        <v>68.752722995378264</v>
      </c>
      <c r="D336" s="269">
        <v>83.114057360768328</v>
      </c>
      <c r="E336" s="177">
        <f t="shared" si="10"/>
        <v>68.752722995378264</v>
      </c>
      <c r="F336" s="199" t="str">
        <f t="shared" si="11"/>
        <v/>
      </c>
    </row>
    <row r="337" spans="1:7">
      <c r="A337">
        <v>334</v>
      </c>
      <c r="B337" s="46">
        <v>44531</v>
      </c>
      <c r="C337" s="269">
        <v>67.821475788547204</v>
      </c>
      <c r="D337" s="269">
        <v>104.11073943778104</v>
      </c>
      <c r="E337" s="177">
        <f t="shared" si="10"/>
        <v>67.821475788547204</v>
      </c>
      <c r="F337" s="199" t="str">
        <f t="shared" si="11"/>
        <v/>
      </c>
    </row>
    <row r="338" spans="1:7">
      <c r="A338">
        <v>335</v>
      </c>
      <c r="B338" s="46">
        <v>44532</v>
      </c>
      <c r="C338" s="269">
        <v>67.541189772550936</v>
      </c>
      <c r="D338" s="269">
        <v>104.11073943778104</v>
      </c>
      <c r="E338" s="177">
        <f t="shared" si="10"/>
        <v>67.541189772550936</v>
      </c>
      <c r="F338" s="199" t="str">
        <f t="shared" si="11"/>
        <v/>
      </c>
    </row>
    <row r="339" spans="1:7">
      <c r="A339">
        <v>336</v>
      </c>
      <c r="B339" s="46">
        <v>44533</v>
      </c>
      <c r="C339" s="269">
        <v>79.672016052547221</v>
      </c>
      <c r="D339" s="269">
        <v>104.11073943778104</v>
      </c>
      <c r="E339" s="177">
        <f t="shared" si="10"/>
        <v>79.672016052547221</v>
      </c>
      <c r="F339" s="199" t="str">
        <f t="shared" si="11"/>
        <v/>
      </c>
    </row>
    <row r="340" spans="1:7">
      <c r="A340">
        <v>337</v>
      </c>
      <c r="B340" s="46">
        <v>44534</v>
      </c>
      <c r="C340" s="269">
        <v>73.734586612549066</v>
      </c>
      <c r="D340" s="269">
        <v>104.11073943778104</v>
      </c>
      <c r="E340" s="177">
        <f t="shared" si="10"/>
        <v>73.734586612549066</v>
      </c>
      <c r="F340" s="199" t="str">
        <f t="shared" si="11"/>
        <v/>
      </c>
    </row>
    <row r="341" spans="1:7">
      <c r="A341">
        <v>338</v>
      </c>
      <c r="B341" s="46">
        <v>44535</v>
      </c>
      <c r="C341" s="269">
        <v>67.759518322548132</v>
      </c>
      <c r="D341" s="269">
        <v>104.11073943778104</v>
      </c>
      <c r="E341" s="177">
        <f t="shared" si="10"/>
        <v>67.759518322548132</v>
      </c>
      <c r="F341" s="199" t="str">
        <f t="shared" si="11"/>
        <v/>
      </c>
    </row>
    <row r="342" spans="1:7">
      <c r="A342">
        <v>339</v>
      </c>
      <c r="B342" s="46">
        <v>44536</v>
      </c>
      <c r="C342" s="269">
        <v>75.270274524549066</v>
      </c>
      <c r="D342" s="269">
        <v>104.11073943778104</v>
      </c>
      <c r="E342" s="177">
        <f t="shared" si="10"/>
        <v>75.270274524549066</v>
      </c>
      <c r="F342" s="199" t="str">
        <f t="shared" si="11"/>
        <v/>
      </c>
    </row>
    <row r="343" spans="1:7">
      <c r="A343">
        <v>340</v>
      </c>
      <c r="B343" s="46">
        <v>44537</v>
      </c>
      <c r="C343" s="269">
        <v>74.976928570549077</v>
      </c>
      <c r="D343" s="269">
        <v>104.11073943778104</v>
      </c>
      <c r="E343" s="177">
        <f t="shared" si="10"/>
        <v>74.976928570549077</v>
      </c>
      <c r="F343" s="199" t="str">
        <f t="shared" si="11"/>
        <v/>
      </c>
    </row>
    <row r="344" spans="1:7">
      <c r="A344">
        <v>341</v>
      </c>
      <c r="B344" s="46">
        <v>44538</v>
      </c>
      <c r="C344" s="269">
        <v>133.73023399479681</v>
      </c>
      <c r="D344" s="269">
        <v>104.11073943778104</v>
      </c>
      <c r="E344" s="177">
        <f t="shared" si="10"/>
        <v>104.11073943778104</v>
      </c>
      <c r="F344" s="199" t="str">
        <f t="shared" si="11"/>
        <v/>
      </c>
    </row>
    <row r="345" spans="1:7">
      <c r="A345">
        <v>342</v>
      </c>
      <c r="B345" s="46">
        <v>44539</v>
      </c>
      <c r="C345" s="269">
        <v>149.43799316679775</v>
      </c>
      <c r="D345" s="269">
        <v>104.11073943778104</v>
      </c>
      <c r="E345" s="177">
        <f t="shared" si="10"/>
        <v>104.11073943778104</v>
      </c>
      <c r="F345" s="199" t="str">
        <f t="shared" si="11"/>
        <v/>
      </c>
    </row>
    <row r="346" spans="1:7">
      <c r="A346">
        <v>343</v>
      </c>
      <c r="B346" s="46">
        <v>44540</v>
      </c>
      <c r="C346" s="269">
        <v>150.48674337479682</v>
      </c>
      <c r="D346" s="269">
        <v>104.11073943778104</v>
      </c>
      <c r="E346" s="177">
        <f t="shared" si="10"/>
        <v>104.11073943778104</v>
      </c>
      <c r="F346" s="199" t="str">
        <f t="shared" si="11"/>
        <v/>
      </c>
    </row>
    <row r="347" spans="1:7">
      <c r="A347">
        <v>344</v>
      </c>
      <c r="B347" s="46">
        <v>44541</v>
      </c>
      <c r="C347" s="269">
        <v>155.61882204879871</v>
      </c>
      <c r="D347" s="269">
        <v>104.11073943778104</v>
      </c>
      <c r="E347" s="177">
        <f t="shared" si="10"/>
        <v>104.11073943778104</v>
      </c>
      <c r="F347" s="199" t="str">
        <f t="shared" si="11"/>
        <v/>
      </c>
    </row>
    <row r="348" spans="1:7">
      <c r="A348">
        <v>345</v>
      </c>
      <c r="B348" s="46">
        <v>44542</v>
      </c>
      <c r="C348" s="269">
        <v>165.63521909679775</v>
      </c>
      <c r="D348" s="269">
        <v>104.11073943778104</v>
      </c>
      <c r="E348" s="177">
        <f t="shared" si="10"/>
        <v>104.11073943778104</v>
      </c>
      <c r="F348" s="199" t="str">
        <f t="shared" si="11"/>
        <v/>
      </c>
    </row>
    <row r="349" spans="1:7">
      <c r="A349">
        <v>346</v>
      </c>
      <c r="B349" s="46">
        <v>44543</v>
      </c>
      <c r="C349" s="269">
        <v>168.57384704479682</v>
      </c>
      <c r="D349" s="269">
        <v>104.11073943778104</v>
      </c>
      <c r="E349" s="177">
        <f t="shared" si="10"/>
        <v>104.11073943778104</v>
      </c>
      <c r="F349" s="199" t="str">
        <f t="shared" si="11"/>
        <v/>
      </c>
    </row>
    <row r="350" spans="1:7">
      <c r="A350">
        <v>347</v>
      </c>
      <c r="B350" s="46">
        <v>44544</v>
      </c>
      <c r="C350" s="269">
        <v>163.20609151079776</v>
      </c>
      <c r="D350" s="269">
        <v>104.11073943778104</v>
      </c>
      <c r="E350" s="177">
        <f t="shared" si="10"/>
        <v>104.11073943778104</v>
      </c>
      <c r="F350" s="199" t="str">
        <f t="shared" si="11"/>
        <v/>
      </c>
    </row>
    <row r="351" spans="1:7">
      <c r="A351">
        <v>348</v>
      </c>
      <c r="B351" s="46">
        <v>44545</v>
      </c>
      <c r="C351" s="269">
        <v>99.13559776305857</v>
      </c>
      <c r="D351" s="269">
        <v>104.11073943778104</v>
      </c>
      <c r="E351" s="177">
        <f t="shared" si="10"/>
        <v>99.13559776305857</v>
      </c>
      <c r="F351" s="199" t="str">
        <f t="shared" si="11"/>
        <v>D</v>
      </c>
      <c r="G351" s="200">
        <f>IF(DAY(B351)=15,D351,"")</f>
        <v>104.11073943778104</v>
      </c>
    </row>
    <row r="352" spans="1:7">
      <c r="A352">
        <v>349</v>
      </c>
      <c r="B352" s="46">
        <v>44546</v>
      </c>
      <c r="C352" s="269">
        <v>94.248035811056724</v>
      </c>
      <c r="D352" s="269">
        <v>104.11073943778104</v>
      </c>
      <c r="E352" s="177">
        <f t="shared" si="10"/>
        <v>94.248035811056724</v>
      </c>
      <c r="F352" s="199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</row>
    <row r="353" spans="1:6">
      <c r="A353">
        <v>350</v>
      </c>
      <c r="B353" s="46">
        <v>44547</v>
      </c>
      <c r="C353" s="269">
        <v>100.64211291105764</v>
      </c>
      <c r="D353" s="269">
        <v>104.11073943778104</v>
      </c>
      <c r="E353" s="177">
        <f t="shared" si="10"/>
        <v>100.64211291105764</v>
      </c>
      <c r="F353" s="199" t="str">
        <f t="shared" si="11"/>
        <v/>
      </c>
    </row>
    <row r="354" spans="1:6">
      <c r="A354">
        <v>351</v>
      </c>
      <c r="B354" s="46">
        <v>44548</v>
      </c>
      <c r="C354" s="269">
        <v>107.58767906705765</v>
      </c>
      <c r="D354" s="269">
        <v>104.11073943778104</v>
      </c>
      <c r="E354" s="177">
        <f t="shared" si="10"/>
        <v>104.11073943778104</v>
      </c>
      <c r="F354" s="199" t="str">
        <f t="shared" si="11"/>
        <v/>
      </c>
    </row>
    <row r="355" spans="1:6">
      <c r="A355">
        <v>352</v>
      </c>
      <c r="B355" s="46">
        <v>44549</v>
      </c>
      <c r="C355" s="269">
        <v>94.093302843058567</v>
      </c>
      <c r="D355" s="269">
        <v>104.11073943778104</v>
      </c>
      <c r="E355" s="177">
        <f t="shared" si="10"/>
        <v>94.093302843058567</v>
      </c>
      <c r="F355" s="199" t="str">
        <f t="shared" si="11"/>
        <v/>
      </c>
    </row>
    <row r="356" spans="1:6">
      <c r="A356">
        <v>353</v>
      </c>
      <c r="B356" s="46">
        <v>44550</v>
      </c>
      <c r="C356" s="269">
        <v>108.89402023105858</v>
      </c>
      <c r="D356" s="269">
        <v>104.11073943778104</v>
      </c>
      <c r="E356" s="177">
        <f t="shared" si="10"/>
        <v>104.11073943778104</v>
      </c>
      <c r="F356" s="199" t="str">
        <f t="shared" si="11"/>
        <v/>
      </c>
    </row>
    <row r="357" spans="1:6">
      <c r="A357">
        <v>354</v>
      </c>
      <c r="B357" s="46">
        <v>44551</v>
      </c>
      <c r="C357" s="269">
        <v>115.81913627105858</v>
      </c>
      <c r="D357" s="269">
        <v>104.11073943778104</v>
      </c>
      <c r="E357" s="177">
        <f t="shared" si="10"/>
        <v>104.11073943778104</v>
      </c>
      <c r="F357" s="199" t="str">
        <f t="shared" si="11"/>
        <v/>
      </c>
    </row>
    <row r="358" spans="1:6">
      <c r="A358">
        <v>355</v>
      </c>
      <c r="B358" s="46">
        <v>44552</v>
      </c>
      <c r="C358" s="269">
        <v>109.44060140971068</v>
      </c>
      <c r="D358" s="269">
        <v>104.11073943778104</v>
      </c>
      <c r="E358" s="177">
        <f t="shared" si="10"/>
        <v>104.11073943778104</v>
      </c>
      <c r="F358" s="199" t="str">
        <f t="shared" si="11"/>
        <v/>
      </c>
    </row>
    <row r="359" spans="1:6">
      <c r="A359">
        <v>356</v>
      </c>
      <c r="B359" s="46">
        <v>44553</v>
      </c>
      <c r="C359" s="269">
        <v>100.41240194570881</v>
      </c>
      <c r="D359" s="269">
        <v>104.11073943778104</v>
      </c>
      <c r="E359" s="177">
        <f t="shared" si="10"/>
        <v>100.41240194570881</v>
      </c>
      <c r="F359" s="199" t="str">
        <f t="shared" si="11"/>
        <v/>
      </c>
    </row>
    <row r="360" spans="1:6">
      <c r="A360">
        <v>357</v>
      </c>
      <c r="B360" s="46">
        <v>44554</v>
      </c>
      <c r="C360" s="269">
        <v>73.025348019711615</v>
      </c>
      <c r="D360" s="269">
        <v>104.11073943778104</v>
      </c>
      <c r="E360" s="177">
        <f t="shared" si="10"/>
        <v>73.025348019711615</v>
      </c>
      <c r="F360" s="199" t="str">
        <f t="shared" si="11"/>
        <v/>
      </c>
    </row>
    <row r="361" spans="1:6">
      <c r="A361">
        <v>358</v>
      </c>
      <c r="B361" s="46">
        <v>44555</v>
      </c>
      <c r="C361" s="269">
        <v>62.822974397708819</v>
      </c>
      <c r="D361" s="269">
        <v>104.11073943778104</v>
      </c>
      <c r="E361" s="177">
        <f t="shared" si="10"/>
        <v>62.822974397708819</v>
      </c>
      <c r="F361" s="199" t="str">
        <f t="shared" si="11"/>
        <v/>
      </c>
    </row>
    <row r="362" spans="1:6">
      <c r="A362">
        <v>359</v>
      </c>
      <c r="B362" s="46">
        <v>44556</v>
      </c>
      <c r="C362" s="269">
        <v>66.78294229771069</v>
      </c>
      <c r="D362" s="269">
        <v>104.11073943778104</v>
      </c>
      <c r="E362" s="177">
        <f t="shared" si="10"/>
        <v>66.78294229771069</v>
      </c>
      <c r="F362" s="199" t="str">
        <f t="shared" si="11"/>
        <v/>
      </c>
    </row>
    <row r="363" spans="1:6">
      <c r="A363">
        <v>360</v>
      </c>
      <c r="B363" s="46">
        <v>44557</v>
      </c>
      <c r="C363" s="269">
        <v>70.057535739709749</v>
      </c>
      <c r="D363" s="269">
        <v>104.11073943778104</v>
      </c>
      <c r="E363" s="177">
        <f t="shared" si="10"/>
        <v>70.057535739709749</v>
      </c>
      <c r="F363" s="199" t="str">
        <f t="shared" si="11"/>
        <v/>
      </c>
    </row>
    <row r="364" spans="1:6">
      <c r="A364">
        <v>361</v>
      </c>
      <c r="B364" s="46">
        <v>44558</v>
      </c>
      <c r="C364" s="269">
        <v>73.891913097710685</v>
      </c>
      <c r="D364" s="269">
        <v>104.11073943778104</v>
      </c>
      <c r="E364" s="177">
        <f t="shared" si="10"/>
        <v>73.891913097710685</v>
      </c>
      <c r="F364" s="199" t="str">
        <f t="shared" si="11"/>
        <v/>
      </c>
    </row>
    <row r="365" spans="1:6">
      <c r="A365">
        <v>362</v>
      </c>
      <c r="B365" s="46">
        <v>44559</v>
      </c>
      <c r="C365" s="269">
        <v>126.16605471740441</v>
      </c>
      <c r="D365" s="269">
        <v>104.11073943778104</v>
      </c>
      <c r="E365" s="177">
        <f t="shared" si="10"/>
        <v>104.11073943778104</v>
      </c>
      <c r="F365" s="199" t="str">
        <f t="shared" si="11"/>
        <v/>
      </c>
    </row>
    <row r="366" spans="1:6">
      <c r="A366">
        <v>363</v>
      </c>
      <c r="B366" s="46">
        <v>44560</v>
      </c>
      <c r="C366" s="269">
        <v>127.13486850740441</v>
      </c>
      <c r="D366" s="269">
        <v>104.11073943778104</v>
      </c>
      <c r="E366" s="177">
        <f t="shared" si="10"/>
        <v>104.11073943778104</v>
      </c>
      <c r="F366" s="199" t="str">
        <f t="shared" si="11"/>
        <v/>
      </c>
    </row>
    <row r="367" spans="1:6">
      <c r="A367">
        <v>364</v>
      </c>
      <c r="B367" s="46">
        <v>44561</v>
      </c>
      <c r="C367" s="269">
        <v>118.23414151740441</v>
      </c>
      <c r="D367" s="269">
        <v>104.11073943778104</v>
      </c>
      <c r="E367" s="177">
        <f t="shared" si="10"/>
        <v>104.11073943778104</v>
      </c>
      <c r="F367" s="199" t="str">
        <f t="shared" si="11"/>
        <v/>
      </c>
    </row>
    <row r="368" spans="1:6">
      <c r="A368">
        <v>365</v>
      </c>
      <c r="B368" s="46">
        <v>44562</v>
      </c>
      <c r="C368" s="269">
        <v>100.42625551940533</v>
      </c>
      <c r="D368" s="269">
        <v>117.91214619510544</v>
      </c>
      <c r="E368" s="177">
        <f t="shared" si="10"/>
        <v>100.42625551940533</v>
      </c>
      <c r="F368" s="199" t="str">
        <f t="shared" si="11"/>
        <v/>
      </c>
    </row>
    <row r="369" spans="1:7">
      <c r="A369">
        <v>366</v>
      </c>
      <c r="B369" s="46">
        <v>44563</v>
      </c>
      <c r="C369" s="269">
        <v>103.12638681740533</v>
      </c>
      <c r="D369" s="269">
        <v>117.91214619510544</v>
      </c>
      <c r="E369" s="177">
        <f t="shared" si="10"/>
        <v>103.12638681740533</v>
      </c>
      <c r="F369" s="199" t="str">
        <f t="shared" si="11"/>
        <v/>
      </c>
    </row>
    <row r="370" spans="1:7">
      <c r="A370">
        <v>367</v>
      </c>
      <c r="B370" s="46">
        <v>44564</v>
      </c>
      <c r="C370" s="269">
        <v>103.40858254740439</v>
      </c>
      <c r="D370" s="269">
        <v>117.91214619510544</v>
      </c>
      <c r="E370" s="177">
        <f t="shared" si="10"/>
        <v>103.40858254740439</v>
      </c>
      <c r="F370" s="199" t="str">
        <f t="shared" si="11"/>
        <v/>
      </c>
    </row>
    <row r="371" spans="1:7">
      <c r="A371">
        <v>368</v>
      </c>
      <c r="B371" s="46">
        <v>44565</v>
      </c>
      <c r="C371" s="269">
        <v>101.8772165114044</v>
      </c>
      <c r="D371" s="269">
        <v>117.91214619510544</v>
      </c>
      <c r="E371" s="177">
        <f t="shared" si="10"/>
        <v>101.8772165114044</v>
      </c>
      <c r="F371" s="199" t="str">
        <f t="shared" si="11"/>
        <v/>
      </c>
    </row>
    <row r="372" spans="1:7">
      <c r="A372">
        <v>369</v>
      </c>
      <c r="B372" s="46">
        <v>44566</v>
      </c>
      <c r="C372" s="269">
        <v>90.682511495153449</v>
      </c>
      <c r="D372" s="269">
        <v>117.91214619510544</v>
      </c>
      <c r="E372" s="177">
        <f t="shared" si="10"/>
        <v>90.682511495153449</v>
      </c>
      <c r="F372" s="199" t="str">
        <f t="shared" si="11"/>
        <v/>
      </c>
    </row>
    <row r="373" spans="1:7">
      <c r="A373">
        <v>370</v>
      </c>
      <c r="B373" s="46">
        <v>44567</v>
      </c>
      <c r="C373" s="269">
        <v>94.195708353151588</v>
      </c>
      <c r="D373" s="269">
        <v>117.91214619510544</v>
      </c>
      <c r="E373" s="177">
        <f t="shared" si="10"/>
        <v>94.195708353151588</v>
      </c>
      <c r="F373" s="199" t="str">
        <f t="shared" si="11"/>
        <v/>
      </c>
    </row>
    <row r="374" spans="1:7">
      <c r="A374">
        <v>371</v>
      </c>
      <c r="B374" s="46">
        <v>44568</v>
      </c>
      <c r="C374" s="269">
        <v>95.23217975915253</v>
      </c>
      <c r="D374" s="269">
        <v>117.91214619510544</v>
      </c>
      <c r="E374" s="177">
        <f t="shared" si="10"/>
        <v>95.23217975915253</v>
      </c>
      <c r="F374" s="199" t="str">
        <f t="shared" si="11"/>
        <v/>
      </c>
    </row>
    <row r="375" spans="1:7">
      <c r="A375">
        <v>372</v>
      </c>
      <c r="B375" s="46">
        <v>44569</v>
      </c>
      <c r="C375" s="269">
        <v>89.885470789151583</v>
      </c>
      <c r="D375" s="269">
        <v>117.91214619510544</v>
      </c>
      <c r="E375" s="177">
        <f t="shared" si="10"/>
        <v>89.885470789151583</v>
      </c>
      <c r="F375" s="199" t="str">
        <f t="shared" si="11"/>
        <v/>
      </c>
    </row>
    <row r="376" spans="1:7">
      <c r="A376">
        <v>373</v>
      </c>
      <c r="B376" s="46">
        <v>44570</v>
      </c>
      <c r="C376" s="269">
        <v>81.45797707315252</v>
      </c>
      <c r="D376" s="269">
        <v>117.91214619510544</v>
      </c>
      <c r="E376" s="177">
        <f t="shared" si="10"/>
        <v>81.45797707315252</v>
      </c>
      <c r="F376" s="199" t="str">
        <f t="shared" si="11"/>
        <v/>
      </c>
    </row>
    <row r="377" spans="1:7">
      <c r="A377">
        <v>374</v>
      </c>
      <c r="B377" s="46">
        <v>44571</v>
      </c>
      <c r="C377" s="269">
        <v>104.94837715515158</v>
      </c>
      <c r="D377" s="269">
        <v>117.91214619510544</v>
      </c>
      <c r="E377" s="177">
        <f t="shared" si="10"/>
        <v>104.94837715515158</v>
      </c>
      <c r="F377" s="199" t="str">
        <f t="shared" si="11"/>
        <v/>
      </c>
    </row>
    <row r="378" spans="1:7">
      <c r="A378">
        <v>375</v>
      </c>
      <c r="B378" s="46">
        <v>44572</v>
      </c>
      <c r="C378" s="269">
        <v>105.82474258715251</v>
      </c>
      <c r="D378" s="269">
        <v>117.91214619510544</v>
      </c>
      <c r="E378" s="177">
        <f t="shared" si="10"/>
        <v>105.82474258715251</v>
      </c>
      <c r="F378" s="199" t="str">
        <f t="shared" si="11"/>
        <v/>
      </c>
    </row>
    <row r="379" spans="1:7">
      <c r="A379">
        <v>376</v>
      </c>
      <c r="B379" s="46">
        <v>44573</v>
      </c>
      <c r="C379" s="269">
        <v>79.67926047363234</v>
      </c>
      <c r="D379" s="269">
        <v>117.91214619510544</v>
      </c>
      <c r="E379" s="177">
        <f t="shared" si="10"/>
        <v>79.67926047363234</v>
      </c>
      <c r="F379" s="199" t="str">
        <f t="shared" si="11"/>
        <v/>
      </c>
    </row>
    <row r="380" spans="1:7">
      <c r="A380">
        <v>377</v>
      </c>
      <c r="B380" s="46">
        <v>44574</v>
      </c>
      <c r="C380" s="269">
        <v>108.68345302363421</v>
      </c>
      <c r="D380" s="269">
        <v>117.91214619510544</v>
      </c>
      <c r="E380" s="177">
        <f t="shared" si="10"/>
        <v>108.68345302363421</v>
      </c>
      <c r="F380" s="199" t="str">
        <f t="shared" si="11"/>
        <v/>
      </c>
    </row>
    <row r="381" spans="1:7">
      <c r="A381">
        <v>378</v>
      </c>
      <c r="B381" s="46">
        <v>44575</v>
      </c>
      <c r="C381" s="269">
        <v>109.89147631363421</v>
      </c>
      <c r="D381" s="269">
        <v>117.91214619510544</v>
      </c>
      <c r="E381" s="177">
        <f t="shared" si="10"/>
        <v>109.89147631363421</v>
      </c>
      <c r="F381" s="199" t="str">
        <f t="shared" si="11"/>
        <v/>
      </c>
    </row>
    <row r="382" spans="1:7">
      <c r="A382">
        <v>379</v>
      </c>
      <c r="B382" s="46">
        <v>44576</v>
      </c>
      <c r="C382" s="269">
        <v>107.80683500363328</v>
      </c>
      <c r="D382" s="269">
        <v>117.91214619510544</v>
      </c>
      <c r="E382" s="177">
        <f t="shared" si="10"/>
        <v>107.80683500363328</v>
      </c>
      <c r="F382" s="199" t="str">
        <f t="shared" si="11"/>
        <v>E</v>
      </c>
      <c r="G382" s="200">
        <f>IF(DAY(B382)=15,D382,"")</f>
        <v>117.91214619510544</v>
      </c>
    </row>
    <row r="383" spans="1:7">
      <c r="A383">
        <v>380</v>
      </c>
      <c r="B383" s="46">
        <v>44577</v>
      </c>
      <c r="C383" s="269">
        <v>93.87015517163421</v>
      </c>
      <c r="D383" s="269">
        <v>117.91214619510544</v>
      </c>
      <c r="E383" s="177">
        <f t="shared" si="10"/>
        <v>93.87015517163421</v>
      </c>
      <c r="F383" s="199" t="str">
        <f t="shared" si="11"/>
        <v/>
      </c>
    </row>
    <row r="384" spans="1:7">
      <c r="A384">
        <v>381</v>
      </c>
      <c r="B384" s="46">
        <v>44578</v>
      </c>
      <c r="C384" s="269">
        <v>102.60832404363421</v>
      </c>
      <c r="D384" s="269">
        <v>117.91214619510544</v>
      </c>
      <c r="E384" s="177">
        <f t="shared" si="10"/>
        <v>102.60832404363421</v>
      </c>
      <c r="F384" s="199" t="str">
        <f t="shared" si="11"/>
        <v/>
      </c>
    </row>
    <row r="385" spans="1:6">
      <c r="A385">
        <v>382</v>
      </c>
      <c r="B385" s="46">
        <v>44579</v>
      </c>
      <c r="C385" s="269">
        <v>104.11270260363328</v>
      </c>
      <c r="D385" s="269">
        <v>117.91214619510544</v>
      </c>
      <c r="E385" s="177">
        <f t="shared" si="10"/>
        <v>104.11270260363328</v>
      </c>
      <c r="F385" s="199" t="str">
        <f t="shared" si="11"/>
        <v/>
      </c>
    </row>
    <row r="386" spans="1:6">
      <c r="A386">
        <v>383</v>
      </c>
      <c r="B386" s="46">
        <v>44580</v>
      </c>
      <c r="C386" s="269">
        <v>68.637734574516927</v>
      </c>
      <c r="D386" s="269">
        <v>117.91214619510544</v>
      </c>
      <c r="E386" s="177">
        <f t="shared" si="10"/>
        <v>68.637734574516927</v>
      </c>
      <c r="F386" s="199" t="str">
        <f t="shared" si="11"/>
        <v/>
      </c>
    </row>
    <row r="387" spans="1:6">
      <c r="A387">
        <v>384</v>
      </c>
      <c r="B387" s="46">
        <v>44581</v>
      </c>
      <c r="C387" s="269">
        <v>58.737492274517862</v>
      </c>
      <c r="D387" s="269">
        <v>117.91214619510544</v>
      </c>
      <c r="E387" s="177">
        <f t="shared" si="10"/>
        <v>58.737492274517862</v>
      </c>
      <c r="F387" s="199" t="str">
        <f t="shared" si="11"/>
        <v/>
      </c>
    </row>
    <row r="388" spans="1:6">
      <c r="A388">
        <v>385</v>
      </c>
      <c r="B388" s="46">
        <v>44582</v>
      </c>
      <c r="C388" s="269">
        <v>44.506729246516002</v>
      </c>
      <c r="D388" s="269">
        <v>117.91214619510544</v>
      </c>
      <c r="E388" s="177">
        <f t="shared" ref="E388:E396" si="12">IF(C388&lt;D388,C388,D388)</f>
        <v>44.506729246516002</v>
      </c>
      <c r="F388" s="199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44583</v>
      </c>
      <c r="C389" s="269">
        <v>42.409446336516936</v>
      </c>
      <c r="D389" s="269">
        <v>117.91214619510544</v>
      </c>
      <c r="E389" s="177">
        <f t="shared" si="12"/>
        <v>42.409446336516936</v>
      </c>
      <c r="F389" s="199" t="str">
        <f t="shared" si="13"/>
        <v/>
      </c>
    </row>
    <row r="390" spans="1:6">
      <c r="A390">
        <v>387</v>
      </c>
      <c r="B390" s="46">
        <v>44584</v>
      </c>
      <c r="C390" s="269">
        <v>55.31095297451693</v>
      </c>
      <c r="D390" s="269">
        <v>117.91214619510544</v>
      </c>
      <c r="E390" s="177">
        <f t="shared" si="12"/>
        <v>55.31095297451693</v>
      </c>
      <c r="F390" s="199" t="str">
        <f t="shared" si="13"/>
        <v/>
      </c>
    </row>
    <row r="391" spans="1:6">
      <c r="A391">
        <v>388</v>
      </c>
      <c r="B391" s="46">
        <v>44585</v>
      </c>
      <c r="C391" s="269">
        <v>82.659946634515066</v>
      </c>
      <c r="D391" s="269">
        <v>117.91214619510544</v>
      </c>
      <c r="E391" s="177">
        <f t="shared" si="12"/>
        <v>82.659946634515066</v>
      </c>
      <c r="F391" s="199" t="str">
        <f t="shared" si="13"/>
        <v/>
      </c>
    </row>
    <row r="392" spans="1:6">
      <c r="A392">
        <v>389</v>
      </c>
      <c r="B392" s="46">
        <v>44586</v>
      </c>
      <c r="C392" s="269">
        <v>64.998238462519737</v>
      </c>
      <c r="D392" s="269">
        <v>117.91214619510544</v>
      </c>
      <c r="E392" s="177">
        <f t="shared" si="12"/>
        <v>64.998238462519737</v>
      </c>
      <c r="F392" s="199" t="str">
        <f t="shared" si="13"/>
        <v/>
      </c>
    </row>
    <row r="393" spans="1:6">
      <c r="A393">
        <v>390</v>
      </c>
      <c r="B393" s="46">
        <v>44587</v>
      </c>
      <c r="C393" s="269">
        <v>60.119786710062165</v>
      </c>
      <c r="D393" s="269">
        <v>117.91214619510544</v>
      </c>
      <c r="E393" s="177">
        <f t="shared" si="12"/>
        <v>60.119786710062165</v>
      </c>
      <c r="F393" s="199" t="str">
        <f t="shared" si="13"/>
        <v/>
      </c>
    </row>
    <row r="394" spans="1:6">
      <c r="A394">
        <v>391</v>
      </c>
      <c r="B394" s="46">
        <v>44588</v>
      </c>
      <c r="C394" s="269">
        <v>44.462734002061232</v>
      </c>
      <c r="D394" s="269">
        <v>117.91214619510544</v>
      </c>
      <c r="E394" s="177">
        <f t="shared" si="12"/>
        <v>44.462734002061232</v>
      </c>
      <c r="F394" s="199" t="str">
        <f t="shared" si="13"/>
        <v/>
      </c>
    </row>
    <row r="395" spans="1:6">
      <c r="A395">
        <v>392</v>
      </c>
      <c r="B395" s="46">
        <v>44589</v>
      </c>
      <c r="C395" s="269">
        <v>32.407838530062165</v>
      </c>
      <c r="D395" s="269">
        <v>117.91214619510544</v>
      </c>
      <c r="E395" s="177">
        <f t="shared" si="12"/>
        <v>32.407838530062165</v>
      </c>
      <c r="F395" s="199" t="str">
        <f t="shared" si="13"/>
        <v/>
      </c>
    </row>
    <row r="396" spans="1:6">
      <c r="A396">
        <v>393</v>
      </c>
      <c r="B396" s="46">
        <v>44590</v>
      </c>
      <c r="C396" s="269">
        <v>31.709124514064964</v>
      </c>
      <c r="D396" s="269">
        <v>117.91214619510544</v>
      </c>
      <c r="E396" s="177">
        <f t="shared" si="12"/>
        <v>31.709124514064964</v>
      </c>
      <c r="F396" s="199" t="str">
        <f t="shared" si="13"/>
        <v/>
      </c>
    </row>
    <row r="397" spans="1:6">
      <c r="A397">
        <v>394</v>
      </c>
      <c r="B397" s="46">
        <v>44591</v>
      </c>
      <c r="C397" s="269">
        <v>30.548921818062169</v>
      </c>
      <c r="D397" s="269">
        <v>117.91214619510544</v>
      </c>
      <c r="E397" s="177">
        <f t="shared" ref="E397" si="14">IF(C397&lt;D397,C397,D397)</f>
        <v>30.548921818062169</v>
      </c>
      <c r="F397" s="199" t="str">
        <f t="shared" si="13"/>
        <v/>
      </c>
    </row>
    <row r="398" spans="1:6">
      <c r="A398">
        <v>395</v>
      </c>
      <c r="B398" s="46">
        <v>44592</v>
      </c>
      <c r="C398" s="269">
        <v>27.763922656061236</v>
      </c>
      <c r="D398" s="269">
        <v>117.91214619510544</v>
      </c>
      <c r="E398" s="177">
        <f t="shared" ref="E398" si="15">IF(C398&lt;D398,C398,D398)</f>
        <v>27.763922656061236</v>
      </c>
      <c r="F398" s="199" t="str">
        <f t="shared" si="13"/>
        <v/>
      </c>
    </row>
    <row r="399" spans="1:6">
      <c r="B399" s="46"/>
      <c r="C399" s="269"/>
      <c r="D399" s="269"/>
      <c r="E399" s="177"/>
      <c r="F399" s="199" t="str">
        <f t="shared" ref="F399:F400" si="16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69"/>
      <c r="D400" s="269"/>
      <c r="E400" s="177"/>
      <c r="F400" s="199" t="str">
        <f t="shared" si="16"/>
        <v/>
      </c>
    </row>
    <row r="401" spans="3:7">
      <c r="C401" s="177" t="s">
        <v>149</v>
      </c>
      <c r="D401" s="177" t="s">
        <v>149</v>
      </c>
      <c r="E401" s="177" t="str">
        <f t="shared" ref="E401:E451" si="17">IF(C401&lt;D401,C401,D401)</f>
        <v/>
      </c>
      <c r="F401" s="199" t="str">
        <f t="shared" ref="F401:F412" si="18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7" t="s">
        <v>149</v>
      </c>
      <c r="D402" s="177" t="s">
        <v>149</v>
      </c>
      <c r="E402" s="177" t="str">
        <f t="shared" si="17"/>
        <v/>
      </c>
      <c r="F402" s="199" t="str">
        <f t="shared" si="18"/>
        <v/>
      </c>
    </row>
    <row r="403" spans="3:7">
      <c r="C403" s="177" t="s">
        <v>149</v>
      </c>
      <c r="D403" s="177" t="s">
        <v>149</v>
      </c>
      <c r="E403" s="177" t="str">
        <f t="shared" si="17"/>
        <v/>
      </c>
      <c r="F403" s="199" t="str">
        <f t="shared" si="18"/>
        <v/>
      </c>
    </row>
    <row r="404" spans="3:7">
      <c r="C404" s="177" t="s">
        <v>149</v>
      </c>
      <c r="D404" s="177" t="s">
        <v>149</v>
      </c>
      <c r="E404" s="177" t="str">
        <f t="shared" si="17"/>
        <v/>
      </c>
      <c r="F404" s="199" t="str">
        <f t="shared" si="18"/>
        <v/>
      </c>
    </row>
    <row r="405" spans="3:7">
      <c r="C405" s="177" t="s">
        <v>149</v>
      </c>
      <c r="D405" s="177" t="s">
        <v>149</v>
      </c>
      <c r="E405" s="177" t="str">
        <f t="shared" si="17"/>
        <v/>
      </c>
      <c r="F405" s="199" t="str">
        <f t="shared" si="18"/>
        <v/>
      </c>
    </row>
    <row r="406" spans="3:7">
      <c r="C406" s="177" t="s">
        <v>149</v>
      </c>
      <c r="D406" s="177" t="s">
        <v>149</v>
      </c>
      <c r="E406" s="177" t="str">
        <f t="shared" si="17"/>
        <v/>
      </c>
      <c r="F406" s="199" t="str">
        <f t="shared" si="18"/>
        <v/>
      </c>
    </row>
    <row r="407" spans="3:7">
      <c r="C407" s="177" t="s">
        <v>149</v>
      </c>
      <c r="D407" s="177" t="s">
        <v>149</v>
      </c>
      <c r="E407" s="177" t="str">
        <f t="shared" si="17"/>
        <v/>
      </c>
      <c r="F407" s="199" t="str">
        <f t="shared" si="18"/>
        <v/>
      </c>
    </row>
    <row r="408" spans="3:7">
      <c r="C408" s="177" t="s">
        <v>149</v>
      </c>
      <c r="D408" s="177" t="s">
        <v>149</v>
      </c>
      <c r="E408" s="177" t="str">
        <f t="shared" si="17"/>
        <v/>
      </c>
      <c r="F408" s="199" t="str">
        <f t="shared" si="18"/>
        <v/>
      </c>
    </row>
    <row r="409" spans="3:7">
      <c r="C409" s="177" t="s">
        <v>149</v>
      </c>
      <c r="D409" s="177" t="s">
        <v>149</v>
      </c>
      <c r="E409" s="177" t="str">
        <f t="shared" si="17"/>
        <v/>
      </c>
      <c r="F409" s="199" t="str">
        <f t="shared" si="18"/>
        <v/>
      </c>
    </row>
    <row r="410" spans="3:7">
      <c r="C410" s="177" t="s">
        <v>149</v>
      </c>
      <c r="D410" s="177" t="s">
        <v>149</v>
      </c>
      <c r="E410" s="177" t="str">
        <f t="shared" si="17"/>
        <v/>
      </c>
      <c r="F410" s="199" t="str">
        <f t="shared" si="18"/>
        <v/>
      </c>
    </row>
    <row r="411" spans="3:7">
      <c r="C411" s="177" t="s">
        <v>149</v>
      </c>
      <c r="D411" s="177" t="s">
        <v>149</v>
      </c>
      <c r="E411" s="177" t="str">
        <f t="shared" si="17"/>
        <v/>
      </c>
      <c r="F411" s="199" t="str">
        <f t="shared" si="18"/>
        <v/>
      </c>
    </row>
    <row r="412" spans="3:7">
      <c r="C412" s="177" t="s">
        <v>149</v>
      </c>
      <c r="D412" s="177" t="s">
        <v>149</v>
      </c>
      <c r="E412" s="177" t="str">
        <f t="shared" si="17"/>
        <v/>
      </c>
      <c r="F412" s="199" t="str">
        <f t="shared" si="18"/>
        <v/>
      </c>
      <c r="G412" s="200" t="str">
        <f t="shared" ref="G412" si="19">IF(DAY(B412)=15,D412,"")</f>
        <v/>
      </c>
    </row>
    <row r="413" spans="3:7">
      <c r="C413" s="177" t="s">
        <v>149</v>
      </c>
      <c r="D413" s="177" t="s">
        <v>149</v>
      </c>
      <c r="E413" s="177" t="str">
        <f t="shared" si="17"/>
        <v/>
      </c>
    </row>
    <row r="414" spans="3:7">
      <c r="C414" s="177" t="s">
        <v>149</v>
      </c>
      <c r="D414" s="177" t="s">
        <v>149</v>
      </c>
      <c r="E414" s="177" t="str">
        <f t="shared" si="17"/>
        <v/>
      </c>
    </row>
    <row r="415" spans="3:7">
      <c r="C415" s="177" t="s">
        <v>149</v>
      </c>
      <c r="D415" s="177" t="s">
        <v>149</v>
      </c>
      <c r="E415" s="177" t="str">
        <f t="shared" si="17"/>
        <v/>
      </c>
    </row>
    <row r="416" spans="3:7">
      <c r="C416" s="177" t="s">
        <v>149</v>
      </c>
      <c r="D416" s="177" t="s">
        <v>149</v>
      </c>
      <c r="E416" s="177" t="str">
        <f t="shared" si="17"/>
        <v/>
      </c>
    </row>
    <row r="417" spans="3:5">
      <c r="C417" s="177" t="s">
        <v>149</v>
      </c>
      <c r="D417" s="177" t="s">
        <v>149</v>
      </c>
      <c r="E417" s="177" t="str">
        <f t="shared" si="17"/>
        <v/>
      </c>
    </row>
    <row r="418" spans="3:5">
      <c r="C418" s="177" t="s">
        <v>149</v>
      </c>
      <c r="D418" s="177" t="s">
        <v>149</v>
      </c>
      <c r="E418" s="177" t="str">
        <f t="shared" si="17"/>
        <v/>
      </c>
    </row>
    <row r="419" spans="3:5">
      <c r="C419" s="177" t="s">
        <v>149</v>
      </c>
      <c r="D419" s="177" t="s">
        <v>149</v>
      </c>
      <c r="E419" s="177" t="str">
        <f t="shared" si="17"/>
        <v/>
      </c>
    </row>
    <row r="420" spans="3:5">
      <c r="C420" s="177" t="s">
        <v>149</v>
      </c>
      <c r="D420" s="177" t="s">
        <v>149</v>
      </c>
      <c r="E420" s="177" t="str">
        <f t="shared" si="17"/>
        <v/>
      </c>
    </row>
    <row r="421" spans="3:5">
      <c r="C421" s="177" t="s">
        <v>149</v>
      </c>
      <c r="D421" s="177" t="s">
        <v>149</v>
      </c>
      <c r="E421" s="177" t="str">
        <f t="shared" si="17"/>
        <v/>
      </c>
    </row>
    <row r="422" spans="3:5">
      <c r="C422" s="177" t="s">
        <v>149</v>
      </c>
      <c r="D422" s="177" t="s">
        <v>149</v>
      </c>
      <c r="E422" s="177" t="str">
        <f t="shared" si="17"/>
        <v/>
      </c>
    </row>
    <row r="423" spans="3:5">
      <c r="C423" s="177" t="s">
        <v>149</v>
      </c>
      <c r="D423" s="177" t="s">
        <v>149</v>
      </c>
      <c r="E423" s="177" t="str">
        <f t="shared" si="17"/>
        <v/>
      </c>
    </row>
    <row r="424" spans="3:5">
      <c r="C424" s="177" t="s">
        <v>149</v>
      </c>
      <c r="D424" s="177" t="s">
        <v>149</v>
      </c>
      <c r="E424" s="177" t="str">
        <f t="shared" si="17"/>
        <v/>
      </c>
    </row>
    <row r="425" spans="3:5">
      <c r="C425" s="177" t="s">
        <v>149</v>
      </c>
      <c r="D425" s="177" t="s">
        <v>149</v>
      </c>
      <c r="E425" s="177" t="str">
        <f t="shared" si="17"/>
        <v/>
      </c>
    </row>
    <row r="426" spans="3:5">
      <c r="C426" s="177" t="s">
        <v>149</v>
      </c>
      <c r="D426" s="177" t="s">
        <v>149</v>
      </c>
      <c r="E426" s="177" t="str">
        <f t="shared" si="17"/>
        <v/>
      </c>
    </row>
    <row r="427" spans="3:5">
      <c r="C427" s="177" t="s">
        <v>149</v>
      </c>
      <c r="D427" s="177" t="s">
        <v>149</v>
      </c>
      <c r="E427" s="177" t="str">
        <f t="shared" si="17"/>
        <v/>
      </c>
    </row>
    <row r="428" spans="3:5">
      <c r="C428" s="177" t="s">
        <v>149</v>
      </c>
      <c r="D428" s="177" t="s">
        <v>149</v>
      </c>
      <c r="E428" s="177" t="str">
        <f t="shared" si="17"/>
        <v/>
      </c>
    </row>
    <row r="429" spans="3:5">
      <c r="C429" s="177" t="s">
        <v>149</v>
      </c>
      <c r="D429" s="177" t="s">
        <v>149</v>
      </c>
      <c r="E429" s="177" t="str">
        <f t="shared" si="17"/>
        <v/>
      </c>
    </row>
    <row r="430" spans="3:5">
      <c r="C430" s="177" t="s">
        <v>149</v>
      </c>
      <c r="D430" s="177" t="s">
        <v>149</v>
      </c>
      <c r="E430" s="177" t="str">
        <f t="shared" si="17"/>
        <v/>
      </c>
    </row>
    <row r="431" spans="3:5">
      <c r="C431" s="177" t="s">
        <v>149</v>
      </c>
      <c r="D431" s="177" t="s">
        <v>149</v>
      </c>
      <c r="E431" s="177" t="str">
        <f t="shared" si="17"/>
        <v/>
      </c>
    </row>
    <row r="432" spans="3:5">
      <c r="C432" s="177" t="s">
        <v>149</v>
      </c>
      <c r="D432" s="177" t="s">
        <v>149</v>
      </c>
      <c r="E432" s="177" t="str">
        <f t="shared" si="17"/>
        <v/>
      </c>
    </row>
    <row r="433" spans="3:5">
      <c r="C433" s="177" t="s">
        <v>149</v>
      </c>
      <c r="D433" s="177" t="s">
        <v>149</v>
      </c>
      <c r="E433" s="177" t="str">
        <f t="shared" si="17"/>
        <v/>
      </c>
    </row>
    <row r="434" spans="3:5">
      <c r="C434" s="177" t="s">
        <v>149</v>
      </c>
      <c r="D434" s="177" t="s">
        <v>149</v>
      </c>
      <c r="E434" s="177" t="str">
        <f t="shared" si="17"/>
        <v/>
      </c>
    </row>
    <row r="435" spans="3:5">
      <c r="C435" s="177" t="s">
        <v>149</v>
      </c>
      <c r="D435" s="177" t="s">
        <v>149</v>
      </c>
      <c r="E435" s="177" t="str">
        <f t="shared" si="17"/>
        <v/>
      </c>
    </row>
    <row r="436" spans="3:5">
      <c r="C436" s="177" t="s">
        <v>149</v>
      </c>
      <c r="D436" s="177" t="s">
        <v>149</v>
      </c>
      <c r="E436" s="177" t="str">
        <f t="shared" si="17"/>
        <v/>
      </c>
    </row>
    <row r="437" spans="3:5">
      <c r="C437" s="177" t="s">
        <v>149</v>
      </c>
      <c r="D437" s="177" t="s">
        <v>149</v>
      </c>
      <c r="E437" s="177" t="str">
        <f t="shared" si="17"/>
        <v/>
      </c>
    </row>
    <row r="438" spans="3:5">
      <c r="C438" s="177" t="s">
        <v>149</v>
      </c>
      <c r="D438" s="177" t="s">
        <v>149</v>
      </c>
      <c r="E438" s="177" t="str">
        <f t="shared" si="17"/>
        <v/>
      </c>
    </row>
    <row r="439" spans="3:5">
      <c r="C439" s="177" t="s">
        <v>149</v>
      </c>
      <c r="D439" s="177" t="s">
        <v>149</v>
      </c>
      <c r="E439" s="177" t="str">
        <f t="shared" si="17"/>
        <v/>
      </c>
    </row>
    <row r="440" spans="3:5">
      <c r="C440" s="177" t="s">
        <v>149</v>
      </c>
      <c r="D440" s="177" t="s">
        <v>149</v>
      </c>
      <c r="E440" s="177" t="str">
        <f t="shared" si="17"/>
        <v/>
      </c>
    </row>
    <row r="441" spans="3:5">
      <c r="C441" s="177" t="s">
        <v>149</v>
      </c>
      <c r="D441" s="177" t="s">
        <v>149</v>
      </c>
      <c r="E441" s="177" t="str">
        <f t="shared" si="17"/>
        <v/>
      </c>
    </row>
    <row r="442" spans="3:5">
      <c r="C442" s="177" t="s">
        <v>149</v>
      </c>
      <c r="D442" s="177" t="s">
        <v>149</v>
      </c>
      <c r="E442" s="177" t="str">
        <f t="shared" si="17"/>
        <v/>
      </c>
    </row>
    <row r="443" spans="3:5">
      <c r="C443" s="177" t="s">
        <v>149</v>
      </c>
      <c r="D443" s="177" t="s">
        <v>149</v>
      </c>
      <c r="E443" s="177" t="str">
        <f t="shared" si="17"/>
        <v/>
      </c>
    </row>
    <row r="444" spans="3:5">
      <c r="C444" s="177" t="s">
        <v>149</v>
      </c>
      <c r="D444" s="177" t="s">
        <v>149</v>
      </c>
      <c r="E444" s="177" t="str">
        <f t="shared" si="17"/>
        <v/>
      </c>
    </row>
    <row r="445" spans="3:5">
      <c r="C445" s="177" t="s">
        <v>149</v>
      </c>
      <c r="D445" s="177" t="s">
        <v>149</v>
      </c>
      <c r="E445" s="177" t="str">
        <f t="shared" si="17"/>
        <v/>
      </c>
    </row>
    <row r="446" spans="3:5">
      <c r="C446" s="177" t="s">
        <v>149</v>
      </c>
      <c r="D446" s="177" t="s">
        <v>149</v>
      </c>
      <c r="E446" s="177" t="str">
        <f t="shared" si="17"/>
        <v/>
      </c>
    </row>
    <row r="447" spans="3:5">
      <c r="C447" s="177" t="s">
        <v>149</v>
      </c>
      <c r="D447" s="177" t="s">
        <v>149</v>
      </c>
      <c r="E447" s="177" t="str">
        <f t="shared" si="17"/>
        <v/>
      </c>
    </row>
    <row r="448" spans="3:5">
      <c r="C448" s="177" t="s">
        <v>149</v>
      </c>
      <c r="D448" s="177" t="s">
        <v>149</v>
      </c>
      <c r="E448" s="177" t="str">
        <f t="shared" si="17"/>
        <v/>
      </c>
    </row>
    <row r="449" spans="3:5">
      <c r="C449" s="177" t="s">
        <v>149</v>
      </c>
      <c r="D449" s="177" t="s">
        <v>149</v>
      </c>
      <c r="E449" s="177" t="str">
        <f t="shared" si="17"/>
        <v/>
      </c>
    </row>
    <row r="450" spans="3:5">
      <c r="C450" s="177" t="s">
        <v>149</v>
      </c>
      <c r="D450" s="177" t="s">
        <v>149</v>
      </c>
      <c r="E450" s="177" t="str">
        <f t="shared" si="17"/>
        <v/>
      </c>
    </row>
    <row r="451" spans="3:5">
      <c r="C451" s="177" t="s">
        <v>149</v>
      </c>
      <c r="D451" s="177" t="s">
        <v>149</v>
      </c>
      <c r="E451" s="177" t="str">
        <f t="shared" si="17"/>
        <v/>
      </c>
    </row>
    <row r="452" spans="3:5">
      <c r="C452" s="177" t="s">
        <v>149</v>
      </c>
      <c r="D452" s="177" t="s">
        <v>149</v>
      </c>
      <c r="E452" s="177" t="str">
        <f t="shared" ref="E452:E515" si="20">IF(C452&lt;D452,C452,D452)</f>
        <v/>
      </c>
    </row>
    <row r="453" spans="3:5">
      <c r="C453" s="177" t="s">
        <v>149</v>
      </c>
      <c r="D453" s="177" t="s">
        <v>149</v>
      </c>
      <c r="E453" s="177" t="str">
        <f t="shared" si="20"/>
        <v/>
      </c>
    </row>
    <row r="454" spans="3:5">
      <c r="C454" s="177" t="s">
        <v>149</v>
      </c>
      <c r="D454" s="177" t="s">
        <v>149</v>
      </c>
      <c r="E454" s="177" t="str">
        <f t="shared" si="20"/>
        <v/>
      </c>
    </row>
    <row r="455" spans="3:5">
      <c r="C455" s="177" t="s">
        <v>149</v>
      </c>
      <c r="D455" s="177" t="s">
        <v>149</v>
      </c>
      <c r="E455" s="177" t="str">
        <f t="shared" si="20"/>
        <v/>
      </c>
    </row>
    <row r="456" spans="3:5">
      <c r="C456" s="177" t="s">
        <v>149</v>
      </c>
      <c r="D456" s="177" t="s">
        <v>149</v>
      </c>
      <c r="E456" s="177" t="str">
        <f t="shared" si="20"/>
        <v/>
      </c>
    </row>
    <row r="457" spans="3:5">
      <c r="C457" s="177" t="s">
        <v>149</v>
      </c>
      <c r="D457" s="177" t="s">
        <v>149</v>
      </c>
      <c r="E457" s="177" t="str">
        <f t="shared" si="20"/>
        <v/>
      </c>
    </row>
    <row r="458" spans="3:5">
      <c r="C458" s="177" t="s">
        <v>149</v>
      </c>
      <c r="D458" s="177" t="s">
        <v>149</v>
      </c>
      <c r="E458" s="177" t="str">
        <f t="shared" si="20"/>
        <v/>
      </c>
    </row>
    <row r="459" spans="3:5">
      <c r="C459" s="177" t="s">
        <v>149</v>
      </c>
      <c r="D459" s="177" t="s">
        <v>149</v>
      </c>
      <c r="E459" s="177" t="str">
        <f t="shared" si="20"/>
        <v/>
      </c>
    </row>
    <row r="460" spans="3:5">
      <c r="C460" s="177" t="s">
        <v>149</v>
      </c>
      <c r="D460" s="177" t="s">
        <v>149</v>
      </c>
      <c r="E460" s="177" t="str">
        <f t="shared" si="20"/>
        <v/>
      </c>
    </row>
    <row r="461" spans="3:5">
      <c r="C461" s="177" t="s">
        <v>149</v>
      </c>
      <c r="D461" s="177" t="s">
        <v>149</v>
      </c>
      <c r="E461" s="177" t="str">
        <f t="shared" si="20"/>
        <v/>
      </c>
    </row>
    <row r="462" spans="3:5">
      <c r="C462" s="177" t="s">
        <v>149</v>
      </c>
      <c r="D462" s="177" t="s">
        <v>149</v>
      </c>
      <c r="E462" s="177" t="str">
        <f t="shared" si="20"/>
        <v/>
      </c>
    </row>
    <row r="463" spans="3:5">
      <c r="C463" s="177" t="s">
        <v>149</v>
      </c>
      <c r="D463" s="177" t="s">
        <v>149</v>
      </c>
      <c r="E463" s="177" t="str">
        <f t="shared" si="20"/>
        <v/>
      </c>
    </row>
    <row r="464" spans="3:5">
      <c r="C464" s="177" t="s">
        <v>149</v>
      </c>
      <c r="D464" s="177" t="s">
        <v>149</v>
      </c>
      <c r="E464" s="177" t="str">
        <f t="shared" si="20"/>
        <v/>
      </c>
    </row>
    <row r="465" spans="3:5">
      <c r="C465" s="177" t="s">
        <v>149</v>
      </c>
      <c r="D465" s="177" t="s">
        <v>149</v>
      </c>
      <c r="E465" s="177" t="str">
        <f t="shared" si="20"/>
        <v/>
      </c>
    </row>
    <row r="466" spans="3:5">
      <c r="C466" s="177" t="s">
        <v>149</v>
      </c>
      <c r="D466" s="177" t="s">
        <v>149</v>
      </c>
      <c r="E466" s="177" t="str">
        <f t="shared" si="20"/>
        <v/>
      </c>
    </row>
    <row r="467" spans="3:5">
      <c r="C467" s="177" t="s">
        <v>149</v>
      </c>
      <c r="D467" s="177" t="s">
        <v>149</v>
      </c>
      <c r="E467" s="177" t="str">
        <f t="shared" si="20"/>
        <v/>
      </c>
    </row>
    <row r="468" spans="3:5">
      <c r="C468" s="177" t="s">
        <v>149</v>
      </c>
      <c r="D468" s="177" t="s">
        <v>149</v>
      </c>
      <c r="E468" s="177" t="str">
        <f t="shared" si="20"/>
        <v/>
      </c>
    </row>
    <row r="469" spans="3:5">
      <c r="C469" s="177" t="s">
        <v>149</v>
      </c>
      <c r="D469" s="177" t="s">
        <v>149</v>
      </c>
      <c r="E469" s="177" t="str">
        <f t="shared" si="20"/>
        <v/>
      </c>
    </row>
    <row r="470" spans="3:5">
      <c r="C470" s="177" t="s">
        <v>149</v>
      </c>
      <c r="D470" s="177" t="s">
        <v>149</v>
      </c>
      <c r="E470" s="177" t="str">
        <f t="shared" si="20"/>
        <v/>
      </c>
    </row>
    <row r="471" spans="3:5">
      <c r="C471" s="177" t="s">
        <v>149</v>
      </c>
      <c r="D471" s="177" t="s">
        <v>149</v>
      </c>
      <c r="E471" s="177" t="str">
        <f t="shared" si="20"/>
        <v/>
      </c>
    </row>
    <row r="472" spans="3:5">
      <c r="C472" s="177" t="s">
        <v>149</v>
      </c>
      <c r="D472" s="177" t="s">
        <v>149</v>
      </c>
      <c r="E472" s="177" t="str">
        <f t="shared" si="20"/>
        <v/>
      </c>
    </row>
    <row r="473" spans="3:5">
      <c r="C473" s="177" t="s">
        <v>149</v>
      </c>
      <c r="D473" s="177" t="s">
        <v>149</v>
      </c>
      <c r="E473" s="177" t="str">
        <f t="shared" si="20"/>
        <v/>
      </c>
    </row>
    <row r="474" spans="3:5">
      <c r="C474" s="177" t="s">
        <v>149</v>
      </c>
      <c r="D474" s="177" t="s">
        <v>149</v>
      </c>
      <c r="E474" s="177" t="str">
        <f t="shared" si="20"/>
        <v/>
      </c>
    </row>
    <row r="475" spans="3:5">
      <c r="C475" s="177" t="s">
        <v>149</v>
      </c>
      <c r="D475" s="177" t="s">
        <v>149</v>
      </c>
      <c r="E475" s="177" t="str">
        <f t="shared" si="20"/>
        <v/>
      </c>
    </row>
    <row r="476" spans="3:5">
      <c r="C476" s="177" t="s">
        <v>149</v>
      </c>
      <c r="D476" s="177" t="s">
        <v>149</v>
      </c>
      <c r="E476" s="177" t="str">
        <f t="shared" si="20"/>
        <v/>
      </c>
    </row>
    <row r="477" spans="3:5">
      <c r="C477" s="177" t="s">
        <v>149</v>
      </c>
      <c r="D477" s="177" t="s">
        <v>149</v>
      </c>
      <c r="E477" s="177" t="str">
        <f t="shared" si="20"/>
        <v/>
      </c>
    </row>
    <row r="478" spans="3:5">
      <c r="C478" s="177" t="s">
        <v>149</v>
      </c>
      <c r="D478" s="177" t="s">
        <v>149</v>
      </c>
      <c r="E478" s="177" t="str">
        <f t="shared" si="20"/>
        <v/>
      </c>
    </row>
    <row r="479" spans="3:5">
      <c r="C479" s="177" t="s">
        <v>149</v>
      </c>
      <c r="D479" s="177" t="s">
        <v>149</v>
      </c>
      <c r="E479" s="177" t="str">
        <f t="shared" si="20"/>
        <v/>
      </c>
    </row>
    <row r="480" spans="3:5">
      <c r="C480" s="177" t="s">
        <v>149</v>
      </c>
      <c r="D480" s="177" t="s">
        <v>149</v>
      </c>
      <c r="E480" s="177" t="str">
        <f t="shared" si="20"/>
        <v/>
      </c>
    </row>
    <row r="481" spans="3:5">
      <c r="C481" s="177" t="s">
        <v>149</v>
      </c>
      <c r="D481" s="177" t="s">
        <v>149</v>
      </c>
      <c r="E481" s="177" t="str">
        <f t="shared" si="20"/>
        <v/>
      </c>
    </row>
    <row r="482" spans="3:5">
      <c r="C482" s="177" t="s">
        <v>149</v>
      </c>
      <c r="D482" s="177" t="s">
        <v>149</v>
      </c>
      <c r="E482" s="177" t="str">
        <f t="shared" si="20"/>
        <v/>
      </c>
    </row>
    <row r="483" spans="3:5">
      <c r="C483" s="177" t="s">
        <v>149</v>
      </c>
      <c r="D483" s="177" t="s">
        <v>149</v>
      </c>
      <c r="E483" s="177" t="str">
        <f t="shared" si="20"/>
        <v/>
      </c>
    </row>
    <row r="484" spans="3:5">
      <c r="C484" s="177" t="s">
        <v>149</v>
      </c>
      <c r="D484" s="177" t="s">
        <v>149</v>
      </c>
      <c r="E484" s="177" t="str">
        <f t="shared" si="20"/>
        <v/>
      </c>
    </row>
    <row r="485" spans="3:5">
      <c r="C485" s="177" t="s">
        <v>149</v>
      </c>
      <c r="D485" s="177" t="s">
        <v>149</v>
      </c>
      <c r="E485" s="177" t="str">
        <f t="shared" si="20"/>
        <v/>
      </c>
    </row>
    <row r="486" spans="3:5">
      <c r="C486" s="177" t="s">
        <v>149</v>
      </c>
      <c r="D486" s="177" t="s">
        <v>149</v>
      </c>
      <c r="E486" s="177" t="str">
        <f t="shared" si="20"/>
        <v/>
      </c>
    </row>
    <row r="487" spans="3:5">
      <c r="C487" s="177" t="s">
        <v>149</v>
      </c>
      <c r="D487" s="177" t="s">
        <v>149</v>
      </c>
      <c r="E487" s="177" t="str">
        <f t="shared" si="20"/>
        <v/>
      </c>
    </row>
    <row r="488" spans="3:5">
      <c r="C488" s="177" t="s">
        <v>149</v>
      </c>
      <c r="D488" s="177" t="s">
        <v>149</v>
      </c>
      <c r="E488" s="177" t="str">
        <f t="shared" si="20"/>
        <v/>
      </c>
    </row>
    <row r="489" spans="3:5">
      <c r="C489" s="177" t="s">
        <v>149</v>
      </c>
      <c r="D489" s="177" t="s">
        <v>149</v>
      </c>
      <c r="E489" s="177" t="str">
        <f t="shared" si="20"/>
        <v/>
      </c>
    </row>
    <row r="490" spans="3:5">
      <c r="C490" s="177" t="s">
        <v>149</v>
      </c>
      <c r="D490" s="177" t="s">
        <v>149</v>
      </c>
      <c r="E490" s="177" t="str">
        <f t="shared" si="20"/>
        <v/>
      </c>
    </row>
    <row r="491" spans="3:5">
      <c r="C491" s="177" t="s">
        <v>149</v>
      </c>
      <c r="D491" s="177" t="s">
        <v>149</v>
      </c>
      <c r="E491" s="177" t="str">
        <f t="shared" si="20"/>
        <v/>
      </c>
    </row>
    <row r="492" spans="3:5">
      <c r="C492" s="177" t="s">
        <v>149</v>
      </c>
      <c r="D492" s="177" t="s">
        <v>149</v>
      </c>
      <c r="E492" s="177" t="str">
        <f t="shared" si="20"/>
        <v/>
      </c>
    </row>
    <row r="493" spans="3:5">
      <c r="C493" s="177" t="s">
        <v>149</v>
      </c>
      <c r="D493" s="177" t="s">
        <v>149</v>
      </c>
      <c r="E493" s="177" t="str">
        <f t="shared" si="20"/>
        <v/>
      </c>
    </row>
    <row r="494" spans="3:5">
      <c r="C494" s="177" t="s">
        <v>149</v>
      </c>
      <c r="D494" s="177" t="s">
        <v>149</v>
      </c>
      <c r="E494" s="177" t="str">
        <f t="shared" si="20"/>
        <v/>
      </c>
    </row>
    <row r="495" spans="3:5">
      <c r="C495" s="177" t="s">
        <v>149</v>
      </c>
      <c r="D495" s="177" t="s">
        <v>149</v>
      </c>
      <c r="E495" s="177" t="str">
        <f t="shared" si="20"/>
        <v/>
      </c>
    </row>
    <row r="496" spans="3:5">
      <c r="C496" s="177" t="s">
        <v>149</v>
      </c>
      <c r="D496" s="177" t="s">
        <v>149</v>
      </c>
      <c r="E496" s="177" t="str">
        <f t="shared" si="20"/>
        <v/>
      </c>
    </row>
    <row r="497" spans="3:5">
      <c r="C497" s="177" t="s">
        <v>149</v>
      </c>
      <c r="D497" s="177" t="s">
        <v>149</v>
      </c>
      <c r="E497" s="177" t="str">
        <f t="shared" si="20"/>
        <v/>
      </c>
    </row>
    <row r="498" spans="3:5">
      <c r="C498" s="177" t="s">
        <v>149</v>
      </c>
      <c r="D498" s="177" t="s">
        <v>149</v>
      </c>
      <c r="E498" s="177" t="str">
        <f t="shared" si="20"/>
        <v/>
      </c>
    </row>
    <row r="499" spans="3:5">
      <c r="C499" s="177" t="s">
        <v>149</v>
      </c>
      <c r="D499" s="177" t="s">
        <v>149</v>
      </c>
      <c r="E499" s="177" t="str">
        <f t="shared" si="20"/>
        <v/>
      </c>
    </row>
    <row r="500" spans="3:5">
      <c r="C500" s="177" t="s">
        <v>149</v>
      </c>
      <c r="D500" s="177" t="s">
        <v>149</v>
      </c>
      <c r="E500" s="177" t="str">
        <f t="shared" si="20"/>
        <v/>
      </c>
    </row>
    <row r="501" spans="3:5">
      <c r="C501" s="177" t="s">
        <v>149</v>
      </c>
      <c r="D501" s="177" t="s">
        <v>149</v>
      </c>
      <c r="E501" s="177" t="str">
        <f t="shared" si="20"/>
        <v/>
      </c>
    </row>
    <row r="502" spans="3:5">
      <c r="C502" s="177" t="s">
        <v>149</v>
      </c>
      <c r="D502" s="177" t="s">
        <v>149</v>
      </c>
      <c r="E502" s="177" t="str">
        <f t="shared" si="20"/>
        <v/>
      </c>
    </row>
    <row r="503" spans="3:5">
      <c r="C503" s="177" t="s">
        <v>149</v>
      </c>
      <c r="D503" s="177" t="s">
        <v>149</v>
      </c>
      <c r="E503" s="177" t="str">
        <f t="shared" si="20"/>
        <v/>
      </c>
    </row>
    <row r="504" spans="3:5">
      <c r="C504" s="177" t="s">
        <v>149</v>
      </c>
      <c r="D504" s="177" t="s">
        <v>149</v>
      </c>
      <c r="E504" s="177" t="str">
        <f t="shared" si="20"/>
        <v/>
      </c>
    </row>
    <row r="505" spans="3:5">
      <c r="C505" s="177" t="s">
        <v>149</v>
      </c>
      <c r="D505" s="177" t="s">
        <v>149</v>
      </c>
      <c r="E505" s="177" t="str">
        <f t="shared" si="20"/>
        <v/>
      </c>
    </row>
    <row r="506" spans="3:5">
      <c r="C506" s="177" t="s">
        <v>149</v>
      </c>
      <c r="D506" s="177" t="s">
        <v>149</v>
      </c>
      <c r="E506" s="177" t="str">
        <f t="shared" si="20"/>
        <v/>
      </c>
    </row>
    <row r="507" spans="3:5">
      <c r="C507" s="177" t="s">
        <v>149</v>
      </c>
      <c r="D507" s="177" t="s">
        <v>149</v>
      </c>
      <c r="E507" s="177" t="str">
        <f t="shared" si="20"/>
        <v/>
      </c>
    </row>
    <row r="508" spans="3:5">
      <c r="C508" s="177" t="s">
        <v>149</v>
      </c>
      <c r="D508" s="177" t="s">
        <v>149</v>
      </c>
      <c r="E508" s="177" t="str">
        <f t="shared" si="20"/>
        <v/>
      </c>
    </row>
    <row r="509" spans="3:5">
      <c r="C509" s="177" t="s">
        <v>149</v>
      </c>
      <c r="D509" s="177" t="s">
        <v>149</v>
      </c>
      <c r="E509" s="177" t="str">
        <f t="shared" si="20"/>
        <v/>
      </c>
    </row>
    <row r="510" spans="3:5">
      <c r="C510" s="177" t="s">
        <v>149</v>
      </c>
      <c r="D510" s="177" t="s">
        <v>149</v>
      </c>
      <c r="E510" s="177" t="str">
        <f t="shared" si="20"/>
        <v/>
      </c>
    </row>
    <row r="511" spans="3:5">
      <c r="C511" s="177" t="s">
        <v>149</v>
      </c>
      <c r="D511" s="177" t="s">
        <v>149</v>
      </c>
      <c r="E511" s="177" t="str">
        <f t="shared" si="20"/>
        <v/>
      </c>
    </row>
    <row r="512" spans="3:5">
      <c r="C512" s="177" t="s">
        <v>149</v>
      </c>
      <c r="D512" s="177" t="s">
        <v>149</v>
      </c>
      <c r="E512" s="177" t="str">
        <f t="shared" si="20"/>
        <v/>
      </c>
    </row>
    <row r="513" spans="3:5">
      <c r="C513" s="177" t="s">
        <v>149</v>
      </c>
      <c r="D513" s="177" t="s">
        <v>149</v>
      </c>
      <c r="E513" s="177" t="str">
        <f t="shared" si="20"/>
        <v/>
      </c>
    </row>
    <row r="514" spans="3:5">
      <c r="C514" s="177" t="s">
        <v>149</v>
      </c>
      <c r="D514" s="177" t="s">
        <v>149</v>
      </c>
      <c r="E514" s="177" t="str">
        <f t="shared" si="20"/>
        <v/>
      </c>
    </row>
    <row r="515" spans="3:5">
      <c r="C515" s="177" t="s">
        <v>149</v>
      </c>
      <c r="D515" s="177" t="s">
        <v>149</v>
      </c>
      <c r="E515" s="177" t="str">
        <f t="shared" si="20"/>
        <v/>
      </c>
    </row>
    <row r="516" spans="3:5">
      <c r="C516" s="177" t="s">
        <v>149</v>
      </c>
      <c r="D516" s="177" t="s">
        <v>149</v>
      </c>
      <c r="E516" s="177" t="str">
        <f t="shared" ref="E516:E579" si="21">IF(C516&lt;D516,C516,D516)</f>
        <v/>
      </c>
    </row>
    <row r="517" spans="3:5">
      <c r="C517" s="177" t="s">
        <v>149</v>
      </c>
      <c r="D517" s="177" t="s">
        <v>149</v>
      </c>
      <c r="E517" s="177" t="str">
        <f t="shared" si="21"/>
        <v/>
      </c>
    </row>
    <row r="518" spans="3:5">
      <c r="C518" s="177" t="s">
        <v>149</v>
      </c>
      <c r="D518" s="177" t="s">
        <v>149</v>
      </c>
      <c r="E518" s="177" t="str">
        <f t="shared" si="21"/>
        <v/>
      </c>
    </row>
    <row r="519" spans="3:5">
      <c r="C519" s="177" t="s">
        <v>149</v>
      </c>
      <c r="D519" s="177" t="s">
        <v>149</v>
      </c>
      <c r="E519" s="177" t="str">
        <f t="shared" si="21"/>
        <v/>
      </c>
    </row>
    <row r="520" spans="3:5">
      <c r="C520" s="177" t="s">
        <v>149</v>
      </c>
      <c r="D520" s="177" t="s">
        <v>149</v>
      </c>
      <c r="E520" s="177" t="str">
        <f t="shared" si="21"/>
        <v/>
      </c>
    </row>
    <row r="521" spans="3:5">
      <c r="C521" s="177" t="s">
        <v>149</v>
      </c>
      <c r="D521" s="177" t="s">
        <v>149</v>
      </c>
      <c r="E521" s="177" t="str">
        <f t="shared" si="21"/>
        <v/>
      </c>
    </row>
    <row r="522" spans="3:5">
      <c r="C522" s="177" t="s">
        <v>149</v>
      </c>
      <c r="D522" s="177" t="s">
        <v>149</v>
      </c>
      <c r="E522" s="177" t="str">
        <f t="shared" si="21"/>
        <v/>
      </c>
    </row>
    <row r="523" spans="3:5">
      <c r="C523" s="177" t="s">
        <v>149</v>
      </c>
      <c r="D523" s="177" t="s">
        <v>149</v>
      </c>
      <c r="E523" s="177" t="str">
        <f t="shared" si="21"/>
        <v/>
      </c>
    </row>
    <row r="524" spans="3:5">
      <c r="C524" s="177" t="s">
        <v>149</v>
      </c>
      <c r="D524" s="177" t="s">
        <v>149</v>
      </c>
      <c r="E524" s="177" t="str">
        <f t="shared" si="21"/>
        <v/>
      </c>
    </row>
    <row r="525" spans="3:5">
      <c r="C525" s="177" t="s">
        <v>149</v>
      </c>
      <c r="D525" s="177" t="s">
        <v>149</v>
      </c>
      <c r="E525" s="177" t="str">
        <f t="shared" si="21"/>
        <v/>
      </c>
    </row>
    <row r="526" spans="3:5">
      <c r="C526" s="177" t="s">
        <v>149</v>
      </c>
      <c r="D526" s="177" t="s">
        <v>149</v>
      </c>
      <c r="E526" s="177" t="str">
        <f t="shared" si="21"/>
        <v/>
      </c>
    </row>
    <row r="527" spans="3:5">
      <c r="C527" s="177" t="s">
        <v>149</v>
      </c>
      <c r="D527" s="177" t="s">
        <v>149</v>
      </c>
      <c r="E527" s="177" t="str">
        <f t="shared" si="21"/>
        <v/>
      </c>
    </row>
    <row r="528" spans="3:5">
      <c r="C528" s="177" t="s">
        <v>149</v>
      </c>
      <c r="D528" s="177" t="s">
        <v>149</v>
      </c>
      <c r="E528" s="177" t="str">
        <f t="shared" si="21"/>
        <v/>
      </c>
    </row>
    <row r="529" spans="3:5">
      <c r="C529" s="177" t="s">
        <v>149</v>
      </c>
      <c r="D529" s="177" t="s">
        <v>149</v>
      </c>
      <c r="E529" s="177" t="str">
        <f t="shared" si="21"/>
        <v/>
      </c>
    </row>
    <row r="530" spans="3:5">
      <c r="C530" s="177" t="s">
        <v>149</v>
      </c>
      <c r="D530" s="177" t="s">
        <v>149</v>
      </c>
      <c r="E530" s="177" t="str">
        <f t="shared" si="21"/>
        <v/>
      </c>
    </row>
    <row r="531" spans="3:5">
      <c r="C531" s="177" t="s">
        <v>149</v>
      </c>
      <c r="D531" s="177" t="s">
        <v>149</v>
      </c>
      <c r="E531" s="177" t="str">
        <f t="shared" si="21"/>
        <v/>
      </c>
    </row>
    <row r="532" spans="3:5">
      <c r="C532" s="177" t="s">
        <v>149</v>
      </c>
      <c r="D532" s="177" t="s">
        <v>149</v>
      </c>
      <c r="E532" s="177" t="str">
        <f t="shared" si="21"/>
        <v/>
      </c>
    </row>
    <row r="533" spans="3:5">
      <c r="C533" s="177" t="s">
        <v>149</v>
      </c>
      <c r="D533" s="177" t="s">
        <v>149</v>
      </c>
      <c r="E533" s="177" t="str">
        <f t="shared" si="21"/>
        <v/>
      </c>
    </row>
    <row r="534" spans="3:5">
      <c r="C534" s="177" t="s">
        <v>149</v>
      </c>
      <c r="D534" s="177" t="s">
        <v>149</v>
      </c>
      <c r="E534" s="177" t="str">
        <f t="shared" si="21"/>
        <v/>
      </c>
    </row>
    <row r="535" spans="3:5">
      <c r="C535" s="177" t="s">
        <v>149</v>
      </c>
      <c r="D535" s="177" t="s">
        <v>149</v>
      </c>
      <c r="E535" s="177" t="str">
        <f t="shared" si="21"/>
        <v/>
      </c>
    </row>
    <row r="536" spans="3:5">
      <c r="C536" s="177" t="s">
        <v>149</v>
      </c>
      <c r="D536" s="177" t="s">
        <v>149</v>
      </c>
      <c r="E536" s="177" t="str">
        <f t="shared" si="21"/>
        <v/>
      </c>
    </row>
    <row r="537" spans="3:5">
      <c r="C537" s="177" t="s">
        <v>149</v>
      </c>
      <c r="D537" s="177" t="s">
        <v>149</v>
      </c>
      <c r="E537" s="177" t="str">
        <f t="shared" si="21"/>
        <v/>
      </c>
    </row>
    <row r="538" spans="3:5">
      <c r="C538" s="177" t="s">
        <v>149</v>
      </c>
      <c r="D538" s="177" t="s">
        <v>149</v>
      </c>
      <c r="E538" s="177" t="str">
        <f t="shared" si="21"/>
        <v/>
      </c>
    </row>
    <row r="539" spans="3:5">
      <c r="C539" s="177" t="s">
        <v>149</v>
      </c>
      <c r="D539" s="177" t="s">
        <v>149</v>
      </c>
      <c r="E539" s="177" t="str">
        <f t="shared" si="21"/>
        <v/>
      </c>
    </row>
    <row r="540" spans="3:5">
      <c r="C540" s="177" t="s">
        <v>149</v>
      </c>
      <c r="D540" s="177" t="s">
        <v>149</v>
      </c>
      <c r="E540" s="177" t="str">
        <f t="shared" si="21"/>
        <v/>
      </c>
    </row>
    <row r="541" spans="3:5">
      <c r="C541" s="177" t="s">
        <v>149</v>
      </c>
      <c r="D541" s="177" t="s">
        <v>149</v>
      </c>
      <c r="E541" s="177" t="str">
        <f t="shared" si="21"/>
        <v/>
      </c>
    </row>
    <row r="542" spans="3:5">
      <c r="C542" s="177" t="s">
        <v>149</v>
      </c>
      <c r="D542" s="177" t="s">
        <v>149</v>
      </c>
      <c r="E542" s="177" t="str">
        <f t="shared" si="21"/>
        <v/>
      </c>
    </row>
    <row r="543" spans="3:5">
      <c r="C543" s="177" t="s">
        <v>149</v>
      </c>
      <c r="D543" s="177" t="s">
        <v>149</v>
      </c>
      <c r="E543" s="177" t="str">
        <f t="shared" si="21"/>
        <v/>
      </c>
    </row>
    <row r="544" spans="3:5">
      <c r="C544" s="177" t="s">
        <v>149</v>
      </c>
      <c r="D544" s="177" t="s">
        <v>149</v>
      </c>
      <c r="E544" s="177" t="str">
        <f t="shared" si="21"/>
        <v/>
      </c>
    </row>
    <row r="545" spans="3:5">
      <c r="C545" s="177" t="s">
        <v>149</v>
      </c>
      <c r="D545" s="177" t="s">
        <v>149</v>
      </c>
      <c r="E545" s="177" t="str">
        <f t="shared" si="21"/>
        <v/>
      </c>
    </row>
    <row r="546" spans="3:5">
      <c r="C546" s="177" t="s">
        <v>149</v>
      </c>
      <c r="D546" s="177" t="s">
        <v>149</v>
      </c>
      <c r="E546" s="177" t="str">
        <f t="shared" si="21"/>
        <v/>
      </c>
    </row>
    <row r="547" spans="3:5">
      <c r="C547" s="177" t="s">
        <v>149</v>
      </c>
      <c r="D547" s="177" t="s">
        <v>149</v>
      </c>
      <c r="E547" s="177" t="str">
        <f t="shared" si="21"/>
        <v/>
      </c>
    </row>
    <row r="548" spans="3:5">
      <c r="C548" s="177" t="s">
        <v>149</v>
      </c>
      <c r="D548" s="177" t="s">
        <v>149</v>
      </c>
      <c r="E548" s="177" t="str">
        <f t="shared" si="21"/>
        <v/>
      </c>
    </row>
    <row r="549" spans="3:5">
      <c r="C549" s="177" t="s">
        <v>149</v>
      </c>
      <c r="D549" s="177" t="s">
        <v>149</v>
      </c>
      <c r="E549" s="177" t="str">
        <f t="shared" si="21"/>
        <v/>
      </c>
    </row>
    <row r="550" spans="3:5">
      <c r="C550" s="177" t="s">
        <v>149</v>
      </c>
      <c r="D550" s="177" t="s">
        <v>149</v>
      </c>
      <c r="E550" s="177" t="str">
        <f t="shared" si="21"/>
        <v/>
      </c>
    </row>
    <row r="551" spans="3:5">
      <c r="C551" s="177" t="s">
        <v>149</v>
      </c>
      <c r="D551" s="177" t="s">
        <v>149</v>
      </c>
      <c r="E551" s="177" t="str">
        <f t="shared" si="21"/>
        <v/>
      </c>
    </row>
    <row r="552" spans="3:5">
      <c r="C552" s="177" t="s">
        <v>149</v>
      </c>
      <c r="D552" s="177" t="s">
        <v>149</v>
      </c>
      <c r="E552" s="177" t="str">
        <f t="shared" si="21"/>
        <v/>
      </c>
    </row>
    <row r="553" spans="3:5">
      <c r="C553" s="177" t="s">
        <v>149</v>
      </c>
      <c r="D553" s="177" t="s">
        <v>149</v>
      </c>
      <c r="E553" s="177" t="str">
        <f t="shared" si="21"/>
        <v/>
      </c>
    </row>
    <row r="554" spans="3:5">
      <c r="C554" s="177" t="s">
        <v>149</v>
      </c>
      <c r="D554" s="177" t="s">
        <v>149</v>
      </c>
      <c r="E554" s="177" t="str">
        <f t="shared" si="21"/>
        <v/>
      </c>
    </row>
    <row r="555" spans="3:5">
      <c r="C555" s="177" t="s">
        <v>149</v>
      </c>
      <c r="D555" s="177" t="s">
        <v>149</v>
      </c>
      <c r="E555" s="177" t="str">
        <f t="shared" si="21"/>
        <v/>
      </c>
    </row>
    <row r="556" spans="3:5">
      <c r="C556" s="177" t="s">
        <v>149</v>
      </c>
      <c r="D556" s="177" t="s">
        <v>149</v>
      </c>
      <c r="E556" s="177" t="str">
        <f t="shared" si="21"/>
        <v/>
      </c>
    </row>
    <row r="557" spans="3:5">
      <c r="C557" s="177" t="s">
        <v>149</v>
      </c>
      <c r="D557" s="177" t="s">
        <v>149</v>
      </c>
      <c r="E557" s="177" t="str">
        <f t="shared" si="21"/>
        <v/>
      </c>
    </row>
    <row r="558" spans="3:5">
      <c r="C558" s="177" t="s">
        <v>149</v>
      </c>
      <c r="D558" s="177" t="s">
        <v>149</v>
      </c>
      <c r="E558" s="177" t="str">
        <f t="shared" si="21"/>
        <v/>
      </c>
    </row>
    <row r="559" spans="3:5">
      <c r="C559" s="177" t="s">
        <v>149</v>
      </c>
      <c r="D559" s="177" t="s">
        <v>149</v>
      </c>
      <c r="E559" s="177" t="str">
        <f t="shared" si="21"/>
        <v/>
      </c>
    </row>
    <row r="560" spans="3:5">
      <c r="C560" s="177" t="s">
        <v>149</v>
      </c>
      <c r="D560" s="177" t="s">
        <v>149</v>
      </c>
      <c r="E560" s="177" t="str">
        <f t="shared" si="21"/>
        <v/>
      </c>
    </row>
    <row r="561" spans="3:5">
      <c r="C561" s="177" t="s">
        <v>149</v>
      </c>
      <c r="D561" s="177" t="s">
        <v>149</v>
      </c>
      <c r="E561" s="177" t="str">
        <f t="shared" si="21"/>
        <v/>
      </c>
    </row>
    <row r="562" spans="3:5">
      <c r="C562" s="177" t="s">
        <v>149</v>
      </c>
      <c r="D562" s="177" t="s">
        <v>149</v>
      </c>
      <c r="E562" s="177" t="str">
        <f t="shared" si="21"/>
        <v/>
      </c>
    </row>
    <row r="563" spans="3:5">
      <c r="C563" s="177" t="s">
        <v>149</v>
      </c>
      <c r="D563" s="177" t="s">
        <v>149</v>
      </c>
      <c r="E563" s="177" t="str">
        <f t="shared" si="21"/>
        <v/>
      </c>
    </row>
    <row r="564" spans="3:5">
      <c r="C564" s="177" t="s">
        <v>149</v>
      </c>
      <c r="D564" s="177" t="s">
        <v>149</v>
      </c>
      <c r="E564" s="177" t="str">
        <f t="shared" si="21"/>
        <v/>
      </c>
    </row>
    <row r="565" spans="3:5">
      <c r="C565" s="177" t="s">
        <v>149</v>
      </c>
      <c r="D565" s="177" t="s">
        <v>149</v>
      </c>
      <c r="E565" s="177" t="str">
        <f t="shared" si="21"/>
        <v/>
      </c>
    </row>
    <row r="566" spans="3:5">
      <c r="C566" s="177" t="s">
        <v>149</v>
      </c>
      <c r="D566" s="177" t="s">
        <v>149</v>
      </c>
      <c r="E566" s="177" t="str">
        <f t="shared" si="21"/>
        <v/>
      </c>
    </row>
    <row r="567" spans="3:5">
      <c r="C567" s="177" t="s">
        <v>149</v>
      </c>
      <c r="D567" s="177" t="s">
        <v>149</v>
      </c>
      <c r="E567" s="177" t="str">
        <f t="shared" si="21"/>
        <v/>
      </c>
    </row>
    <row r="568" spans="3:5">
      <c r="C568" s="177" t="s">
        <v>149</v>
      </c>
      <c r="D568" s="177" t="s">
        <v>149</v>
      </c>
      <c r="E568" s="177" t="str">
        <f t="shared" si="21"/>
        <v/>
      </c>
    </row>
    <row r="569" spans="3:5">
      <c r="C569" s="177" t="s">
        <v>149</v>
      </c>
      <c r="D569" s="177" t="s">
        <v>149</v>
      </c>
      <c r="E569" s="177" t="str">
        <f t="shared" si="21"/>
        <v/>
      </c>
    </row>
    <row r="570" spans="3:5">
      <c r="C570" s="177" t="s">
        <v>149</v>
      </c>
      <c r="D570" s="177" t="s">
        <v>149</v>
      </c>
      <c r="E570" s="177" t="str">
        <f t="shared" si="21"/>
        <v/>
      </c>
    </row>
    <row r="571" spans="3:5">
      <c r="C571" s="177" t="s">
        <v>149</v>
      </c>
      <c r="D571" s="177" t="s">
        <v>149</v>
      </c>
      <c r="E571" s="177" t="str">
        <f t="shared" si="21"/>
        <v/>
      </c>
    </row>
    <row r="572" spans="3:5">
      <c r="C572" s="177" t="s">
        <v>149</v>
      </c>
      <c r="D572" s="177" t="s">
        <v>149</v>
      </c>
      <c r="E572" s="177" t="str">
        <f t="shared" si="21"/>
        <v/>
      </c>
    </row>
    <row r="573" spans="3:5">
      <c r="C573" s="177" t="s">
        <v>149</v>
      </c>
      <c r="D573" s="177" t="s">
        <v>149</v>
      </c>
      <c r="E573" s="177" t="str">
        <f t="shared" si="21"/>
        <v/>
      </c>
    </row>
    <row r="574" spans="3:5">
      <c r="C574" s="177" t="s">
        <v>149</v>
      </c>
      <c r="D574" s="177" t="s">
        <v>149</v>
      </c>
      <c r="E574" s="177" t="str">
        <f t="shared" si="21"/>
        <v/>
      </c>
    </row>
    <row r="575" spans="3:5">
      <c r="C575" s="177" t="s">
        <v>149</v>
      </c>
      <c r="D575" s="177" t="s">
        <v>149</v>
      </c>
      <c r="E575" s="177" t="str">
        <f t="shared" si="21"/>
        <v/>
      </c>
    </row>
    <row r="576" spans="3:5">
      <c r="C576" s="177" t="s">
        <v>149</v>
      </c>
      <c r="D576" s="177" t="s">
        <v>149</v>
      </c>
      <c r="E576" s="177" t="str">
        <f t="shared" si="21"/>
        <v/>
      </c>
    </row>
    <row r="577" spans="3:5">
      <c r="C577" s="177" t="s">
        <v>149</v>
      </c>
      <c r="D577" s="177" t="s">
        <v>149</v>
      </c>
      <c r="E577" s="177" t="str">
        <f t="shared" si="21"/>
        <v/>
      </c>
    </row>
    <row r="578" spans="3:5">
      <c r="C578" s="177" t="s">
        <v>149</v>
      </c>
      <c r="D578" s="177" t="s">
        <v>149</v>
      </c>
      <c r="E578" s="177" t="str">
        <f t="shared" si="21"/>
        <v/>
      </c>
    </row>
    <row r="579" spans="3:5">
      <c r="C579" s="177" t="s">
        <v>149</v>
      </c>
      <c r="D579" s="177" t="s">
        <v>149</v>
      </c>
      <c r="E579" s="177" t="str">
        <f t="shared" si="21"/>
        <v/>
      </c>
    </row>
    <row r="580" spans="3:5">
      <c r="C580" s="177" t="s">
        <v>149</v>
      </c>
      <c r="D580" s="177" t="s">
        <v>149</v>
      </c>
      <c r="E580" s="177" t="str">
        <f t="shared" ref="E580:E643" si="22">IF(C580&lt;D580,C580,D580)</f>
        <v/>
      </c>
    </row>
    <row r="581" spans="3:5">
      <c r="C581" s="177" t="s">
        <v>149</v>
      </c>
      <c r="D581" s="177" t="s">
        <v>149</v>
      </c>
      <c r="E581" s="177" t="str">
        <f t="shared" si="22"/>
        <v/>
      </c>
    </row>
    <row r="582" spans="3:5">
      <c r="C582" s="177" t="s">
        <v>149</v>
      </c>
      <c r="D582" s="177" t="s">
        <v>149</v>
      </c>
      <c r="E582" s="177" t="str">
        <f t="shared" si="22"/>
        <v/>
      </c>
    </row>
    <row r="583" spans="3:5">
      <c r="C583" s="177" t="s">
        <v>149</v>
      </c>
      <c r="D583" s="177" t="s">
        <v>149</v>
      </c>
      <c r="E583" s="177" t="str">
        <f t="shared" si="22"/>
        <v/>
      </c>
    </row>
    <row r="584" spans="3:5">
      <c r="C584" s="177" t="s">
        <v>149</v>
      </c>
      <c r="D584" s="177" t="s">
        <v>149</v>
      </c>
      <c r="E584" s="177" t="str">
        <f t="shared" si="22"/>
        <v/>
      </c>
    </row>
    <row r="585" spans="3:5">
      <c r="C585" s="177" t="s">
        <v>149</v>
      </c>
      <c r="D585" s="177" t="s">
        <v>149</v>
      </c>
      <c r="E585" s="177" t="str">
        <f t="shared" si="22"/>
        <v/>
      </c>
    </row>
    <row r="586" spans="3:5">
      <c r="C586" s="177" t="s">
        <v>149</v>
      </c>
      <c r="D586" s="177" t="s">
        <v>149</v>
      </c>
      <c r="E586" s="177" t="str">
        <f t="shared" si="22"/>
        <v/>
      </c>
    </row>
    <row r="587" spans="3:5">
      <c r="C587" s="177" t="s">
        <v>149</v>
      </c>
      <c r="D587" s="177" t="s">
        <v>149</v>
      </c>
      <c r="E587" s="177" t="str">
        <f t="shared" si="22"/>
        <v/>
      </c>
    </row>
    <row r="588" spans="3:5">
      <c r="C588" s="177" t="s">
        <v>149</v>
      </c>
      <c r="D588" s="177" t="s">
        <v>149</v>
      </c>
      <c r="E588" s="177" t="str">
        <f t="shared" si="22"/>
        <v/>
      </c>
    </row>
    <row r="589" spans="3:5">
      <c r="C589" s="177" t="s">
        <v>149</v>
      </c>
      <c r="D589" s="177" t="s">
        <v>149</v>
      </c>
      <c r="E589" s="177" t="str">
        <f t="shared" si="22"/>
        <v/>
      </c>
    </row>
    <row r="590" spans="3:5">
      <c r="C590" s="177" t="s">
        <v>149</v>
      </c>
      <c r="D590" s="177" t="s">
        <v>149</v>
      </c>
      <c r="E590" s="177" t="str">
        <f t="shared" si="22"/>
        <v/>
      </c>
    </row>
    <row r="591" spans="3:5">
      <c r="C591" s="177" t="s">
        <v>149</v>
      </c>
      <c r="D591" s="177" t="s">
        <v>149</v>
      </c>
      <c r="E591" s="177" t="str">
        <f t="shared" si="22"/>
        <v/>
      </c>
    </row>
    <row r="592" spans="3:5">
      <c r="C592" s="177" t="s">
        <v>149</v>
      </c>
      <c r="D592" s="177" t="s">
        <v>149</v>
      </c>
      <c r="E592" s="177" t="str">
        <f t="shared" si="22"/>
        <v/>
      </c>
    </row>
    <row r="593" spans="3:5">
      <c r="C593" s="177" t="s">
        <v>149</v>
      </c>
      <c r="D593" s="177" t="s">
        <v>149</v>
      </c>
      <c r="E593" s="177" t="str">
        <f t="shared" si="22"/>
        <v/>
      </c>
    </row>
    <row r="594" spans="3:5">
      <c r="C594" s="177" t="s">
        <v>149</v>
      </c>
      <c r="D594" s="177" t="s">
        <v>149</v>
      </c>
      <c r="E594" s="177" t="str">
        <f t="shared" si="22"/>
        <v/>
      </c>
    </row>
    <row r="595" spans="3:5">
      <c r="C595" s="177" t="s">
        <v>149</v>
      </c>
      <c r="D595" s="177" t="s">
        <v>149</v>
      </c>
      <c r="E595" s="177" t="str">
        <f t="shared" si="22"/>
        <v/>
      </c>
    </row>
    <row r="596" spans="3:5">
      <c r="C596" s="177" t="s">
        <v>149</v>
      </c>
      <c r="D596" s="177" t="s">
        <v>149</v>
      </c>
      <c r="E596" s="177" t="str">
        <f t="shared" si="22"/>
        <v/>
      </c>
    </row>
    <row r="597" spans="3:5">
      <c r="C597" s="177" t="s">
        <v>149</v>
      </c>
      <c r="D597" s="177" t="s">
        <v>149</v>
      </c>
      <c r="E597" s="177" t="str">
        <f t="shared" si="22"/>
        <v/>
      </c>
    </row>
    <row r="598" spans="3:5">
      <c r="C598" s="177" t="s">
        <v>149</v>
      </c>
      <c r="D598" s="177" t="s">
        <v>149</v>
      </c>
      <c r="E598" s="177" t="str">
        <f t="shared" si="22"/>
        <v/>
      </c>
    </row>
    <row r="599" spans="3:5">
      <c r="C599" s="177" t="s">
        <v>149</v>
      </c>
      <c r="D599" s="177" t="s">
        <v>149</v>
      </c>
      <c r="E599" s="177" t="str">
        <f t="shared" si="22"/>
        <v/>
      </c>
    </row>
    <row r="600" spans="3:5">
      <c r="C600" s="177" t="s">
        <v>149</v>
      </c>
      <c r="D600" s="177" t="s">
        <v>149</v>
      </c>
      <c r="E600" s="177" t="str">
        <f t="shared" si="22"/>
        <v/>
      </c>
    </row>
    <row r="601" spans="3:5">
      <c r="C601" s="177" t="s">
        <v>149</v>
      </c>
      <c r="D601" s="177" t="s">
        <v>149</v>
      </c>
      <c r="E601" s="177" t="str">
        <f t="shared" si="22"/>
        <v/>
      </c>
    </row>
    <row r="602" spans="3:5">
      <c r="C602" s="177" t="s">
        <v>149</v>
      </c>
      <c r="D602" s="177" t="s">
        <v>149</v>
      </c>
      <c r="E602" s="177" t="str">
        <f t="shared" si="22"/>
        <v/>
      </c>
    </row>
    <row r="603" spans="3:5">
      <c r="C603" s="177" t="s">
        <v>149</v>
      </c>
      <c r="D603" s="177" t="s">
        <v>149</v>
      </c>
      <c r="E603" s="177" t="str">
        <f t="shared" si="22"/>
        <v/>
      </c>
    </row>
    <row r="604" spans="3:5">
      <c r="C604" s="177" t="s">
        <v>149</v>
      </c>
      <c r="D604" s="177" t="s">
        <v>149</v>
      </c>
      <c r="E604" s="177" t="str">
        <f t="shared" si="22"/>
        <v/>
      </c>
    </row>
    <row r="605" spans="3:5">
      <c r="C605" s="177" t="s">
        <v>149</v>
      </c>
      <c r="D605" s="177" t="s">
        <v>149</v>
      </c>
      <c r="E605" s="177" t="str">
        <f t="shared" si="22"/>
        <v/>
      </c>
    </row>
    <row r="606" spans="3:5">
      <c r="C606" s="177" t="s">
        <v>149</v>
      </c>
      <c r="D606" s="177" t="s">
        <v>149</v>
      </c>
      <c r="E606" s="177" t="str">
        <f t="shared" si="22"/>
        <v/>
      </c>
    </row>
    <row r="607" spans="3:5">
      <c r="C607" s="177" t="s">
        <v>149</v>
      </c>
      <c r="D607" s="177" t="s">
        <v>149</v>
      </c>
      <c r="E607" s="177" t="str">
        <f t="shared" si="22"/>
        <v/>
      </c>
    </row>
    <row r="608" spans="3:5">
      <c r="C608" s="177" t="s">
        <v>149</v>
      </c>
      <c r="D608" s="177" t="s">
        <v>149</v>
      </c>
      <c r="E608" s="177" t="str">
        <f t="shared" si="22"/>
        <v/>
      </c>
    </row>
    <row r="609" spans="3:5">
      <c r="C609" s="177" t="s">
        <v>149</v>
      </c>
      <c r="D609" s="177" t="s">
        <v>149</v>
      </c>
      <c r="E609" s="177" t="str">
        <f t="shared" si="22"/>
        <v/>
      </c>
    </row>
    <row r="610" spans="3:5">
      <c r="C610" s="177" t="s">
        <v>149</v>
      </c>
      <c r="D610" s="177" t="s">
        <v>149</v>
      </c>
      <c r="E610" s="177" t="str">
        <f t="shared" si="22"/>
        <v/>
      </c>
    </row>
    <row r="611" spans="3:5">
      <c r="C611" s="177" t="s">
        <v>149</v>
      </c>
      <c r="D611" s="177" t="s">
        <v>149</v>
      </c>
      <c r="E611" s="177" t="str">
        <f t="shared" si="22"/>
        <v/>
      </c>
    </row>
    <row r="612" spans="3:5">
      <c r="C612" s="177" t="s">
        <v>149</v>
      </c>
      <c r="D612" s="177" t="s">
        <v>149</v>
      </c>
      <c r="E612" s="177" t="str">
        <f t="shared" si="22"/>
        <v/>
      </c>
    </row>
    <row r="613" spans="3:5">
      <c r="C613" s="177" t="s">
        <v>149</v>
      </c>
      <c r="D613" s="177" t="s">
        <v>149</v>
      </c>
      <c r="E613" s="177" t="str">
        <f t="shared" si="22"/>
        <v/>
      </c>
    </row>
    <row r="614" spans="3:5">
      <c r="C614" s="177" t="s">
        <v>149</v>
      </c>
      <c r="D614" s="177" t="s">
        <v>149</v>
      </c>
      <c r="E614" s="177" t="str">
        <f t="shared" si="22"/>
        <v/>
      </c>
    </row>
    <row r="615" spans="3:5">
      <c r="C615" s="177" t="s">
        <v>149</v>
      </c>
      <c r="D615" s="177" t="s">
        <v>149</v>
      </c>
      <c r="E615" s="177" t="str">
        <f t="shared" si="22"/>
        <v/>
      </c>
    </row>
    <row r="616" spans="3:5">
      <c r="C616" s="177" t="s">
        <v>149</v>
      </c>
      <c r="D616" s="177" t="s">
        <v>149</v>
      </c>
      <c r="E616" s="177" t="str">
        <f t="shared" si="22"/>
        <v/>
      </c>
    </row>
    <row r="617" spans="3:5">
      <c r="C617" s="177" t="s">
        <v>149</v>
      </c>
      <c r="D617" s="177" t="s">
        <v>149</v>
      </c>
      <c r="E617" s="177" t="str">
        <f t="shared" si="22"/>
        <v/>
      </c>
    </row>
    <row r="618" spans="3:5">
      <c r="C618" s="177" t="s">
        <v>149</v>
      </c>
      <c r="D618" s="177" t="s">
        <v>149</v>
      </c>
      <c r="E618" s="177" t="str">
        <f t="shared" si="22"/>
        <v/>
      </c>
    </row>
    <row r="619" spans="3:5">
      <c r="C619" s="177" t="s">
        <v>149</v>
      </c>
      <c r="D619" s="177" t="s">
        <v>149</v>
      </c>
      <c r="E619" s="177" t="str">
        <f t="shared" si="22"/>
        <v/>
      </c>
    </row>
    <row r="620" spans="3:5">
      <c r="C620" s="177" t="s">
        <v>149</v>
      </c>
      <c r="D620" s="177" t="s">
        <v>149</v>
      </c>
      <c r="E620" s="177" t="str">
        <f t="shared" si="22"/>
        <v/>
      </c>
    </row>
    <row r="621" spans="3:5">
      <c r="C621" s="177" t="s">
        <v>149</v>
      </c>
      <c r="D621" s="177" t="s">
        <v>149</v>
      </c>
      <c r="E621" s="177" t="str">
        <f t="shared" si="22"/>
        <v/>
      </c>
    </row>
    <row r="622" spans="3:5">
      <c r="C622" s="177" t="s">
        <v>149</v>
      </c>
      <c r="D622" s="177" t="s">
        <v>149</v>
      </c>
      <c r="E622" s="177" t="str">
        <f t="shared" si="22"/>
        <v/>
      </c>
    </row>
    <row r="623" spans="3:5">
      <c r="C623" s="177" t="s">
        <v>149</v>
      </c>
      <c r="D623" s="177" t="s">
        <v>149</v>
      </c>
      <c r="E623" s="177" t="str">
        <f t="shared" si="22"/>
        <v/>
      </c>
    </row>
    <row r="624" spans="3:5">
      <c r="C624" s="177" t="s">
        <v>149</v>
      </c>
      <c r="D624" s="177" t="s">
        <v>149</v>
      </c>
      <c r="E624" s="177" t="str">
        <f t="shared" si="22"/>
        <v/>
      </c>
    </row>
    <row r="625" spans="3:5">
      <c r="C625" s="177" t="s">
        <v>149</v>
      </c>
      <c r="D625" s="177" t="s">
        <v>149</v>
      </c>
      <c r="E625" s="177" t="str">
        <f t="shared" si="22"/>
        <v/>
      </c>
    </row>
    <row r="626" spans="3:5">
      <c r="C626" s="177" t="s">
        <v>149</v>
      </c>
      <c r="D626" s="177" t="s">
        <v>149</v>
      </c>
      <c r="E626" s="177" t="str">
        <f t="shared" si="22"/>
        <v/>
      </c>
    </row>
    <row r="627" spans="3:5">
      <c r="C627" s="177" t="s">
        <v>149</v>
      </c>
      <c r="D627" s="177" t="s">
        <v>149</v>
      </c>
      <c r="E627" s="177" t="str">
        <f t="shared" si="22"/>
        <v/>
      </c>
    </row>
    <row r="628" spans="3:5">
      <c r="C628" s="177" t="s">
        <v>149</v>
      </c>
      <c r="D628" s="177" t="s">
        <v>149</v>
      </c>
      <c r="E628" s="177" t="str">
        <f t="shared" si="22"/>
        <v/>
      </c>
    </row>
    <row r="629" spans="3:5">
      <c r="C629" s="177" t="s">
        <v>149</v>
      </c>
      <c r="D629" s="177" t="s">
        <v>149</v>
      </c>
      <c r="E629" s="177" t="str">
        <f t="shared" si="22"/>
        <v/>
      </c>
    </row>
    <row r="630" spans="3:5">
      <c r="C630" s="177" t="s">
        <v>149</v>
      </c>
      <c r="D630" s="177" t="s">
        <v>149</v>
      </c>
      <c r="E630" s="177" t="str">
        <f t="shared" si="22"/>
        <v/>
      </c>
    </row>
    <row r="631" spans="3:5">
      <c r="C631" s="177" t="s">
        <v>149</v>
      </c>
      <c r="D631" s="177" t="s">
        <v>149</v>
      </c>
      <c r="E631" s="177" t="str">
        <f t="shared" si="22"/>
        <v/>
      </c>
    </row>
    <row r="632" spans="3:5">
      <c r="C632" s="177" t="s">
        <v>149</v>
      </c>
      <c r="D632" s="177" t="s">
        <v>149</v>
      </c>
      <c r="E632" s="177" t="str">
        <f t="shared" si="22"/>
        <v/>
      </c>
    </row>
    <row r="633" spans="3:5">
      <c r="C633" s="177" t="s">
        <v>149</v>
      </c>
      <c r="D633" s="177" t="s">
        <v>149</v>
      </c>
      <c r="E633" s="177" t="str">
        <f t="shared" si="22"/>
        <v/>
      </c>
    </row>
    <row r="634" spans="3:5">
      <c r="C634" s="177" t="s">
        <v>149</v>
      </c>
      <c r="D634" s="177" t="s">
        <v>149</v>
      </c>
      <c r="E634" s="177" t="str">
        <f t="shared" si="22"/>
        <v/>
      </c>
    </row>
    <row r="635" spans="3:5">
      <c r="C635" s="177" t="s">
        <v>149</v>
      </c>
      <c r="D635" s="177" t="s">
        <v>149</v>
      </c>
      <c r="E635" s="177" t="str">
        <f t="shared" si="22"/>
        <v/>
      </c>
    </row>
    <row r="636" spans="3:5">
      <c r="C636" s="177" t="s">
        <v>149</v>
      </c>
      <c r="D636" s="177" t="s">
        <v>149</v>
      </c>
      <c r="E636" s="177" t="str">
        <f t="shared" si="22"/>
        <v/>
      </c>
    </row>
    <row r="637" spans="3:5">
      <c r="C637" s="177" t="s">
        <v>149</v>
      </c>
      <c r="D637" s="177" t="s">
        <v>149</v>
      </c>
      <c r="E637" s="177" t="str">
        <f t="shared" si="22"/>
        <v/>
      </c>
    </row>
    <row r="638" spans="3:5">
      <c r="C638" s="177" t="s">
        <v>149</v>
      </c>
      <c r="D638" s="177" t="s">
        <v>149</v>
      </c>
      <c r="E638" s="177" t="str">
        <f t="shared" si="22"/>
        <v/>
      </c>
    </row>
    <row r="639" spans="3:5">
      <c r="C639" s="177" t="s">
        <v>149</v>
      </c>
      <c r="D639" s="177" t="s">
        <v>149</v>
      </c>
      <c r="E639" s="177" t="str">
        <f t="shared" si="22"/>
        <v/>
      </c>
    </row>
    <row r="640" spans="3:5">
      <c r="C640" s="177" t="s">
        <v>149</v>
      </c>
      <c r="D640" s="177" t="s">
        <v>149</v>
      </c>
      <c r="E640" s="177" t="str">
        <f t="shared" si="22"/>
        <v/>
      </c>
    </row>
    <row r="641" spans="3:5">
      <c r="C641" s="177" t="s">
        <v>149</v>
      </c>
      <c r="D641" s="177" t="s">
        <v>149</v>
      </c>
      <c r="E641" s="177" t="str">
        <f t="shared" si="22"/>
        <v/>
      </c>
    </row>
    <row r="642" spans="3:5">
      <c r="C642" s="177" t="s">
        <v>149</v>
      </c>
      <c r="D642" s="177" t="s">
        <v>149</v>
      </c>
      <c r="E642" s="177" t="str">
        <f t="shared" si="22"/>
        <v/>
      </c>
    </row>
    <row r="643" spans="3:5">
      <c r="C643" s="177" t="s">
        <v>149</v>
      </c>
      <c r="D643" s="177" t="s">
        <v>149</v>
      </c>
      <c r="E643" s="177" t="str">
        <f t="shared" si="22"/>
        <v/>
      </c>
    </row>
    <row r="644" spans="3:5">
      <c r="C644" s="177" t="s">
        <v>149</v>
      </c>
      <c r="D644" s="177" t="s">
        <v>149</v>
      </c>
      <c r="E644" s="177" t="str">
        <f t="shared" ref="E644:E707" si="23">IF(C644&lt;D644,C644,D644)</f>
        <v/>
      </c>
    </row>
    <row r="645" spans="3:5">
      <c r="C645" s="177" t="s">
        <v>149</v>
      </c>
      <c r="D645" s="177" t="s">
        <v>149</v>
      </c>
      <c r="E645" s="177" t="str">
        <f t="shared" si="23"/>
        <v/>
      </c>
    </row>
    <row r="646" spans="3:5">
      <c r="C646" s="177" t="s">
        <v>149</v>
      </c>
      <c r="D646" s="177" t="s">
        <v>149</v>
      </c>
      <c r="E646" s="177" t="str">
        <f t="shared" si="23"/>
        <v/>
      </c>
    </row>
    <row r="647" spans="3:5">
      <c r="C647" s="177" t="s">
        <v>149</v>
      </c>
      <c r="D647" s="177" t="s">
        <v>149</v>
      </c>
      <c r="E647" s="177" t="str">
        <f t="shared" si="23"/>
        <v/>
      </c>
    </row>
    <row r="648" spans="3:5">
      <c r="C648" s="177" t="s">
        <v>149</v>
      </c>
      <c r="D648" s="177" t="s">
        <v>149</v>
      </c>
      <c r="E648" s="177" t="str">
        <f t="shared" si="23"/>
        <v/>
      </c>
    </row>
    <row r="649" spans="3:5">
      <c r="C649" s="177" t="s">
        <v>149</v>
      </c>
      <c r="D649" s="177" t="s">
        <v>149</v>
      </c>
      <c r="E649" s="177" t="str">
        <f t="shared" si="23"/>
        <v/>
      </c>
    </row>
    <row r="650" spans="3:5">
      <c r="C650" s="177" t="s">
        <v>149</v>
      </c>
      <c r="D650" s="177" t="s">
        <v>149</v>
      </c>
      <c r="E650" s="177" t="str">
        <f t="shared" si="23"/>
        <v/>
      </c>
    </row>
    <row r="651" spans="3:5">
      <c r="C651" s="177" t="s">
        <v>149</v>
      </c>
      <c r="D651" s="177" t="s">
        <v>149</v>
      </c>
      <c r="E651" s="177" t="str">
        <f t="shared" si="23"/>
        <v/>
      </c>
    </row>
    <row r="652" spans="3:5">
      <c r="C652" s="177" t="s">
        <v>149</v>
      </c>
      <c r="D652" s="177" t="s">
        <v>149</v>
      </c>
      <c r="E652" s="177" t="str">
        <f t="shared" si="23"/>
        <v/>
      </c>
    </row>
    <row r="653" spans="3:5">
      <c r="C653" s="177" t="s">
        <v>149</v>
      </c>
      <c r="D653" s="177" t="s">
        <v>149</v>
      </c>
      <c r="E653" s="177" t="str">
        <f t="shared" si="23"/>
        <v/>
      </c>
    </row>
    <row r="654" spans="3:5">
      <c r="C654" s="177" t="s">
        <v>149</v>
      </c>
      <c r="D654" s="177" t="s">
        <v>149</v>
      </c>
      <c r="E654" s="177" t="str">
        <f t="shared" si="23"/>
        <v/>
      </c>
    </row>
    <row r="655" spans="3:5">
      <c r="C655" s="177" t="s">
        <v>149</v>
      </c>
      <c r="D655" s="177" t="s">
        <v>149</v>
      </c>
      <c r="E655" s="177" t="str">
        <f t="shared" si="23"/>
        <v/>
      </c>
    </row>
    <row r="656" spans="3:5">
      <c r="C656" s="177" t="s">
        <v>149</v>
      </c>
      <c r="D656" s="177" t="s">
        <v>149</v>
      </c>
      <c r="E656" s="177" t="str">
        <f t="shared" si="23"/>
        <v/>
      </c>
    </row>
    <row r="657" spans="3:5">
      <c r="C657" s="177" t="s">
        <v>149</v>
      </c>
      <c r="D657" s="177" t="s">
        <v>149</v>
      </c>
      <c r="E657" s="177" t="str">
        <f t="shared" si="23"/>
        <v/>
      </c>
    </row>
    <row r="658" spans="3:5">
      <c r="C658" s="177" t="s">
        <v>149</v>
      </c>
      <c r="D658" s="177" t="s">
        <v>149</v>
      </c>
      <c r="E658" s="177" t="str">
        <f t="shared" si="23"/>
        <v/>
      </c>
    </row>
    <row r="659" spans="3:5">
      <c r="C659" s="177" t="s">
        <v>149</v>
      </c>
      <c r="D659" s="177" t="s">
        <v>149</v>
      </c>
      <c r="E659" s="177" t="str">
        <f t="shared" si="23"/>
        <v/>
      </c>
    </row>
    <row r="660" spans="3:5">
      <c r="C660" s="177" t="s">
        <v>149</v>
      </c>
      <c r="D660" s="177" t="s">
        <v>149</v>
      </c>
      <c r="E660" s="177" t="str">
        <f t="shared" si="23"/>
        <v/>
      </c>
    </row>
    <row r="661" spans="3:5">
      <c r="C661" s="177" t="s">
        <v>149</v>
      </c>
      <c r="D661" s="177" t="s">
        <v>149</v>
      </c>
      <c r="E661" s="177" t="str">
        <f t="shared" si="23"/>
        <v/>
      </c>
    </row>
    <row r="662" spans="3:5">
      <c r="C662" s="177" t="s">
        <v>149</v>
      </c>
      <c r="D662" s="177" t="s">
        <v>149</v>
      </c>
      <c r="E662" s="177" t="str">
        <f t="shared" si="23"/>
        <v/>
      </c>
    </row>
    <row r="663" spans="3:5">
      <c r="C663" s="177" t="s">
        <v>149</v>
      </c>
      <c r="D663" s="177" t="s">
        <v>149</v>
      </c>
      <c r="E663" s="177" t="str">
        <f t="shared" si="23"/>
        <v/>
      </c>
    </row>
    <row r="664" spans="3:5">
      <c r="C664" s="177" t="s">
        <v>149</v>
      </c>
      <c r="D664" s="177" t="s">
        <v>149</v>
      </c>
      <c r="E664" s="177" t="str">
        <f t="shared" si="23"/>
        <v/>
      </c>
    </row>
    <row r="665" spans="3:5">
      <c r="C665" s="177" t="s">
        <v>149</v>
      </c>
      <c r="D665" s="177" t="s">
        <v>149</v>
      </c>
      <c r="E665" s="177" t="str">
        <f t="shared" si="23"/>
        <v/>
      </c>
    </row>
    <row r="666" spans="3:5">
      <c r="C666" s="177" t="s">
        <v>149</v>
      </c>
      <c r="D666" s="177" t="s">
        <v>149</v>
      </c>
      <c r="E666" s="177" t="str">
        <f t="shared" si="23"/>
        <v/>
      </c>
    </row>
    <row r="667" spans="3:5">
      <c r="C667" s="177" t="s">
        <v>149</v>
      </c>
      <c r="D667" s="177" t="s">
        <v>149</v>
      </c>
      <c r="E667" s="177" t="str">
        <f t="shared" si="23"/>
        <v/>
      </c>
    </row>
    <row r="668" spans="3:5">
      <c r="C668" s="177" t="s">
        <v>149</v>
      </c>
      <c r="D668" s="177" t="s">
        <v>149</v>
      </c>
      <c r="E668" s="177" t="str">
        <f t="shared" si="23"/>
        <v/>
      </c>
    </row>
    <row r="669" spans="3:5">
      <c r="C669" s="177" t="s">
        <v>149</v>
      </c>
      <c r="D669" s="177" t="s">
        <v>149</v>
      </c>
      <c r="E669" s="177" t="str">
        <f t="shared" si="23"/>
        <v/>
      </c>
    </row>
    <row r="670" spans="3:5">
      <c r="C670" s="177" t="s">
        <v>149</v>
      </c>
      <c r="D670" s="177" t="s">
        <v>149</v>
      </c>
      <c r="E670" s="177" t="str">
        <f t="shared" si="23"/>
        <v/>
      </c>
    </row>
    <row r="671" spans="3:5">
      <c r="C671" s="177" t="s">
        <v>149</v>
      </c>
      <c r="D671" s="177" t="s">
        <v>149</v>
      </c>
      <c r="E671" s="177" t="str">
        <f t="shared" si="23"/>
        <v/>
      </c>
    </row>
    <row r="672" spans="3:5">
      <c r="C672" s="177" t="s">
        <v>149</v>
      </c>
      <c r="D672" s="177" t="s">
        <v>149</v>
      </c>
      <c r="E672" s="177" t="str">
        <f t="shared" si="23"/>
        <v/>
      </c>
    </row>
    <row r="673" spans="3:5">
      <c r="C673" s="177" t="s">
        <v>149</v>
      </c>
      <c r="D673" s="177" t="s">
        <v>149</v>
      </c>
      <c r="E673" s="177" t="str">
        <f t="shared" si="23"/>
        <v/>
      </c>
    </row>
    <row r="674" spans="3:5">
      <c r="C674" s="177" t="s">
        <v>149</v>
      </c>
      <c r="D674" s="177" t="s">
        <v>149</v>
      </c>
      <c r="E674" s="177" t="str">
        <f t="shared" si="23"/>
        <v/>
      </c>
    </row>
    <row r="675" spans="3:5">
      <c r="C675" s="177" t="s">
        <v>149</v>
      </c>
      <c r="D675" s="177" t="s">
        <v>149</v>
      </c>
      <c r="E675" s="177" t="str">
        <f t="shared" si="23"/>
        <v/>
      </c>
    </row>
    <row r="676" spans="3:5">
      <c r="C676" s="177" t="s">
        <v>149</v>
      </c>
      <c r="D676" s="177" t="s">
        <v>149</v>
      </c>
      <c r="E676" s="177" t="str">
        <f t="shared" si="23"/>
        <v/>
      </c>
    </row>
    <row r="677" spans="3:5">
      <c r="C677" s="177" t="s">
        <v>149</v>
      </c>
      <c r="D677" s="177" t="s">
        <v>149</v>
      </c>
      <c r="E677" s="177" t="str">
        <f t="shared" si="23"/>
        <v/>
      </c>
    </row>
    <row r="678" spans="3:5">
      <c r="C678" s="177" t="s">
        <v>149</v>
      </c>
      <c r="D678" s="177" t="s">
        <v>149</v>
      </c>
      <c r="E678" s="177" t="str">
        <f t="shared" si="23"/>
        <v/>
      </c>
    </row>
    <row r="679" spans="3:5">
      <c r="C679" s="177" t="s">
        <v>149</v>
      </c>
      <c r="D679" s="177" t="s">
        <v>149</v>
      </c>
      <c r="E679" s="177" t="str">
        <f t="shared" si="23"/>
        <v/>
      </c>
    </row>
    <row r="680" spans="3:5">
      <c r="C680" s="177" t="s">
        <v>149</v>
      </c>
      <c r="D680" s="177" t="s">
        <v>149</v>
      </c>
      <c r="E680" s="177" t="str">
        <f t="shared" si="23"/>
        <v/>
      </c>
    </row>
    <row r="681" spans="3:5">
      <c r="C681" s="177" t="s">
        <v>149</v>
      </c>
      <c r="D681" s="177" t="s">
        <v>149</v>
      </c>
      <c r="E681" s="177" t="str">
        <f t="shared" si="23"/>
        <v/>
      </c>
    </row>
    <row r="682" spans="3:5">
      <c r="C682" s="177" t="s">
        <v>149</v>
      </c>
      <c r="D682" s="177" t="s">
        <v>149</v>
      </c>
      <c r="E682" s="177" t="str">
        <f t="shared" si="23"/>
        <v/>
      </c>
    </row>
    <row r="683" spans="3:5">
      <c r="C683" s="177" t="s">
        <v>149</v>
      </c>
      <c r="D683" s="177" t="s">
        <v>149</v>
      </c>
      <c r="E683" s="177" t="str">
        <f t="shared" si="23"/>
        <v/>
      </c>
    </row>
    <row r="684" spans="3:5">
      <c r="C684" s="177" t="s">
        <v>149</v>
      </c>
      <c r="D684" s="177" t="s">
        <v>149</v>
      </c>
      <c r="E684" s="177" t="str">
        <f t="shared" si="23"/>
        <v/>
      </c>
    </row>
    <row r="685" spans="3:5">
      <c r="C685" s="177" t="s">
        <v>149</v>
      </c>
      <c r="D685" s="177" t="s">
        <v>149</v>
      </c>
      <c r="E685" s="177" t="str">
        <f t="shared" si="23"/>
        <v/>
      </c>
    </row>
    <row r="686" spans="3:5">
      <c r="C686" s="177" t="s">
        <v>149</v>
      </c>
      <c r="D686" s="177" t="s">
        <v>149</v>
      </c>
      <c r="E686" s="177" t="str">
        <f t="shared" si="23"/>
        <v/>
      </c>
    </row>
    <row r="687" spans="3:5">
      <c r="C687" s="177" t="s">
        <v>149</v>
      </c>
      <c r="D687" s="177" t="s">
        <v>149</v>
      </c>
      <c r="E687" s="177" t="str">
        <f t="shared" si="23"/>
        <v/>
      </c>
    </row>
    <row r="688" spans="3:5">
      <c r="C688" s="177" t="s">
        <v>149</v>
      </c>
      <c r="D688" s="177" t="s">
        <v>149</v>
      </c>
      <c r="E688" s="177" t="str">
        <f t="shared" si="23"/>
        <v/>
      </c>
    </row>
    <row r="689" spans="3:5">
      <c r="C689" s="177" t="s">
        <v>149</v>
      </c>
      <c r="D689" s="177" t="s">
        <v>149</v>
      </c>
      <c r="E689" s="177" t="str">
        <f t="shared" si="23"/>
        <v/>
      </c>
    </row>
    <row r="690" spans="3:5">
      <c r="C690" s="177" t="s">
        <v>149</v>
      </c>
      <c r="D690" s="177" t="s">
        <v>149</v>
      </c>
      <c r="E690" s="177" t="str">
        <f t="shared" si="23"/>
        <v/>
      </c>
    </row>
    <row r="691" spans="3:5">
      <c r="C691" s="177" t="s">
        <v>149</v>
      </c>
      <c r="D691" s="177" t="s">
        <v>149</v>
      </c>
      <c r="E691" s="177" t="str">
        <f t="shared" si="23"/>
        <v/>
      </c>
    </row>
    <row r="692" spans="3:5">
      <c r="C692" s="177" t="s">
        <v>149</v>
      </c>
      <c r="D692" s="177" t="s">
        <v>149</v>
      </c>
      <c r="E692" s="177" t="str">
        <f t="shared" si="23"/>
        <v/>
      </c>
    </row>
    <row r="693" spans="3:5">
      <c r="C693" s="177" t="s">
        <v>149</v>
      </c>
      <c r="D693" s="177" t="s">
        <v>149</v>
      </c>
      <c r="E693" s="177" t="str">
        <f t="shared" si="23"/>
        <v/>
      </c>
    </row>
    <row r="694" spans="3:5">
      <c r="C694" s="177" t="s">
        <v>149</v>
      </c>
      <c r="D694" s="177" t="s">
        <v>149</v>
      </c>
      <c r="E694" s="177" t="str">
        <f t="shared" si="23"/>
        <v/>
      </c>
    </row>
    <row r="695" spans="3:5">
      <c r="C695" s="177" t="s">
        <v>149</v>
      </c>
      <c r="D695" s="177" t="s">
        <v>149</v>
      </c>
      <c r="E695" s="177" t="str">
        <f t="shared" si="23"/>
        <v/>
      </c>
    </row>
    <row r="696" spans="3:5">
      <c r="C696" s="177" t="s">
        <v>149</v>
      </c>
      <c r="D696" s="177" t="s">
        <v>149</v>
      </c>
      <c r="E696" s="177" t="str">
        <f t="shared" si="23"/>
        <v/>
      </c>
    </row>
    <row r="697" spans="3:5">
      <c r="C697" s="177" t="s">
        <v>149</v>
      </c>
      <c r="D697" s="177" t="s">
        <v>149</v>
      </c>
      <c r="E697" s="177" t="str">
        <f t="shared" si="23"/>
        <v/>
      </c>
    </row>
    <row r="698" spans="3:5">
      <c r="C698" s="177" t="s">
        <v>149</v>
      </c>
      <c r="D698" s="177" t="s">
        <v>149</v>
      </c>
      <c r="E698" s="177" t="str">
        <f t="shared" si="23"/>
        <v/>
      </c>
    </row>
    <row r="699" spans="3:5">
      <c r="C699" s="177" t="s">
        <v>149</v>
      </c>
      <c r="D699" s="177" t="s">
        <v>149</v>
      </c>
      <c r="E699" s="177" t="str">
        <f t="shared" si="23"/>
        <v/>
      </c>
    </row>
    <row r="700" spans="3:5">
      <c r="C700" s="177" t="s">
        <v>149</v>
      </c>
      <c r="D700" s="177" t="s">
        <v>149</v>
      </c>
      <c r="E700" s="177" t="str">
        <f t="shared" si="23"/>
        <v/>
      </c>
    </row>
    <row r="701" spans="3:5">
      <c r="C701" s="177" t="s">
        <v>149</v>
      </c>
      <c r="D701" s="177" t="s">
        <v>149</v>
      </c>
      <c r="E701" s="177" t="str">
        <f t="shared" si="23"/>
        <v/>
      </c>
    </row>
    <row r="702" spans="3:5">
      <c r="C702" s="177" t="s">
        <v>149</v>
      </c>
      <c r="D702" s="177" t="s">
        <v>149</v>
      </c>
      <c r="E702" s="177" t="str">
        <f t="shared" si="23"/>
        <v/>
      </c>
    </row>
    <row r="703" spans="3:5">
      <c r="C703" s="177" t="s">
        <v>149</v>
      </c>
      <c r="D703" s="177" t="s">
        <v>149</v>
      </c>
      <c r="E703" s="177" t="str">
        <f t="shared" si="23"/>
        <v/>
      </c>
    </row>
    <row r="704" spans="3:5">
      <c r="C704" s="177" t="s">
        <v>149</v>
      </c>
      <c r="D704" s="177" t="s">
        <v>149</v>
      </c>
      <c r="E704" s="177" t="str">
        <f t="shared" si="23"/>
        <v/>
      </c>
    </row>
    <row r="705" spans="3:5">
      <c r="C705" s="177" t="s">
        <v>149</v>
      </c>
      <c r="D705" s="177" t="s">
        <v>149</v>
      </c>
      <c r="E705" s="177" t="str">
        <f t="shared" si="23"/>
        <v/>
      </c>
    </row>
    <row r="706" spans="3:5">
      <c r="C706" s="177" t="s">
        <v>149</v>
      </c>
      <c r="D706" s="177" t="s">
        <v>149</v>
      </c>
      <c r="E706" s="177" t="str">
        <f t="shared" si="23"/>
        <v/>
      </c>
    </row>
    <row r="707" spans="3:5">
      <c r="C707" s="177" t="s">
        <v>149</v>
      </c>
      <c r="D707" s="177" t="s">
        <v>149</v>
      </c>
      <c r="E707" s="177" t="str">
        <f t="shared" si="23"/>
        <v/>
      </c>
    </row>
    <row r="708" spans="3:5">
      <c r="C708" s="177" t="s">
        <v>149</v>
      </c>
      <c r="D708" s="177" t="s">
        <v>149</v>
      </c>
      <c r="E708" s="177" t="str">
        <f t="shared" ref="E708:E771" si="24">IF(C708&lt;D708,C708,D708)</f>
        <v/>
      </c>
    </row>
    <row r="709" spans="3:5">
      <c r="C709" s="177" t="s">
        <v>149</v>
      </c>
      <c r="D709" s="177" t="s">
        <v>149</v>
      </c>
      <c r="E709" s="177" t="str">
        <f t="shared" si="24"/>
        <v/>
      </c>
    </row>
    <row r="710" spans="3:5">
      <c r="C710" s="177" t="s">
        <v>149</v>
      </c>
      <c r="D710" s="177" t="s">
        <v>149</v>
      </c>
      <c r="E710" s="177" t="str">
        <f t="shared" si="24"/>
        <v/>
      </c>
    </row>
    <row r="711" spans="3:5">
      <c r="C711" s="177" t="s">
        <v>149</v>
      </c>
      <c r="D711" s="177" t="s">
        <v>149</v>
      </c>
      <c r="E711" s="177" t="str">
        <f t="shared" si="24"/>
        <v/>
      </c>
    </row>
    <row r="712" spans="3:5">
      <c r="C712" s="177" t="s">
        <v>149</v>
      </c>
      <c r="D712" s="177" t="s">
        <v>149</v>
      </c>
      <c r="E712" s="177" t="str">
        <f t="shared" si="24"/>
        <v/>
      </c>
    </row>
    <row r="713" spans="3:5">
      <c r="C713" s="177" t="s">
        <v>149</v>
      </c>
      <c r="D713" s="177" t="s">
        <v>149</v>
      </c>
      <c r="E713" s="177" t="str">
        <f t="shared" si="24"/>
        <v/>
      </c>
    </row>
    <row r="714" spans="3:5">
      <c r="C714" s="177" t="s">
        <v>149</v>
      </c>
      <c r="D714" s="177" t="s">
        <v>149</v>
      </c>
      <c r="E714" s="177" t="str">
        <f t="shared" si="24"/>
        <v/>
      </c>
    </row>
    <row r="715" spans="3:5">
      <c r="C715" s="177" t="s">
        <v>149</v>
      </c>
      <c r="D715" s="177" t="s">
        <v>149</v>
      </c>
      <c r="E715" s="177" t="str">
        <f t="shared" si="24"/>
        <v/>
      </c>
    </row>
    <row r="716" spans="3:5">
      <c r="C716" s="177" t="s">
        <v>149</v>
      </c>
      <c r="D716" s="177" t="s">
        <v>149</v>
      </c>
      <c r="E716" s="177" t="str">
        <f t="shared" si="24"/>
        <v/>
      </c>
    </row>
    <row r="717" spans="3:5">
      <c r="C717" s="177" t="s">
        <v>149</v>
      </c>
      <c r="D717" s="177" t="s">
        <v>149</v>
      </c>
      <c r="E717" s="177" t="str">
        <f t="shared" si="24"/>
        <v/>
      </c>
    </row>
    <row r="718" spans="3:5">
      <c r="C718" s="177" t="s">
        <v>149</v>
      </c>
      <c r="D718" s="177" t="s">
        <v>149</v>
      </c>
      <c r="E718" s="177" t="str">
        <f t="shared" si="24"/>
        <v/>
      </c>
    </row>
    <row r="719" spans="3:5">
      <c r="C719" s="177" t="s">
        <v>149</v>
      </c>
      <c r="D719" s="177" t="s">
        <v>149</v>
      </c>
      <c r="E719" s="177" t="str">
        <f t="shared" si="24"/>
        <v/>
      </c>
    </row>
    <row r="720" spans="3:5">
      <c r="C720" s="177" t="s">
        <v>149</v>
      </c>
      <c r="D720" s="177" t="s">
        <v>149</v>
      </c>
      <c r="E720" s="177" t="str">
        <f t="shared" si="24"/>
        <v/>
      </c>
    </row>
    <row r="721" spans="3:5">
      <c r="C721" s="177" t="s">
        <v>149</v>
      </c>
      <c r="D721" s="177" t="s">
        <v>149</v>
      </c>
      <c r="E721" s="177" t="str">
        <f t="shared" si="24"/>
        <v/>
      </c>
    </row>
    <row r="722" spans="3:5">
      <c r="C722" s="177" t="s">
        <v>149</v>
      </c>
      <c r="D722" s="177" t="s">
        <v>149</v>
      </c>
      <c r="E722" s="177" t="str">
        <f t="shared" si="24"/>
        <v/>
      </c>
    </row>
    <row r="723" spans="3:5">
      <c r="C723" s="177" t="s">
        <v>149</v>
      </c>
      <c r="D723" s="177" t="s">
        <v>149</v>
      </c>
      <c r="E723" s="177" t="str">
        <f t="shared" si="24"/>
        <v/>
      </c>
    </row>
    <row r="724" spans="3:5">
      <c r="C724" s="177" t="s">
        <v>149</v>
      </c>
      <c r="D724" s="177" t="s">
        <v>149</v>
      </c>
      <c r="E724" s="177" t="str">
        <f t="shared" si="24"/>
        <v/>
      </c>
    </row>
    <row r="725" spans="3:5">
      <c r="C725" s="177" t="s">
        <v>149</v>
      </c>
      <c r="D725" s="177" t="s">
        <v>149</v>
      </c>
      <c r="E725" s="177" t="str">
        <f t="shared" si="24"/>
        <v/>
      </c>
    </row>
    <row r="726" spans="3:5">
      <c r="C726" s="177" t="s">
        <v>149</v>
      </c>
      <c r="D726" s="177" t="s">
        <v>149</v>
      </c>
      <c r="E726" s="177" t="str">
        <f t="shared" si="24"/>
        <v/>
      </c>
    </row>
    <row r="727" spans="3:5">
      <c r="C727" s="177" t="s">
        <v>149</v>
      </c>
      <c r="D727" s="177" t="s">
        <v>149</v>
      </c>
      <c r="E727" s="177" t="str">
        <f t="shared" si="24"/>
        <v/>
      </c>
    </row>
    <row r="728" spans="3:5">
      <c r="C728" s="177" t="s">
        <v>149</v>
      </c>
      <c r="D728" s="177" t="s">
        <v>149</v>
      </c>
      <c r="E728" s="177" t="str">
        <f t="shared" si="24"/>
        <v/>
      </c>
    </row>
    <row r="729" spans="3:5">
      <c r="C729" s="177" t="s">
        <v>149</v>
      </c>
      <c r="D729" s="177" t="s">
        <v>149</v>
      </c>
      <c r="E729" s="177" t="str">
        <f t="shared" si="24"/>
        <v/>
      </c>
    </row>
    <row r="730" spans="3:5">
      <c r="C730" s="177" t="s">
        <v>149</v>
      </c>
      <c r="D730" s="177" t="s">
        <v>149</v>
      </c>
      <c r="E730" s="177" t="str">
        <f t="shared" si="24"/>
        <v/>
      </c>
    </row>
    <row r="731" spans="3:5">
      <c r="C731" s="177" t="s">
        <v>149</v>
      </c>
      <c r="D731" s="177" t="s">
        <v>149</v>
      </c>
      <c r="E731" s="177" t="str">
        <f t="shared" si="24"/>
        <v/>
      </c>
    </row>
    <row r="732" spans="3:5">
      <c r="C732" s="177" t="s">
        <v>149</v>
      </c>
      <c r="D732" s="177" t="s">
        <v>149</v>
      </c>
      <c r="E732" s="177" t="str">
        <f t="shared" si="24"/>
        <v/>
      </c>
    </row>
    <row r="733" spans="3:5">
      <c r="C733" s="177" t="s">
        <v>149</v>
      </c>
      <c r="D733" s="177" t="s">
        <v>149</v>
      </c>
      <c r="E733" s="177" t="str">
        <f t="shared" si="24"/>
        <v/>
      </c>
    </row>
    <row r="734" spans="3:5">
      <c r="C734" s="177" t="s">
        <v>149</v>
      </c>
      <c r="D734" s="177" t="s">
        <v>149</v>
      </c>
      <c r="E734" s="177" t="str">
        <f t="shared" si="24"/>
        <v/>
      </c>
    </row>
    <row r="735" spans="3:5">
      <c r="C735" s="177" t="s">
        <v>149</v>
      </c>
      <c r="D735" s="177" t="s">
        <v>149</v>
      </c>
      <c r="E735" s="177" t="str">
        <f t="shared" si="24"/>
        <v/>
      </c>
    </row>
    <row r="736" spans="3:5">
      <c r="C736" s="177" t="s">
        <v>149</v>
      </c>
      <c r="D736" s="177" t="s">
        <v>149</v>
      </c>
      <c r="E736" s="177" t="str">
        <f t="shared" si="24"/>
        <v/>
      </c>
    </row>
    <row r="737" spans="3:5">
      <c r="C737" s="177" t="s">
        <v>149</v>
      </c>
      <c r="D737" s="177" t="s">
        <v>149</v>
      </c>
      <c r="E737" s="177" t="str">
        <f t="shared" si="24"/>
        <v/>
      </c>
    </row>
    <row r="738" spans="3:5">
      <c r="C738" s="177" t="s">
        <v>149</v>
      </c>
      <c r="D738" s="177" t="s">
        <v>149</v>
      </c>
      <c r="E738" s="177" t="str">
        <f t="shared" si="24"/>
        <v/>
      </c>
    </row>
    <row r="739" spans="3:5">
      <c r="C739" s="177" t="s">
        <v>149</v>
      </c>
      <c r="D739" s="177" t="s">
        <v>149</v>
      </c>
      <c r="E739" s="177" t="str">
        <f t="shared" si="24"/>
        <v/>
      </c>
    </row>
    <row r="740" spans="3:5">
      <c r="C740" s="177" t="s">
        <v>149</v>
      </c>
      <c r="D740" s="177" t="s">
        <v>149</v>
      </c>
      <c r="E740" s="177" t="str">
        <f t="shared" si="24"/>
        <v/>
      </c>
    </row>
    <row r="741" spans="3:5">
      <c r="C741" s="177" t="s">
        <v>149</v>
      </c>
      <c r="D741" s="177" t="s">
        <v>149</v>
      </c>
      <c r="E741" s="177" t="str">
        <f t="shared" si="24"/>
        <v/>
      </c>
    </row>
    <row r="742" spans="3:5">
      <c r="C742" s="177" t="s">
        <v>149</v>
      </c>
      <c r="D742" s="177" t="s">
        <v>149</v>
      </c>
      <c r="E742" s="177" t="str">
        <f t="shared" si="24"/>
        <v/>
      </c>
    </row>
    <row r="743" spans="3:5">
      <c r="C743" s="177" t="s">
        <v>149</v>
      </c>
      <c r="D743" s="177" t="s">
        <v>149</v>
      </c>
      <c r="E743" s="177" t="str">
        <f t="shared" si="24"/>
        <v/>
      </c>
    </row>
    <row r="744" spans="3:5">
      <c r="C744" s="177" t="s">
        <v>149</v>
      </c>
      <c r="D744" s="177" t="s">
        <v>149</v>
      </c>
      <c r="E744" s="177" t="str">
        <f t="shared" si="24"/>
        <v/>
      </c>
    </row>
    <row r="745" spans="3:5">
      <c r="C745" s="177" t="s">
        <v>149</v>
      </c>
      <c r="D745" s="177" t="s">
        <v>149</v>
      </c>
      <c r="E745" s="177" t="str">
        <f t="shared" si="24"/>
        <v/>
      </c>
    </row>
    <row r="746" spans="3:5">
      <c r="C746" s="177" t="s">
        <v>149</v>
      </c>
      <c r="D746" s="177" t="s">
        <v>149</v>
      </c>
      <c r="E746" s="177" t="str">
        <f t="shared" si="24"/>
        <v/>
      </c>
    </row>
    <row r="747" spans="3:5">
      <c r="C747" s="177" t="s">
        <v>149</v>
      </c>
      <c r="D747" s="177" t="s">
        <v>149</v>
      </c>
      <c r="E747" s="177" t="str">
        <f t="shared" si="24"/>
        <v/>
      </c>
    </row>
    <row r="748" spans="3:5">
      <c r="C748" s="177" t="s">
        <v>149</v>
      </c>
      <c r="D748" s="177" t="s">
        <v>149</v>
      </c>
      <c r="E748" s="177" t="str">
        <f t="shared" si="24"/>
        <v/>
      </c>
    </row>
    <row r="749" spans="3:5">
      <c r="C749" s="177" t="s">
        <v>149</v>
      </c>
      <c r="D749" s="177" t="s">
        <v>149</v>
      </c>
      <c r="E749" s="177" t="str">
        <f t="shared" si="24"/>
        <v/>
      </c>
    </row>
    <row r="750" spans="3:5">
      <c r="C750" s="177" t="s">
        <v>149</v>
      </c>
      <c r="D750" s="177" t="s">
        <v>149</v>
      </c>
      <c r="E750" s="177" t="str">
        <f t="shared" si="24"/>
        <v/>
      </c>
    </row>
    <row r="751" spans="3:5">
      <c r="C751" s="177" t="s">
        <v>149</v>
      </c>
      <c r="D751" s="177" t="s">
        <v>149</v>
      </c>
      <c r="E751" s="177" t="str">
        <f t="shared" si="24"/>
        <v/>
      </c>
    </row>
    <row r="752" spans="3:5">
      <c r="C752" s="177" t="s">
        <v>149</v>
      </c>
      <c r="D752" s="177" t="s">
        <v>149</v>
      </c>
      <c r="E752" s="177" t="str">
        <f t="shared" si="24"/>
        <v/>
      </c>
    </row>
    <row r="753" spans="3:5">
      <c r="C753" s="177" t="s">
        <v>149</v>
      </c>
      <c r="D753" s="177" t="s">
        <v>149</v>
      </c>
      <c r="E753" s="177" t="str">
        <f t="shared" si="24"/>
        <v/>
      </c>
    </row>
    <row r="754" spans="3:5">
      <c r="C754" s="177" t="s">
        <v>149</v>
      </c>
      <c r="D754" s="177" t="s">
        <v>149</v>
      </c>
      <c r="E754" s="177" t="str">
        <f t="shared" si="24"/>
        <v/>
      </c>
    </row>
    <row r="755" spans="3:5">
      <c r="C755" s="177" t="s">
        <v>149</v>
      </c>
      <c r="D755" s="177" t="s">
        <v>149</v>
      </c>
      <c r="E755" s="177" t="str">
        <f t="shared" si="24"/>
        <v/>
      </c>
    </row>
    <row r="756" spans="3:5">
      <c r="C756" s="177" t="s">
        <v>149</v>
      </c>
      <c r="D756" s="177" t="s">
        <v>149</v>
      </c>
      <c r="E756" s="177" t="str">
        <f t="shared" si="24"/>
        <v/>
      </c>
    </row>
    <row r="757" spans="3:5">
      <c r="C757" s="177" t="s">
        <v>149</v>
      </c>
      <c r="D757" s="177" t="s">
        <v>149</v>
      </c>
      <c r="E757" s="177" t="str">
        <f t="shared" si="24"/>
        <v/>
      </c>
    </row>
    <row r="758" spans="3:5">
      <c r="C758" s="177" t="s">
        <v>149</v>
      </c>
      <c r="D758" s="177" t="s">
        <v>149</v>
      </c>
      <c r="E758" s="177" t="str">
        <f t="shared" si="24"/>
        <v/>
      </c>
    </row>
    <row r="759" spans="3:5">
      <c r="C759" s="177" t="s">
        <v>149</v>
      </c>
      <c r="D759" s="177" t="s">
        <v>149</v>
      </c>
      <c r="E759" s="177" t="str">
        <f t="shared" si="24"/>
        <v/>
      </c>
    </row>
    <row r="760" spans="3:5">
      <c r="C760" s="177" t="s">
        <v>149</v>
      </c>
      <c r="D760" s="177" t="s">
        <v>149</v>
      </c>
      <c r="E760" s="177" t="str">
        <f t="shared" si="24"/>
        <v/>
      </c>
    </row>
    <row r="761" spans="3:5">
      <c r="C761" s="177" t="s">
        <v>149</v>
      </c>
      <c r="D761" s="177" t="s">
        <v>149</v>
      </c>
      <c r="E761" s="177" t="str">
        <f t="shared" si="24"/>
        <v/>
      </c>
    </row>
    <row r="762" spans="3:5">
      <c r="C762" s="177" t="s">
        <v>149</v>
      </c>
      <c r="D762" s="177" t="s">
        <v>149</v>
      </c>
      <c r="E762" s="177" t="str">
        <f t="shared" si="24"/>
        <v/>
      </c>
    </row>
    <row r="763" spans="3:5">
      <c r="C763" s="177" t="s">
        <v>149</v>
      </c>
      <c r="D763" s="177" t="s">
        <v>149</v>
      </c>
      <c r="E763" s="177" t="str">
        <f t="shared" si="24"/>
        <v/>
      </c>
    </row>
    <row r="764" spans="3:5">
      <c r="C764" s="177" t="s">
        <v>149</v>
      </c>
      <c r="D764" s="177" t="s">
        <v>149</v>
      </c>
      <c r="E764" s="177" t="str">
        <f t="shared" si="24"/>
        <v/>
      </c>
    </row>
    <row r="765" spans="3:5">
      <c r="C765" s="177" t="s">
        <v>149</v>
      </c>
      <c r="D765" s="177" t="s">
        <v>149</v>
      </c>
      <c r="E765" s="177" t="str">
        <f t="shared" si="24"/>
        <v/>
      </c>
    </row>
    <row r="766" spans="3:5">
      <c r="C766" s="177" t="s">
        <v>149</v>
      </c>
      <c r="D766" s="177" t="s">
        <v>149</v>
      </c>
      <c r="E766" s="177" t="str">
        <f t="shared" si="24"/>
        <v/>
      </c>
    </row>
    <row r="767" spans="3:5">
      <c r="C767" s="177" t="s">
        <v>149</v>
      </c>
      <c r="D767" s="177" t="s">
        <v>149</v>
      </c>
      <c r="E767" s="177" t="str">
        <f t="shared" si="24"/>
        <v/>
      </c>
    </row>
    <row r="768" spans="3:5">
      <c r="C768" s="177" t="s">
        <v>149</v>
      </c>
      <c r="D768" s="177" t="s">
        <v>149</v>
      </c>
      <c r="E768" s="177" t="str">
        <f t="shared" si="24"/>
        <v/>
      </c>
    </row>
    <row r="769" spans="3:5">
      <c r="C769" s="177" t="s">
        <v>149</v>
      </c>
      <c r="D769" s="177" t="s">
        <v>149</v>
      </c>
      <c r="E769" s="177" t="str">
        <f t="shared" si="24"/>
        <v/>
      </c>
    </row>
    <row r="770" spans="3:5">
      <c r="C770" s="177" t="s">
        <v>149</v>
      </c>
      <c r="D770" s="177" t="s">
        <v>149</v>
      </c>
      <c r="E770" s="177" t="str">
        <f t="shared" si="24"/>
        <v/>
      </c>
    </row>
    <row r="771" spans="3:5">
      <c r="C771" s="177" t="s">
        <v>149</v>
      </c>
      <c r="D771" s="177" t="s">
        <v>149</v>
      </c>
      <c r="E771" s="177" t="str">
        <f t="shared" si="24"/>
        <v/>
      </c>
    </row>
    <row r="772" spans="3:5">
      <c r="C772" s="177" t="s">
        <v>149</v>
      </c>
      <c r="D772" s="177" t="s">
        <v>149</v>
      </c>
      <c r="E772" s="177" t="str">
        <f t="shared" ref="E772:E835" si="25">IF(C772&lt;D772,C772,D772)</f>
        <v/>
      </c>
    </row>
    <row r="773" spans="3:5">
      <c r="C773" s="177" t="s">
        <v>149</v>
      </c>
      <c r="D773" s="177" t="s">
        <v>149</v>
      </c>
      <c r="E773" s="177" t="str">
        <f t="shared" si="25"/>
        <v/>
      </c>
    </row>
    <row r="774" spans="3:5">
      <c r="C774" s="177" t="s">
        <v>149</v>
      </c>
      <c r="D774" s="177" t="s">
        <v>149</v>
      </c>
      <c r="E774" s="177" t="str">
        <f t="shared" si="25"/>
        <v/>
      </c>
    </row>
    <row r="775" spans="3:5">
      <c r="C775" s="177" t="s">
        <v>149</v>
      </c>
      <c r="D775" s="177" t="s">
        <v>149</v>
      </c>
      <c r="E775" s="177" t="str">
        <f t="shared" si="25"/>
        <v/>
      </c>
    </row>
    <row r="776" spans="3:5">
      <c r="C776" s="177" t="s">
        <v>149</v>
      </c>
      <c r="D776" s="177" t="s">
        <v>149</v>
      </c>
      <c r="E776" s="177" t="str">
        <f t="shared" si="25"/>
        <v/>
      </c>
    </row>
    <row r="777" spans="3:5">
      <c r="C777" s="177" t="s">
        <v>149</v>
      </c>
      <c r="D777" s="177" t="s">
        <v>149</v>
      </c>
      <c r="E777" s="177" t="str">
        <f t="shared" si="25"/>
        <v/>
      </c>
    </row>
    <row r="778" spans="3:5">
      <c r="C778" s="177" t="s">
        <v>149</v>
      </c>
      <c r="D778" s="177" t="s">
        <v>149</v>
      </c>
      <c r="E778" s="177" t="str">
        <f t="shared" si="25"/>
        <v/>
      </c>
    </row>
    <row r="779" spans="3:5">
      <c r="C779" s="177" t="s">
        <v>149</v>
      </c>
      <c r="D779" s="177" t="s">
        <v>149</v>
      </c>
      <c r="E779" s="177" t="str">
        <f t="shared" si="25"/>
        <v/>
      </c>
    </row>
    <row r="780" spans="3:5">
      <c r="C780" s="177" t="s">
        <v>149</v>
      </c>
      <c r="D780" s="177" t="s">
        <v>149</v>
      </c>
      <c r="E780" s="177" t="str">
        <f t="shared" si="25"/>
        <v/>
      </c>
    </row>
    <row r="781" spans="3:5">
      <c r="C781" s="177" t="s">
        <v>149</v>
      </c>
      <c r="D781" s="177" t="s">
        <v>149</v>
      </c>
      <c r="E781" s="177" t="str">
        <f t="shared" si="25"/>
        <v/>
      </c>
    </row>
    <row r="782" spans="3:5">
      <c r="C782" s="177" t="s">
        <v>149</v>
      </c>
      <c r="D782" s="177" t="s">
        <v>149</v>
      </c>
      <c r="E782" s="177" t="str">
        <f t="shared" si="25"/>
        <v/>
      </c>
    </row>
    <row r="783" spans="3:5">
      <c r="C783" s="177" t="s">
        <v>149</v>
      </c>
      <c r="D783" s="177" t="s">
        <v>149</v>
      </c>
      <c r="E783" s="177" t="str">
        <f t="shared" si="25"/>
        <v/>
      </c>
    </row>
    <row r="784" spans="3:5">
      <c r="C784" s="177" t="s">
        <v>149</v>
      </c>
      <c r="D784" s="177" t="s">
        <v>149</v>
      </c>
      <c r="E784" s="177" t="str">
        <f t="shared" si="25"/>
        <v/>
      </c>
    </row>
    <row r="785" spans="3:5">
      <c r="C785" s="177" t="s">
        <v>149</v>
      </c>
      <c r="D785" s="177" t="s">
        <v>149</v>
      </c>
      <c r="E785" s="177" t="str">
        <f t="shared" si="25"/>
        <v/>
      </c>
    </row>
    <row r="786" spans="3:5">
      <c r="C786" s="177" t="s">
        <v>149</v>
      </c>
      <c r="D786" s="177" t="s">
        <v>149</v>
      </c>
      <c r="E786" s="177" t="str">
        <f t="shared" si="25"/>
        <v/>
      </c>
    </row>
    <row r="787" spans="3:5">
      <c r="C787" s="177" t="s">
        <v>149</v>
      </c>
      <c r="D787" s="177" t="s">
        <v>149</v>
      </c>
      <c r="E787" s="177" t="str">
        <f t="shared" si="25"/>
        <v/>
      </c>
    </row>
    <row r="788" spans="3:5">
      <c r="C788" s="177" t="s">
        <v>149</v>
      </c>
      <c r="D788" s="177" t="s">
        <v>149</v>
      </c>
      <c r="E788" s="177" t="str">
        <f t="shared" si="25"/>
        <v/>
      </c>
    </row>
    <row r="789" spans="3:5">
      <c r="C789" s="177" t="s">
        <v>149</v>
      </c>
      <c r="D789" s="177" t="s">
        <v>149</v>
      </c>
      <c r="E789" s="177" t="str">
        <f t="shared" si="25"/>
        <v/>
      </c>
    </row>
    <row r="790" spans="3:5">
      <c r="C790" s="177" t="s">
        <v>149</v>
      </c>
      <c r="D790" s="177" t="s">
        <v>149</v>
      </c>
      <c r="E790" s="177" t="str">
        <f t="shared" si="25"/>
        <v/>
      </c>
    </row>
    <row r="791" spans="3:5">
      <c r="C791" s="177" t="s">
        <v>149</v>
      </c>
      <c r="D791" s="177" t="s">
        <v>149</v>
      </c>
      <c r="E791" s="177" t="str">
        <f t="shared" si="25"/>
        <v/>
      </c>
    </row>
    <row r="792" spans="3:5">
      <c r="C792" s="177" t="s">
        <v>149</v>
      </c>
      <c r="D792" s="177" t="s">
        <v>149</v>
      </c>
      <c r="E792" s="177" t="str">
        <f t="shared" si="25"/>
        <v/>
      </c>
    </row>
    <row r="793" spans="3:5">
      <c r="C793" s="177" t="s">
        <v>149</v>
      </c>
      <c r="D793" s="177" t="s">
        <v>149</v>
      </c>
      <c r="E793" s="177" t="str">
        <f t="shared" si="25"/>
        <v/>
      </c>
    </row>
    <row r="794" spans="3:5">
      <c r="C794" s="177" t="s">
        <v>149</v>
      </c>
      <c r="D794" s="177" t="s">
        <v>149</v>
      </c>
      <c r="E794" s="177" t="str">
        <f t="shared" si="25"/>
        <v/>
      </c>
    </row>
    <row r="795" spans="3:5">
      <c r="C795" s="177" t="s">
        <v>149</v>
      </c>
      <c r="D795" s="177" t="s">
        <v>149</v>
      </c>
      <c r="E795" s="177" t="str">
        <f t="shared" si="25"/>
        <v/>
      </c>
    </row>
    <row r="796" spans="3:5">
      <c r="C796" s="177" t="s">
        <v>149</v>
      </c>
      <c r="D796" s="177" t="s">
        <v>149</v>
      </c>
      <c r="E796" s="177" t="str">
        <f t="shared" si="25"/>
        <v/>
      </c>
    </row>
    <row r="797" spans="3:5">
      <c r="C797" s="177" t="s">
        <v>149</v>
      </c>
      <c r="D797" s="177" t="s">
        <v>149</v>
      </c>
      <c r="E797" s="177" t="str">
        <f t="shared" si="25"/>
        <v/>
      </c>
    </row>
    <row r="798" spans="3:5">
      <c r="C798" s="177" t="s">
        <v>149</v>
      </c>
      <c r="D798" s="177" t="s">
        <v>149</v>
      </c>
      <c r="E798" s="177" t="str">
        <f t="shared" si="25"/>
        <v/>
      </c>
    </row>
    <row r="799" spans="3:5">
      <c r="C799" s="177" t="s">
        <v>149</v>
      </c>
      <c r="D799" s="177" t="s">
        <v>149</v>
      </c>
      <c r="E799" s="177" t="str">
        <f t="shared" si="25"/>
        <v/>
      </c>
    </row>
    <row r="800" spans="3:5">
      <c r="C800" s="177" t="s">
        <v>149</v>
      </c>
      <c r="D800" s="177" t="s">
        <v>149</v>
      </c>
      <c r="E800" s="177" t="str">
        <f t="shared" si="25"/>
        <v/>
      </c>
    </row>
    <row r="801" spans="3:5">
      <c r="C801" s="177" t="s">
        <v>149</v>
      </c>
      <c r="D801" s="177" t="s">
        <v>149</v>
      </c>
      <c r="E801" s="177" t="str">
        <f t="shared" si="25"/>
        <v/>
      </c>
    </row>
    <row r="802" spans="3:5">
      <c r="C802" s="177" t="s">
        <v>149</v>
      </c>
      <c r="D802" s="177" t="s">
        <v>149</v>
      </c>
      <c r="E802" s="177" t="str">
        <f t="shared" si="25"/>
        <v/>
      </c>
    </row>
    <row r="803" spans="3:5">
      <c r="C803" s="177" t="s">
        <v>149</v>
      </c>
      <c r="D803" s="177" t="s">
        <v>149</v>
      </c>
      <c r="E803" s="177" t="str">
        <f t="shared" si="25"/>
        <v/>
      </c>
    </row>
    <row r="804" spans="3:5">
      <c r="C804" s="177" t="s">
        <v>149</v>
      </c>
      <c r="D804" s="177" t="s">
        <v>149</v>
      </c>
      <c r="E804" s="177" t="str">
        <f t="shared" si="25"/>
        <v/>
      </c>
    </row>
    <row r="805" spans="3:5">
      <c r="C805" s="177" t="s">
        <v>149</v>
      </c>
      <c r="D805" s="177" t="s">
        <v>149</v>
      </c>
      <c r="E805" s="177" t="str">
        <f t="shared" si="25"/>
        <v/>
      </c>
    </row>
    <row r="806" spans="3:5">
      <c r="C806" s="177" t="s">
        <v>149</v>
      </c>
      <c r="D806" s="177" t="s">
        <v>149</v>
      </c>
      <c r="E806" s="177" t="str">
        <f t="shared" si="25"/>
        <v/>
      </c>
    </row>
    <row r="807" spans="3:5">
      <c r="C807" s="177" t="s">
        <v>149</v>
      </c>
      <c r="D807" s="177" t="s">
        <v>149</v>
      </c>
      <c r="E807" s="177" t="str">
        <f t="shared" si="25"/>
        <v/>
      </c>
    </row>
    <row r="808" spans="3:5">
      <c r="C808" s="177" t="s">
        <v>149</v>
      </c>
      <c r="D808" s="177" t="s">
        <v>149</v>
      </c>
      <c r="E808" s="177" t="str">
        <f t="shared" si="25"/>
        <v/>
      </c>
    </row>
    <row r="809" spans="3:5">
      <c r="C809" s="177" t="s">
        <v>149</v>
      </c>
      <c r="D809" s="177" t="s">
        <v>149</v>
      </c>
      <c r="E809" s="177" t="str">
        <f t="shared" si="25"/>
        <v/>
      </c>
    </row>
    <row r="810" spans="3:5">
      <c r="C810" s="177" t="s">
        <v>149</v>
      </c>
      <c r="D810" s="177" t="s">
        <v>149</v>
      </c>
      <c r="E810" s="177" t="str">
        <f t="shared" si="25"/>
        <v/>
      </c>
    </row>
    <row r="811" spans="3:5">
      <c r="C811" s="177" t="s">
        <v>149</v>
      </c>
      <c r="D811" s="177" t="s">
        <v>149</v>
      </c>
      <c r="E811" s="177" t="str">
        <f t="shared" si="25"/>
        <v/>
      </c>
    </row>
    <row r="812" spans="3:5">
      <c r="C812" s="177" t="s">
        <v>149</v>
      </c>
      <c r="D812" s="177" t="s">
        <v>149</v>
      </c>
      <c r="E812" s="177" t="str">
        <f t="shared" si="25"/>
        <v/>
      </c>
    </row>
    <row r="813" spans="3:5">
      <c r="C813" s="177" t="s">
        <v>149</v>
      </c>
      <c r="D813" s="177" t="s">
        <v>149</v>
      </c>
      <c r="E813" s="177" t="str">
        <f t="shared" si="25"/>
        <v/>
      </c>
    </row>
    <row r="814" spans="3:5">
      <c r="C814" s="177" t="s">
        <v>149</v>
      </c>
      <c r="D814" s="177" t="s">
        <v>149</v>
      </c>
      <c r="E814" s="177" t="str">
        <f t="shared" si="25"/>
        <v/>
      </c>
    </row>
    <row r="815" spans="3:5">
      <c r="C815" s="177" t="s">
        <v>149</v>
      </c>
      <c r="D815" s="177" t="s">
        <v>149</v>
      </c>
      <c r="E815" s="177" t="str">
        <f t="shared" si="25"/>
        <v/>
      </c>
    </row>
    <row r="816" spans="3:5">
      <c r="C816" s="177" t="s">
        <v>149</v>
      </c>
      <c r="D816" s="177" t="s">
        <v>149</v>
      </c>
      <c r="E816" s="177" t="str">
        <f t="shared" si="25"/>
        <v/>
      </c>
    </row>
    <row r="817" spans="3:5">
      <c r="C817" s="177" t="s">
        <v>149</v>
      </c>
      <c r="D817" s="177" t="s">
        <v>149</v>
      </c>
      <c r="E817" s="177" t="str">
        <f t="shared" si="25"/>
        <v/>
      </c>
    </row>
    <row r="818" spans="3:5">
      <c r="C818" s="177" t="s">
        <v>149</v>
      </c>
      <c r="D818" s="177" t="s">
        <v>149</v>
      </c>
      <c r="E818" s="177" t="str">
        <f t="shared" si="25"/>
        <v/>
      </c>
    </row>
    <row r="819" spans="3:5">
      <c r="C819" s="177" t="s">
        <v>149</v>
      </c>
      <c r="D819" s="177" t="s">
        <v>149</v>
      </c>
      <c r="E819" s="177" t="str">
        <f t="shared" si="25"/>
        <v/>
      </c>
    </row>
    <row r="820" spans="3:5">
      <c r="C820" s="177" t="s">
        <v>149</v>
      </c>
      <c r="D820" s="177" t="s">
        <v>149</v>
      </c>
      <c r="E820" s="177" t="str">
        <f t="shared" si="25"/>
        <v/>
      </c>
    </row>
    <row r="821" spans="3:5">
      <c r="C821" s="177" t="s">
        <v>149</v>
      </c>
      <c r="D821" s="177" t="s">
        <v>149</v>
      </c>
      <c r="E821" s="177" t="str">
        <f t="shared" si="25"/>
        <v/>
      </c>
    </row>
    <row r="822" spans="3:5">
      <c r="C822" s="177" t="s">
        <v>149</v>
      </c>
      <c r="D822" s="177" t="s">
        <v>149</v>
      </c>
      <c r="E822" s="177" t="str">
        <f t="shared" si="25"/>
        <v/>
      </c>
    </row>
    <row r="823" spans="3:5">
      <c r="C823" s="177" t="s">
        <v>149</v>
      </c>
      <c r="D823" s="177" t="s">
        <v>149</v>
      </c>
      <c r="E823" s="177" t="str">
        <f t="shared" si="25"/>
        <v/>
      </c>
    </row>
    <row r="824" spans="3:5">
      <c r="C824" s="177" t="s">
        <v>149</v>
      </c>
      <c r="D824" s="177" t="s">
        <v>149</v>
      </c>
      <c r="E824" s="177" t="str">
        <f t="shared" si="25"/>
        <v/>
      </c>
    </row>
    <row r="825" spans="3:5">
      <c r="C825" s="177" t="s">
        <v>149</v>
      </c>
      <c r="D825" s="177" t="s">
        <v>149</v>
      </c>
      <c r="E825" s="177" t="str">
        <f t="shared" si="25"/>
        <v/>
      </c>
    </row>
    <row r="826" spans="3:5">
      <c r="C826" s="177" t="s">
        <v>149</v>
      </c>
      <c r="D826" s="177" t="s">
        <v>149</v>
      </c>
      <c r="E826" s="177" t="str">
        <f t="shared" si="25"/>
        <v/>
      </c>
    </row>
    <row r="827" spans="3:5">
      <c r="C827" s="177" t="s">
        <v>149</v>
      </c>
      <c r="D827" s="177" t="s">
        <v>149</v>
      </c>
      <c r="E827" s="177" t="str">
        <f t="shared" si="25"/>
        <v/>
      </c>
    </row>
    <row r="828" spans="3:5">
      <c r="C828" s="177" t="s">
        <v>149</v>
      </c>
      <c r="D828" s="177" t="s">
        <v>149</v>
      </c>
      <c r="E828" s="177" t="str">
        <f t="shared" si="25"/>
        <v/>
      </c>
    </row>
    <row r="829" spans="3:5">
      <c r="C829" s="177" t="s">
        <v>149</v>
      </c>
      <c r="D829" s="177" t="s">
        <v>149</v>
      </c>
      <c r="E829" s="177" t="str">
        <f t="shared" si="25"/>
        <v/>
      </c>
    </row>
    <row r="830" spans="3:5">
      <c r="C830" s="177" t="s">
        <v>149</v>
      </c>
      <c r="D830" s="177" t="s">
        <v>149</v>
      </c>
      <c r="E830" s="177" t="str">
        <f t="shared" si="25"/>
        <v/>
      </c>
    </row>
    <row r="831" spans="3:5">
      <c r="C831" s="177" t="s">
        <v>149</v>
      </c>
      <c r="D831" s="177" t="s">
        <v>149</v>
      </c>
      <c r="E831" s="177" t="str">
        <f t="shared" si="25"/>
        <v/>
      </c>
    </row>
    <row r="832" spans="3:5">
      <c r="C832" s="177" t="s">
        <v>149</v>
      </c>
      <c r="D832" s="177" t="s">
        <v>149</v>
      </c>
      <c r="E832" s="177" t="str">
        <f t="shared" si="25"/>
        <v/>
      </c>
    </row>
    <row r="833" spans="3:5">
      <c r="C833" s="177" t="s">
        <v>149</v>
      </c>
      <c r="D833" s="177" t="s">
        <v>149</v>
      </c>
      <c r="E833" s="177" t="str">
        <f t="shared" si="25"/>
        <v/>
      </c>
    </row>
    <row r="834" spans="3:5">
      <c r="C834" s="177" t="s">
        <v>149</v>
      </c>
      <c r="D834" s="177" t="s">
        <v>149</v>
      </c>
      <c r="E834" s="177" t="str">
        <f t="shared" si="25"/>
        <v/>
      </c>
    </row>
    <row r="835" spans="3:5">
      <c r="C835" s="177" t="s">
        <v>149</v>
      </c>
      <c r="D835" s="177" t="s">
        <v>149</v>
      </c>
      <c r="E835" s="177" t="str">
        <f t="shared" si="25"/>
        <v/>
      </c>
    </row>
    <row r="836" spans="3:5">
      <c r="C836" s="177" t="s">
        <v>149</v>
      </c>
      <c r="D836" s="177" t="s">
        <v>149</v>
      </c>
      <c r="E836" s="177" t="str">
        <f t="shared" ref="E836:E899" si="26">IF(C836&lt;D836,C836,D836)</f>
        <v/>
      </c>
    </row>
    <row r="837" spans="3:5">
      <c r="C837" s="177" t="s">
        <v>149</v>
      </c>
      <c r="D837" s="177" t="s">
        <v>149</v>
      </c>
      <c r="E837" s="177" t="str">
        <f t="shared" si="26"/>
        <v/>
      </c>
    </row>
    <row r="838" spans="3:5">
      <c r="C838" s="177" t="s">
        <v>149</v>
      </c>
      <c r="D838" s="177" t="s">
        <v>149</v>
      </c>
      <c r="E838" s="177" t="str">
        <f t="shared" si="26"/>
        <v/>
      </c>
    </row>
    <row r="839" spans="3:5">
      <c r="C839" s="177" t="s">
        <v>149</v>
      </c>
      <c r="D839" s="177" t="s">
        <v>149</v>
      </c>
      <c r="E839" s="177" t="str">
        <f t="shared" si="26"/>
        <v/>
      </c>
    </row>
    <row r="840" spans="3:5">
      <c r="C840" s="177" t="s">
        <v>149</v>
      </c>
      <c r="D840" s="177" t="s">
        <v>149</v>
      </c>
      <c r="E840" s="177" t="str">
        <f t="shared" si="26"/>
        <v/>
      </c>
    </row>
    <row r="841" spans="3:5">
      <c r="C841" s="177" t="s">
        <v>149</v>
      </c>
      <c r="D841" s="177" t="s">
        <v>149</v>
      </c>
      <c r="E841" s="177" t="str">
        <f t="shared" si="26"/>
        <v/>
      </c>
    </row>
    <row r="842" spans="3:5">
      <c r="C842" s="177" t="s">
        <v>149</v>
      </c>
      <c r="D842" s="177" t="s">
        <v>149</v>
      </c>
      <c r="E842" s="177" t="str">
        <f t="shared" si="26"/>
        <v/>
      </c>
    </row>
    <row r="843" spans="3:5">
      <c r="C843" s="177" t="s">
        <v>149</v>
      </c>
      <c r="D843" s="177" t="s">
        <v>149</v>
      </c>
      <c r="E843" s="177" t="str">
        <f t="shared" si="26"/>
        <v/>
      </c>
    </row>
    <row r="844" spans="3:5">
      <c r="C844" s="177" t="s">
        <v>149</v>
      </c>
      <c r="D844" s="177" t="s">
        <v>149</v>
      </c>
      <c r="E844" s="177" t="str">
        <f t="shared" si="26"/>
        <v/>
      </c>
    </row>
    <row r="845" spans="3:5">
      <c r="C845" s="177" t="s">
        <v>149</v>
      </c>
      <c r="D845" s="177" t="s">
        <v>149</v>
      </c>
      <c r="E845" s="177" t="str">
        <f t="shared" si="26"/>
        <v/>
      </c>
    </row>
    <row r="846" spans="3:5">
      <c r="C846" s="177" t="s">
        <v>149</v>
      </c>
      <c r="D846" s="177" t="s">
        <v>149</v>
      </c>
      <c r="E846" s="177" t="str">
        <f t="shared" si="26"/>
        <v/>
      </c>
    </row>
    <row r="847" spans="3:5">
      <c r="C847" s="177" t="s">
        <v>149</v>
      </c>
      <c r="D847" s="177" t="s">
        <v>149</v>
      </c>
      <c r="E847" s="177" t="str">
        <f t="shared" si="26"/>
        <v/>
      </c>
    </row>
    <row r="848" spans="3:5">
      <c r="C848" s="177" t="s">
        <v>149</v>
      </c>
      <c r="D848" s="177" t="s">
        <v>149</v>
      </c>
      <c r="E848" s="177" t="str">
        <f t="shared" si="26"/>
        <v/>
      </c>
    </row>
    <row r="849" spans="3:5">
      <c r="C849" s="177" t="s">
        <v>149</v>
      </c>
      <c r="D849" s="177" t="s">
        <v>149</v>
      </c>
      <c r="E849" s="177" t="str">
        <f t="shared" si="26"/>
        <v/>
      </c>
    </row>
    <row r="850" spans="3:5">
      <c r="C850" s="177" t="s">
        <v>149</v>
      </c>
      <c r="D850" s="177" t="s">
        <v>149</v>
      </c>
      <c r="E850" s="177" t="str">
        <f t="shared" si="26"/>
        <v/>
      </c>
    </row>
    <row r="851" spans="3:5">
      <c r="C851" s="177" t="s">
        <v>149</v>
      </c>
      <c r="D851" s="177" t="s">
        <v>149</v>
      </c>
      <c r="E851" s="177" t="str">
        <f t="shared" si="26"/>
        <v/>
      </c>
    </row>
    <row r="852" spans="3:5">
      <c r="C852" s="177" t="s">
        <v>149</v>
      </c>
      <c r="D852" s="177" t="s">
        <v>149</v>
      </c>
      <c r="E852" s="177" t="str">
        <f t="shared" si="26"/>
        <v/>
      </c>
    </row>
    <row r="853" spans="3:5">
      <c r="C853" s="177" t="s">
        <v>149</v>
      </c>
      <c r="D853" s="177" t="s">
        <v>149</v>
      </c>
      <c r="E853" s="177" t="str">
        <f t="shared" si="26"/>
        <v/>
      </c>
    </row>
    <row r="854" spans="3:5">
      <c r="C854" s="177" t="s">
        <v>149</v>
      </c>
      <c r="D854" s="177" t="s">
        <v>149</v>
      </c>
      <c r="E854" s="177" t="str">
        <f t="shared" si="26"/>
        <v/>
      </c>
    </row>
    <row r="855" spans="3:5">
      <c r="C855" s="177" t="s">
        <v>149</v>
      </c>
      <c r="D855" s="177" t="s">
        <v>149</v>
      </c>
      <c r="E855" s="177" t="str">
        <f t="shared" si="26"/>
        <v/>
      </c>
    </row>
    <row r="856" spans="3:5">
      <c r="C856" s="177" t="s">
        <v>149</v>
      </c>
      <c r="D856" s="177" t="s">
        <v>149</v>
      </c>
      <c r="E856" s="177" t="str">
        <f t="shared" si="26"/>
        <v/>
      </c>
    </row>
    <row r="857" spans="3:5">
      <c r="C857" s="177" t="s">
        <v>149</v>
      </c>
      <c r="D857" s="177" t="s">
        <v>149</v>
      </c>
      <c r="E857" s="177" t="str">
        <f t="shared" si="26"/>
        <v/>
      </c>
    </row>
    <row r="858" spans="3:5">
      <c r="C858" s="177" t="s">
        <v>149</v>
      </c>
      <c r="D858" s="177" t="s">
        <v>149</v>
      </c>
      <c r="E858" s="177" t="str">
        <f t="shared" si="26"/>
        <v/>
      </c>
    </row>
    <row r="859" spans="3:5">
      <c r="C859" s="177" t="s">
        <v>149</v>
      </c>
      <c r="D859" s="177" t="s">
        <v>149</v>
      </c>
      <c r="E859" s="177" t="str">
        <f t="shared" si="26"/>
        <v/>
      </c>
    </row>
    <row r="860" spans="3:5">
      <c r="C860" s="177" t="s">
        <v>149</v>
      </c>
      <c r="D860" s="177" t="s">
        <v>149</v>
      </c>
      <c r="E860" s="177" t="str">
        <f t="shared" si="26"/>
        <v/>
      </c>
    </row>
    <row r="861" spans="3:5">
      <c r="C861" s="177" t="s">
        <v>149</v>
      </c>
      <c r="D861" s="177" t="s">
        <v>149</v>
      </c>
      <c r="E861" s="177" t="str">
        <f t="shared" si="26"/>
        <v/>
      </c>
    </row>
    <row r="862" spans="3:5">
      <c r="C862" s="177" t="s">
        <v>149</v>
      </c>
      <c r="D862" s="177" t="s">
        <v>149</v>
      </c>
      <c r="E862" s="177" t="str">
        <f t="shared" si="26"/>
        <v/>
      </c>
    </row>
    <row r="863" spans="3:5">
      <c r="C863" s="177" t="s">
        <v>149</v>
      </c>
      <c r="D863" s="177" t="s">
        <v>149</v>
      </c>
      <c r="E863" s="177" t="str">
        <f t="shared" si="26"/>
        <v/>
      </c>
    </row>
    <row r="864" spans="3:5">
      <c r="C864" s="177" t="s">
        <v>149</v>
      </c>
      <c r="D864" s="177" t="s">
        <v>149</v>
      </c>
      <c r="E864" s="177" t="str">
        <f t="shared" si="26"/>
        <v/>
      </c>
    </row>
    <row r="865" spans="3:5">
      <c r="C865" s="177" t="s">
        <v>149</v>
      </c>
      <c r="D865" s="177" t="s">
        <v>149</v>
      </c>
      <c r="E865" s="177" t="str">
        <f t="shared" si="26"/>
        <v/>
      </c>
    </row>
    <row r="866" spans="3:5">
      <c r="C866" s="177" t="s">
        <v>149</v>
      </c>
      <c r="D866" s="177" t="s">
        <v>149</v>
      </c>
      <c r="E866" s="177" t="str">
        <f t="shared" si="26"/>
        <v/>
      </c>
    </row>
    <row r="867" spans="3:5">
      <c r="C867" s="177" t="s">
        <v>149</v>
      </c>
      <c r="D867" s="177" t="s">
        <v>149</v>
      </c>
      <c r="E867" s="177" t="str">
        <f t="shared" si="26"/>
        <v/>
      </c>
    </row>
    <row r="868" spans="3:5">
      <c r="C868" s="177" t="s">
        <v>149</v>
      </c>
      <c r="D868" s="177" t="s">
        <v>149</v>
      </c>
      <c r="E868" s="177" t="str">
        <f t="shared" si="26"/>
        <v/>
      </c>
    </row>
    <row r="869" spans="3:5">
      <c r="C869" s="177" t="s">
        <v>149</v>
      </c>
      <c r="D869" s="177" t="s">
        <v>149</v>
      </c>
      <c r="E869" s="177" t="str">
        <f t="shared" si="26"/>
        <v/>
      </c>
    </row>
    <row r="870" spans="3:5">
      <c r="C870" s="177" t="s">
        <v>149</v>
      </c>
      <c r="D870" s="177" t="s">
        <v>149</v>
      </c>
      <c r="E870" s="177" t="str">
        <f t="shared" si="26"/>
        <v/>
      </c>
    </row>
    <row r="871" spans="3:5">
      <c r="C871" s="177" t="s">
        <v>149</v>
      </c>
      <c r="D871" s="177" t="s">
        <v>149</v>
      </c>
      <c r="E871" s="177" t="str">
        <f t="shared" si="26"/>
        <v/>
      </c>
    </row>
    <row r="872" spans="3:5">
      <c r="C872" s="177" t="s">
        <v>149</v>
      </c>
      <c r="D872" s="177" t="s">
        <v>149</v>
      </c>
      <c r="E872" s="177" t="str">
        <f t="shared" si="26"/>
        <v/>
      </c>
    </row>
    <row r="873" spans="3:5">
      <c r="C873" s="177" t="s">
        <v>149</v>
      </c>
      <c r="D873" s="177" t="s">
        <v>149</v>
      </c>
      <c r="E873" s="177" t="str">
        <f t="shared" si="26"/>
        <v/>
      </c>
    </row>
    <row r="874" spans="3:5">
      <c r="C874" s="177" t="s">
        <v>149</v>
      </c>
      <c r="D874" s="177" t="s">
        <v>149</v>
      </c>
      <c r="E874" s="177" t="str">
        <f t="shared" si="26"/>
        <v/>
      </c>
    </row>
    <row r="875" spans="3:5">
      <c r="C875" s="177" t="s">
        <v>149</v>
      </c>
      <c r="D875" s="177" t="s">
        <v>149</v>
      </c>
      <c r="E875" s="177" t="str">
        <f t="shared" si="26"/>
        <v/>
      </c>
    </row>
    <row r="876" spans="3:5">
      <c r="C876" s="177" t="s">
        <v>149</v>
      </c>
      <c r="D876" s="177" t="s">
        <v>149</v>
      </c>
      <c r="E876" s="177" t="str">
        <f t="shared" si="26"/>
        <v/>
      </c>
    </row>
    <row r="877" spans="3:5">
      <c r="C877" s="177" t="s">
        <v>149</v>
      </c>
      <c r="D877" s="177" t="s">
        <v>149</v>
      </c>
      <c r="E877" s="177" t="str">
        <f t="shared" si="26"/>
        <v/>
      </c>
    </row>
    <row r="878" spans="3:5">
      <c r="C878" s="177" t="s">
        <v>149</v>
      </c>
      <c r="D878" s="177" t="s">
        <v>149</v>
      </c>
      <c r="E878" s="177" t="str">
        <f t="shared" si="26"/>
        <v/>
      </c>
    </row>
    <row r="879" spans="3:5">
      <c r="C879" s="177" t="s">
        <v>149</v>
      </c>
      <c r="D879" s="177" t="s">
        <v>149</v>
      </c>
      <c r="E879" s="177" t="str">
        <f t="shared" si="26"/>
        <v/>
      </c>
    </row>
    <row r="880" spans="3:5">
      <c r="C880" s="177" t="s">
        <v>149</v>
      </c>
      <c r="D880" s="177" t="s">
        <v>149</v>
      </c>
      <c r="E880" s="177" t="str">
        <f t="shared" si="26"/>
        <v/>
      </c>
    </row>
    <row r="881" spans="3:5">
      <c r="C881" s="177" t="s">
        <v>149</v>
      </c>
      <c r="D881" s="177" t="s">
        <v>149</v>
      </c>
      <c r="E881" s="177" t="str">
        <f t="shared" si="26"/>
        <v/>
      </c>
    </row>
    <row r="882" spans="3:5">
      <c r="C882" s="177" t="s">
        <v>149</v>
      </c>
      <c r="D882" s="177" t="s">
        <v>149</v>
      </c>
      <c r="E882" s="177" t="str">
        <f t="shared" si="26"/>
        <v/>
      </c>
    </row>
    <row r="883" spans="3:5">
      <c r="C883" s="177" t="s">
        <v>149</v>
      </c>
      <c r="D883" s="177" t="s">
        <v>149</v>
      </c>
      <c r="E883" s="177" t="str">
        <f t="shared" si="26"/>
        <v/>
      </c>
    </row>
    <row r="884" spans="3:5">
      <c r="C884" s="177" t="s">
        <v>149</v>
      </c>
      <c r="D884" s="177" t="s">
        <v>149</v>
      </c>
      <c r="E884" s="177" t="str">
        <f t="shared" si="26"/>
        <v/>
      </c>
    </row>
    <row r="885" spans="3:5">
      <c r="C885" s="177" t="s">
        <v>149</v>
      </c>
      <c r="D885" s="177" t="s">
        <v>149</v>
      </c>
      <c r="E885" s="177" t="str">
        <f t="shared" si="26"/>
        <v/>
      </c>
    </row>
    <row r="886" spans="3:5">
      <c r="C886" s="177" t="s">
        <v>149</v>
      </c>
      <c r="D886" s="177" t="s">
        <v>149</v>
      </c>
      <c r="E886" s="177" t="str">
        <f t="shared" si="26"/>
        <v/>
      </c>
    </row>
    <row r="887" spans="3:5">
      <c r="C887" s="177" t="s">
        <v>149</v>
      </c>
      <c r="D887" s="177" t="s">
        <v>149</v>
      </c>
      <c r="E887" s="177" t="str">
        <f t="shared" si="26"/>
        <v/>
      </c>
    </row>
    <row r="888" spans="3:5">
      <c r="C888" s="177" t="s">
        <v>149</v>
      </c>
      <c r="D888" s="177" t="s">
        <v>149</v>
      </c>
      <c r="E888" s="177" t="str">
        <f t="shared" si="26"/>
        <v/>
      </c>
    </row>
    <row r="889" spans="3:5">
      <c r="C889" s="177" t="s">
        <v>149</v>
      </c>
      <c r="D889" s="177" t="s">
        <v>149</v>
      </c>
      <c r="E889" s="177" t="str">
        <f t="shared" si="26"/>
        <v/>
      </c>
    </row>
    <row r="890" spans="3:5">
      <c r="C890" s="177" t="s">
        <v>149</v>
      </c>
      <c r="D890" s="177" t="s">
        <v>149</v>
      </c>
      <c r="E890" s="177" t="str">
        <f t="shared" si="26"/>
        <v/>
      </c>
    </row>
    <row r="891" spans="3:5">
      <c r="C891" s="177" t="s">
        <v>149</v>
      </c>
      <c r="D891" s="177" t="s">
        <v>149</v>
      </c>
      <c r="E891" s="177" t="str">
        <f t="shared" si="26"/>
        <v/>
      </c>
    </row>
    <row r="892" spans="3:5">
      <c r="C892" s="177" t="s">
        <v>149</v>
      </c>
      <c r="D892" s="177" t="s">
        <v>149</v>
      </c>
      <c r="E892" s="177" t="str">
        <f t="shared" si="26"/>
        <v/>
      </c>
    </row>
    <row r="893" spans="3:5">
      <c r="C893" s="177" t="s">
        <v>149</v>
      </c>
      <c r="D893" s="177" t="s">
        <v>149</v>
      </c>
      <c r="E893" s="177" t="str">
        <f t="shared" si="26"/>
        <v/>
      </c>
    </row>
    <row r="894" spans="3:5">
      <c r="C894" s="177" t="s">
        <v>149</v>
      </c>
      <c r="D894" s="177" t="s">
        <v>149</v>
      </c>
      <c r="E894" s="177" t="str">
        <f t="shared" si="26"/>
        <v/>
      </c>
    </row>
    <row r="895" spans="3:5">
      <c r="C895" s="177" t="s">
        <v>149</v>
      </c>
      <c r="D895" s="177" t="s">
        <v>149</v>
      </c>
      <c r="E895" s="177" t="str">
        <f t="shared" si="26"/>
        <v/>
      </c>
    </row>
    <row r="896" spans="3:5">
      <c r="C896" s="177" t="s">
        <v>149</v>
      </c>
      <c r="D896" s="177" t="s">
        <v>149</v>
      </c>
      <c r="E896" s="177" t="str">
        <f t="shared" si="26"/>
        <v/>
      </c>
    </row>
    <row r="897" spans="3:5">
      <c r="C897" s="177" t="s">
        <v>149</v>
      </c>
      <c r="D897" s="177" t="s">
        <v>149</v>
      </c>
      <c r="E897" s="177" t="str">
        <f t="shared" si="26"/>
        <v/>
      </c>
    </row>
    <row r="898" spans="3:5">
      <c r="C898" s="177" t="s">
        <v>149</v>
      </c>
      <c r="D898" s="177" t="s">
        <v>149</v>
      </c>
      <c r="E898" s="177" t="str">
        <f t="shared" si="26"/>
        <v/>
      </c>
    </row>
    <row r="899" spans="3:5">
      <c r="C899" s="177" t="s">
        <v>149</v>
      </c>
      <c r="D899" s="177" t="s">
        <v>149</v>
      </c>
      <c r="E899" s="177" t="str">
        <f t="shared" si="26"/>
        <v/>
      </c>
    </row>
    <row r="900" spans="3:5">
      <c r="C900" s="177" t="s">
        <v>149</v>
      </c>
      <c r="D900" s="177" t="s">
        <v>149</v>
      </c>
      <c r="E900" s="177" t="str">
        <f t="shared" ref="E900:E963" si="27">IF(C900&lt;D900,C900,D900)</f>
        <v/>
      </c>
    </row>
    <row r="901" spans="3:5">
      <c r="C901" s="177" t="s">
        <v>149</v>
      </c>
      <c r="D901" s="177" t="s">
        <v>149</v>
      </c>
      <c r="E901" s="177" t="str">
        <f t="shared" si="27"/>
        <v/>
      </c>
    </row>
    <row r="902" spans="3:5">
      <c r="C902" s="177" t="s">
        <v>149</v>
      </c>
      <c r="D902" s="177" t="s">
        <v>149</v>
      </c>
      <c r="E902" s="177" t="str">
        <f t="shared" si="27"/>
        <v/>
      </c>
    </row>
    <row r="903" spans="3:5">
      <c r="C903" s="177" t="s">
        <v>149</v>
      </c>
      <c r="D903" s="177" t="s">
        <v>149</v>
      </c>
      <c r="E903" s="177" t="str">
        <f t="shared" si="27"/>
        <v/>
      </c>
    </row>
    <row r="904" spans="3:5">
      <c r="C904" s="177" t="s">
        <v>149</v>
      </c>
      <c r="D904" s="177" t="s">
        <v>149</v>
      </c>
      <c r="E904" s="177" t="str">
        <f t="shared" si="27"/>
        <v/>
      </c>
    </row>
    <row r="905" spans="3:5">
      <c r="C905" s="177" t="s">
        <v>149</v>
      </c>
      <c r="D905" s="177" t="s">
        <v>149</v>
      </c>
      <c r="E905" s="177" t="str">
        <f t="shared" si="27"/>
        <v/>
      </c>
    </row>
    <row r="906" spans="3:5">
      <c r="C906" s="177" t="s">
        <v>149</v>
      </c>
      <c r="D906" s="177" t="s">
        <v>149</v>
      </c>
      <c r="E906" s="177" t="str">
        <f t="shared" si="27"/>
        <v/>
      </c>
    </row>
    <row r="907" spans="3:5">
      <c r="C907" s="177" t="s">
        <v>149</v>
      </c>
      <c r="D907" s="177" t="s">
        <v>149</v>
      </c>
      <c r="E907" s="177" t="str">
        <f t="shared" si="27"/>
        <v/>
      </c>
    </row>
    <row r="908" spans="3:5">
      <c r="C908" s="177" t="s">
        <v>149</v>
      </c>
      <c r="D908" s="177" t="s">
        <v>149</v>
      </c>
      <c r="E908" s="177" t="str">
        <f t="shared" si="27"/>
        <v/>
      </c>
    </row>
    <row r="909" spans="3:5">
      <c r="C909" s="177" t="s">
        <v>149</v>
      </c>
      <c r="D909" s="177" t="s">
        <v>149</v>
      </c>
      <c r="E909" s="177" t="str">
        <f t="shared" si="27"/>
        <v/>
      </c>
    </row>
    <row r="910" spans="3:5">
      <c r="C910" s="177" t="s">
        <v>149</v>
      </c>
      <c r="D910" s="177" t="s">
        <v>149</v>
      </c>
      <c r="E910" s="177" t="str">
        <f t="shared" si="27"/>
        <v/>
      </c>
    </row>
    <row r="911" spans="3:5">
      <c r="C911" s="177" t="s">
        <v>149</v>
      </c>
      <c r="D911" s="177" t="s">
        <v>149</v>
      </c>
      <c r="E911" s="177" t="str">
        <f t="shared" si="27"/>
        <v/>
      </c>
    </row>
    <row r="912" spans="3:5">
      <c r="C912" s="177" t="s">
        <v>149</v>
      </c>
      <c r="D912" s="177" t="s">
        <v>149</v>
      </c>
      <c r="E912" s="177" t="str">
        <f t="shared" si="27"/>
        <v/>
      </c>
    </row>
    <row r="913" spans="3:5">
      <c r="C913" s="177" t="s">
        <v>149</v>
      </c>
      <c r="D913" s="177" t="s">
        <v>149</v>
      </c>
      <c r="E913" s="177" t="str">
        <f t="shared" si="27"/>
        <v/>
      </c>
    </row>
    <row r="914" spans="3:5">
      <c r="C914" s="177" t="s">
        <v>149</v>
      </c>
      <c r="D914" s="177" t="s">
        <v>149</v>
      </c>
      <c r="E914" s="177" t="str">
        <f t="shared" si="27"/>
        <v/>
      </c>
    </row>
    <row r="915" spans="3:5">
      <c r="C915" s="177" t="s">
        <v>149</v>
      </c>
      <c r="D915" s="177" t="s">
        <v>149</v>
      </c>
      <c r="E915" s="177" t="str">
        <f t="shared" si="27"/>
        <v/>
      </c>
    </row>
    <row r="916" spans="3:5">
      <c r="C916" s="177" t="s">
        <v>149</v>
      </c>
      <c r="D916" s="177" t="s">
        <v>149</v>
      </c>
      <c r="E916" s="177" t="str">
        <f t="shared" si="27"/>
        <v/>
      </c>
    </row>
    <row r="917" spans="3:5">
      <c r="C917" s="177" t="s">
        <v>149</v>
      </c>
      <c r="D917" s="177" t="s">
        <v>149</v>
      </c>
      <c r="E917" s="177" t="str">
        <f t="shared" si="27"/>
        <v/>
      </c>
    </row>
    <row r="918" spans="3:5">
      <c r="C918" s="177" t="s">
        <v>149</v>
      </c>
      <c r="D918" s="177" t="s">
        <v>149</v>
      </c>
      <c r="E918" s="177" t="str">
        <f t="shared" si="27"/>
        <v/>
      </c>
    </row>
    <row r="919" spans="3:5">
      <c r="C919" s="177" t="s">
        <v>149</v>
      </c>
      <c r="D919" s="177" t="s">
        <v>149</v>
      </c>
      <c r="E919" s="177" t="str">
        <f t="shared" si="27"/>
        <v/>
      </c>
    </row>
    <row r="920" spans="3:5">
      <c r="C920" s="177" t="s">
        <v>149</v>
      </c>
      <c r="D920" s="177" t="s">
        <v>149</v>
      </c>
      <c r="E920" s="177" t="str">
        <f t="shared" si="27"/>
        <v/>
      </c>
    </row>
    <row r="921" spans="3:5">
      <c r="C921" s="177" t="s">
        <v>149</v>
      </c>
      <c r="D921" s="177" t="s">
        <v>149</v>
      </c>
      <c r="E921" s="177" t="str">
        <f t="shared" si="27"/>
        <v/>
      </c>
    </row>
    <row r="922" spans="3:5">
      <c r="C922" s="177" t="s">
        <v>149</v>
      </c>
      <c r="D922" s="177" t="s">
        <v>149</v>
      </c>
      <c r="E922" s="177" t="str">
        <f t="shared" si="27"/>
        <v/>
      </c>
    </row>
    <row r="923" spans="3:5">
      <c r="C923" s="177" t="s">
        <v>149</v>
      </c>
      <c r="D923" s="177" t="s">
        <v>149</v>
      </c>
      <c r="E923" s="177" t="str">
        <f t="shared" si="27"/>
        <v/>
      </c>
    </row>
    <row r="924" spans="3:5">
      <c r="C924" s="177" t="s">
        <v>149</v>
      </c>
      <c r="D924" s="177" t="s">
        <v>149</v>
      </c>
      <c r="E924" s="177" t="str">
        <f t="shared" si="27"/>
        <v/>
      </c>
    </row>
    <row r="925" spans="3:5">
      <c r="C925" s="177" t="s">
        <v>149</v>
      </c>
      <c r="D925" s="177" t="s">
        <v>149</v>
      </c>
      <c r="E925" s="177" t="str">
        <f t="shared" si="27"/>
        <v/>
      </c>
    </row>
    <row r="926" spans="3:5">
      <c r="C926" s="177" t="s">
        <v>149</v>
      </c>
      <c r="D926" s="177" t="s">
        <v>149</v>
      </c>
      <c r="E926" s="177" t="str">
        <f t="shared" si="27"/>
        <v/>
      </c>
    </row>
    <row r="927" spans="3:5">
      <c r="C927" s="177" t="s">
        <v>149</v>
      </c>
      <c r="D927" s="177" t="s">
        <v>149</v>
      </c>
      <c r="E927" s="177" t="str">
        <f t="shared" si="27"/>
        <v/>
      </c>
    </row>
    <row r="928" spans="3:5">
      <c r="C928" s="177" t="s">
        <v>149</v>
      </c>
      <c r="D928" s="177" t="s">
        <v>149</v>
      </c>
      <c r="E928" s="177" t="str">
        <f t="shared" si="27"/>
        <v/>
      </c>
    </row>
    <row r="929" spans="3:5">
      <c r="C929" s="177" t="s">
        <v>149</v>
      </c>
      <c r="D929" s="177" t="s">
        <v>149</v>
      </c>
      <c r="E929" s="177" t="str">
        <f t="shared" si="27"/>
        <v/>
      </c>
    </row>
    <row r="930" spans="3:5">
      <c r="C930" s="177" t="s">
        <v>149</v>
      </c>
      <c r="D930" s="177" t="s">
        <v>149</v>
      </c>
      <c r="E930" s="177" t="str">
        <f t="shared" si="27"/>
        <v/>
      </c>
    </row>
    <row r="931" spans="3:5">
      <c r="C931" s="177" t="s">
        <v>149</v>
      </c>
      <c r="D931" s="177" t="s">
        <v>149</v>
      </c>
      <c r="E931" s="177" t="str">
        <f t="shared" si="27"/>
        <v/>
      </c>
    </row>
    <row r="932" spans="3:5">
      <c r="C932" s="177" t="s">
        <v>149</v>
      </c>
      <c r="D932" s="177" t="s">
        <v>149</v>
      </c>
      <c r="E932" s="177" t="str">
        <f t="shared" si="27"/>
        <v/>
      </c>
    </row>
    <row r="933" spans="3:5">
      <c r="C933" s="177" t="s">
        <v>149</v>
      </c>
      <c r="D933" s="177" t="s">
        <v>149</v>
      </c>
      <c r="E933" s="177" t="str">
        <f t="shared" si="27"/>
        <v/>
      </c>
    </row>
    <row r="934" spans="3:5">
      <c r="C934" s="177" t="s">
        <v>149</v>
      </c>
      <c r="D934" s="177" t="s">
        <v>149</v>
      </c>
      <c r="E934" s="177" t="str">
        <f t="shared" si="27"/>
        <v/>
      </c>
    </row>
    <row r="935" spans="3:5">
      <c r="C935" s="177" t="s">
        <v>149</v>
      </c>
      <c r="D935" s="177" t="s">
        <v>149</v>
      </c>
      <c r="E935" s="177" t="str">
        <f t="shared" si="27"/>
        <v/>
      </c>
    </row>
    <row r="936" spans="3:5">
      <c r="C936" s="177" t="s">
        <v>149</v>
      </c>
      <c r="D936" s="177" t="s">
        <v>149</v>
      </c>
      <c r="E936" s="177" t="str">
        <f t="shared" si="27"/>
        <v/>
      </c>
    </row>
    <row r="937" spans="3:5">
      <c r="C937" s="177" t="s">
        <v>149</v>
      </c>
      <c r="D937" s="177" t="s">
        <v>149</v>
      </c>
      <c r="E937" s="177" t="str">
        <f t="shared" si="27"/>
        <v/>
      </c>
    </row>
    <row r="938" spans="3:5">
      <c r="C938" s="177" t="s">
        <v>149</v>
      </c>
      <c r="D938" s="177" t="s">
        <v>149</v>
      </c>
      <c r="E938" s="177" t="str">
        <f t="shared" si="27"/>
        <v/>
      </c>
    </row>
    <row r="939" spans="3:5">
      <c r="C939" s="177" t="s">
        <v>149</v>
      </c>
      <c r="D939" s="177" t="s">
        <v>149</v>
      </c>
      <c r="E939" s="177" t="str">
        <f t="shared" si="27"/>
        <v/>
      </c>
    </row>
    <row r="940" spans="3:5">
      <c r="C940" s="177" t="s">
        <v>149</v>
      </c>
      <c r="D940" s="177" t="s">
        <v>149</v>
      </c>
      <c r="E940" s="177" t="str">
        <f t="shared" si="27"/>
        <v/>
      </c>
    </row>
    <row r="941" spans="3:5">
      <c r="C941" s="177" t="s">
        <v>149</v>
      </c>
      <c r="D941" s="177" t="s">
        <v>149</v>
      </c>
      <c r="E941" s="177" t="str">
        <f t="shared" si="27"/>
        <v/>
      </c>
    </row>
    <row r="942" spans="3:5">
      <c r="C942" s="177" t="s">
        <v>149</v>
      </c>
      <c r="D942" s="177" t="s">
        <v>149</v>
      </c>
      <c r="E942" s="177" t="str">
        <f t="shared" si="27"/>
        <v/>
      </c>
    </row>
    <row r="943" spans="3:5">
      <c r="C943" s="177" t="s">
        <v>149</v>
      </c>
      <c r="D943" s="177" t="s">
        <v>149</v>
      </c>
      <c r="E943" s="177" t="str">
        <f t="shared" si="27"/>
        <v/>
      </c>
    </row>
    <row r="944" spans="3:5">
      <c r="C944" s="177" t="s">
        <v>149</v>
      </c>
      <c r="D944" s="177" t="s">
        <v>149</v>
      </c>
      <c r="E944" s="177" t="str">
        <f t="shared" si="27"/>
        <v/>
      </c>
    </row>
    <row r="945" spans="3:5">
      <c r="C945" s="177" t="s">
        <v>149</v>
      </c>
      <c r="D945" s="177" t="s">
        <v>149</v>
      </c>
      <c r="E945" s="177" t="str">
        <f t="shared" si="27"/>
        <v/>
      </c>
    </row>
    <row r="946" spans="3:5">
      <c r="C946" s="177" t="s">
        <v>149</v>
      </c>
      <c r="D946" s="177" t="s">
        <v>149</v>
      </c>
      <c r="E946" s="177" t="str">
        <f t="shared" si="27"/>
        <v/>
      </c>
    </row>
    <row r="947" spans="3:5">
      <c r="C947" s="177" t="s">
        <v>149</v>
      </c>
      <c r="D947" s="177" t="s">
        <v>149</v>
      </c>
      <c r="E947" s="177" t="str">
        <f t="shared" si="27"/>
        <v/>
      </c>
    </row>
    <row r="948" spans="3:5">
      <c r="C948" s="177" t="s">
        <v>149</v>
      </c>
      <c r="D948" s="177" t="s">
        <v>149</v>
      </c>
      <c r="E948" s="177" t="str">
        <f t="shared" si="27"/>
        <v/>
      </c>
    </row>
    <row r="949" spans="3:5">
      <c r="C949" s="177" t="s">
        <v>149</v>
      </c>
      <c r="D949" s="177" t="s">
        <v>149</v>
      </c>
      <c r="E949" s="177" t="str">
        <f t="shared" si="27"/>
        <v/>
      </c>
    </row>
    <row r="950" spans="3:5">
      <c r="C950" s="177" t="s">
        <v>149</v>
      </c>
      <c r="D950" s="177" t="s">
        <v>149</v>
      </c>
      <c r="E950" s="177" t="str">
        <f t="shared" si="27"/>
        <v/>
      </c>
    </row>
    <row r="951" spans="3:5">
      <c r="C951" s="177" t="s">
        <v>149</v>
      </c>
      <c r="D951" s="177" t="s">
        <v>149</v>
      </c>
      <c r="E951" s="177" t="str">
        <f t="shared" si="27"/>
        <v/>
      </c>
    </row>
    <row r="952" spans="3:5">
      <c r="C952" s="177" t="s">
        <v>149</v>
      </c>
      <c r="D952" s="177" t="s">
        <v>149</v>
      </c>
      <c r="E952" s="177" t="str">
        <f t="shared" si="27"/>
        <v/>
      </c>
    </row>
    <row r="953" spans="3:5">
      <c r="C953" s="177" t="s">
        <v>149</v>
      </c>
      <c r="D953" s="177" t="s">
        <v>149</v>
      </c>
      <c r="E953" s="177" t="str">
        <f t="shared" si="27"/>
        <v/>
      </c>
    </row>
    <row r="954" spans="3:5">
      <c r="C954" s="177" t="s">
        <v>149</v>
      </c>
      <c r="D954" s="177" t="s">
        <v>149</v>
      </c>
      <c r="E954" s="177" t="str">
        <f t="shared" si="27"/>
        <v/>
      </c>
    </row>
    <row r="955" spans="3:5">
      <c r="C955" s="177" t="s">
        <v>149</v>
      </c>
      <c r="D955" s="177" t="s">
        <v>149</v>
      </c>
      <c r="E955" s="177" t="str">
        <f t="shared" si="27"/>
        <v/>
      </c>
    </row>
    <row r="956" spans="3:5">
      <c r="C956" s="177" t="s">
        <v>149</v>
      </c>
      <c r="D956" s="177" t="s">
        <v>149</v>
      </c>
      <c r="E956" s="177" t="str">
        <f t="shared" si="27"/>
        <v/>
      </c>
    </row>
    <row r="957" spans="3:5">
      <c r="C957" s="177" t="s">
        <v>149</v>
      </c>
      <c r="D957" s="177" t="s">
        <v>149</v>
      </c>
      <c r="E957" s="177" t="str">
        <f t="shared" si="27"/>
        <v/>
      </c>
    </row>
    <row r="958" spans="3:5">
      <c r="C958" s="177" t="s">
        <v>149</v>
      </c>
      <c r="D958" s="177" t="s">
        <v>149</v>
      </c>
      <c r="E958" s="177" t="str">
        <f t="shared" si="27"/>
        <v/>
      </c>
    </row>
    <row r="959" spans="3:5">
      <c r="C959" s="177" t="s">
        <v>149</v>
      </c>
      <c r="D959" s="177" t="s">
        <v>149</v>
      </c>
      <c r="E959" s="177" t="str">
        <f t="shared" si="27"/>
        <v/>
      </c>
    </row>
    <row r="960" spans="3:5">
      <c r="C960" s="177" t="s">
        <v>149</v>
      </c>
      <c r="D960" s="177" t="s">
        <v>149</v>
      </c>
      <c r="E960" s="177" t="str">
        <f t="shared" si="27"/>
        <v/>
      </c>
    </row>
    <row r="961" spans="3:5">
      <c r="C961" s="177" t="s">
        <v>149</v>
      </c>
      <c r="D961" s="177" t="s">
        <v>149</v>
      </c>
      <c r="E961" s="177" t="str">
        <f t="shared" si="27"/>
        <v/>
      </c>
    </row>
    <row r="962" spans="3:5">
      <c r="C962" s="177" t="s">
        <v>149</v>
      </c>
      <c r="D962" s="177" t="s">
        <v>149</v>
      </c>
      <c r="E962" s="177" t="str">
        <f t="shared" si="27"/>
        <v/>
      </c>
    </row>
    <row r="963" spans="3:5">
      <c r="C963" s="177" t="s">
        <v>149</v>
      </c>
      <c r="D963" s="177" t="s">
        <v>149</v>
      </c>
      <c r="E963" s="177" t="str">
        <f t="shared" si="27"/>
        <v/>
      </c>
    </row>
    <row r="964" spans="3:5">
      <c r="C964" s="177" t="s">
        <v>149</v>
      </c>
      <c r="D964" s="177" t="s">
        <v>149</v>
      </c>
      <c r="E964" s="177" t="str">
        <f t="shared" ref="E964:E1027" si="28">IF(C964&lt;D964,C964,D964)</f>
        <v/>
      </c>
    </row>
    <row r="965" spans="3:5">
      <c r="C965" s="177" t="s">
        <v>149</v>
      </c>
      <c r="D965" s="177" t="s">
        <v>149</v>
      </c>
      <c r="E965" s="177" t="str">
        <f t="shared" si="28"/>
        <v/>
      </c>
    </row>
    <row r="966" spans="3:5">
      <c r="C966" s="177" t="s">
        <v>149</v>
      </c>
      <c r="D966" s="177" t="s">
        <v>149</v>
      </c>
      <c r="E966" s="177" t="str">
        <f t="shared" si="28"/>
        <v/>
      </c>
    </row>
    <row r="967" spans="3:5">
      <c r="C967" s="177" t="s">
        <v>149</v>
      </c>
      <c r="D967" s="177" t="s">
        <v>149</v>
      </c>
      <c r="E967" s="177" t="str">
        <f t="shared" si="28"/>
        <v/>
      </c>
    </row>
    <row r="968" spans="3:5">
      <c r="C968" s="177" t="s">
        <v>149</v>
      </c>
      <c r="D968" s="177" t="s">
        <v>149</v>
      </c>
      <c r="E968" s="177" t="str">
        <f t="shared" si="28"/>
        <v/>
      </c>
    </row>
    <row r="969" spans="3:5">
      <c r="C969" s="177" t="s">
        <v>149</v>
      </c>
      <c r="D969" s="177" t="s">
        <v>149</v>
      </c>
      <c r="E969" s="177" t="str">
        <f t="shared" si="28"/>
        <v/>
      </c>
    </row>
    <row r="970" spans="3:5">
      <c r="C970" s="177" t="s">
        <v>149</v>
      </c>
      <c r="D970" s="177" t="s">
        <v>149</v>
      </c>
      <c r="E970" s="177" t="str">
        <f t="shared" si="28"/>
        <v/>
      </c>
    </row>
    <row r="971" spans="3:5">
      <c r="C971" s="177" t="s">
        <v>149</v>
      </c>
      <c r="D971" s="177" t="s">
        <v>149</v>
      </c>
      <c r="E971" s="177" t="str">
        <f t="shared" si="28"/>
        <v/>
      </c>
    </row>
    <row r="972" spans="3:5">
      <c r="C972" s="177" t="s">
        <v>149</v>
      </c>
      <c r="D972" s="177" t="s">
        <v>149</v>
      </c>
      <c r="E972" s="177" t="str">
        <f t="shared" si="28"/>
        <v/>
      </c>
    </row>
    <row r="973" spans="3:5">
      <c r="C973" s="177" t="s">
        <v>149</v>
      </c>
      <c r="D973" s="177" t="s">
        <v>149</v>
      </c>
      <c r="E973" s="177" t="str">
        <f t="shared" si="28"/>
        <v/>
      </c>
    </row>
    <row r="974" spans="3:5">
      <c r="C974" s="177" t="s">
        <v>149</v>
      </c>
      <c r="D974" s="177" t="s">
        <v>149</v>
      </c>
      <c r="E974" s="177" t="str">
        <f t="shared" si="28"/>
        <v/>
      </c>
    </row>
    <row r="975" spans="3:5">
      <c r="C975" s="177" t="s">
        <v>149</v>
      </c>
      <c r="D975" s="177" t="s">
        <v>149</v>
      </c>
      <c r="E975" s="177" t="str">
        <f t="shared" si="28"/>
        <v/>
      </c>
    </row>
    <row r="976" spans="3:5">
      <c r="C976" s="177" t="s">
        <v>149</v>
      </c>
      <c r="D976" s="177" t="s">
        <v>149</v>
      </c>
      <c r="E976" s="177" t="str">
        <f t="shared" si="28"/>
        <v/>
      </c>
    </row>
    <row r="977" spans="3:5">
      <c r="C977" s="177" t="s">
        <v>149</v>
      </c>
      <c r="D977" s="177" t="s">
        <v>149</v>
      </c>
      <c r="E977" s="177" t="str">
        <f t="shared" si="28"/>
        <v/>
      </c>
    </row>
    <row r="978" spans="3:5">
      <c r="C978" s="177" t="s">
        <v>149</v>
      </c>
      <c r="D978" s="177" t="s">
        <v>149</v>
      </c>
      <c r="E978" s="177" t="str">
        <f t="shared" si="28"/>
        <v/>
      </c>
    </row>
    <row r="979" spans="3:5">
      <c r="C979" s="177" t="s">
        <v>149</v>
      </c>
      <c r="D979" s="177" t="s">
        <v>149</v>
      </c>
      <c r="E979" s="177" t="str">
        <f t="shared" si="28"/>
        <v/>
      </c>
    </row>
    <row r="980" spans="3:5">
      <c r="C980" s="177" t="s">
        <v>149</v>
      </c>
      <c r="D980" s="177" t="s">
        <v>149</v>
      </c>
      <c r="E980" s="177" t="str">
        <f t="shared" si="28"/>
        <v/>
      </c>
    </row>
    <row r="981" spans="3:5">
      <c r="C981" s="177" t="s">
        <v>149</v>
      </c>
      <c r="D981" s="177" t="s">
        <v>149</v>
      </c>
      <c r="E981" s="177" t="str">
        <f t="shared" si="28"/>
        <v/>
      </c>
    </row>
    <row r="982" spans="3:5">
      <c r="C982" s="177" t="s">
        <v>149</v>
      </c>
      <c r="D982" s="177" t="s">
        <v>149</v>
      </c>
      <c r="E982" s="177" t="str">
        <f t="shared" si="28"/>
        <v/>
      </c>
    </row>
    <row r="983" spans="3:5">
      <c r="C983" s="177" t="s">
        <v>149</v>
      </c>
      <c r="D983" s="177" t="s">
        <v>149</v>
      </c>
      <c r="E983" s="177" t="str">
        <f t="shared" si="28"/>
        <v/>
      </c>
    </row>
    <row r="984" spans="3:5">
      <c r="C984" s="177" t="s">
        <v>149</v>
      </c>
      <c r="D984" s="177" t="s">
        <v>149</v>
      </c>
      <c r="E984" s="177" t="str">
        <f t="shared" si="28"/>
        <v/>
      </c>
    </row>
    <row r="985" spans="3:5">
      <c r="C985" s="177" t="s">
        <v>149</v>
      </c>
      <c r="D985" s="177" t="s">
        <v>149</v>
      </c>
      <c r="E985" s="177" t="str">
        <f t="shared" si="28"/>
        <v/>
      </c>
    </row>
    <row r="986" spans="3:5">
      <c r="C986" s="177" t="s">
        <v>149</v>
      </c>
      <c r="D986" s="177" t="s">
        <v>149</v>
      </c>
      <c r="E986" s="177" t="str">
        <f t="shared" si="28"/>
        <v/>
      </c>
    </row>
    <row r="987" spans="3:5">
      <c r="C987" s="177" t="s">
        <v>149</v>
      </c>
      <c r="D987" s="177" t="s">
        <v>149</v>
      </c>
      <c r="E987" s="177" t="str">
        <f t="shared" si="28"/>
        <v/>
      </c>
    </row>
    <row r="988" spans="3:5">
      <c r="C988" s="177" t="s">
        <v>149</v>
      </c>
      <c r="D988" s="177" t="s">
        <v>149</v>
      </c>
      <c r="E988" s="177" t="str">
        <f t="shared" si="28"/>
        <v/>
      </c>
    </row>
    <row r="989" spans="3:5">
      <c r="C989" s="177" t="s">
        <v>149</v>
      </c>
      <c r="D989" s="177" t="s">
        <v>149</v>
      </c>
      <c r="E989" s="177" t="str">
        <f t="shared" si="28"/>
        <v/>
      </c>
    </row>
    <row r="990" spans="3:5">
      <c r="C990" s="177" t="s">
        <v>149</v>
      </c>
      <c r="D990" s="177" t="s">
        <v>149</v>
      </c>
      <c r="E990" s="177" t="str">
        <f t="shared" si="28"/>
        <v/>
      </c>
    </row>
    <row r="991" spans="3:5">
      <c r="C991" s="177" t="s">
        <v>149</v>
      </c>
      <c r="D991" s="177" t="s">
        <v>149</v>
      </c>
      <c r="E991" s="177" t="str">
        <f t="shared" si="28"/>
        <v/>
      </c>
    </row>
    <row r="992" spans="3:5">
      <c r="C992" s="177" t="s">
        <v>149</v>
      </c>
      <c r="D992" s="177" t="s">
        <v>149</v>
      </c>
      <c r="E992" s="177" t="str">
        <f t="shared" si="28"/>
        <v/>
      </c>
    </row>
    <row r="993" spans="3:5">
      <c r="C993" s="177" t="s">
        <v>149</v>
      </c>
      <c r="D993" s="177" t="s">
        <v>149</v>
      </c>
      <c r="E993" s="177" t="str">
        <f t="shared" si="28"/>
        <v/>
      </c>
    </row>
    <row r="994" spans="3:5">
      <c r="C994" s="177" t="s">
        <v>149</v>
      </c>
      <c r="D994" s="177" t="s">
        <v>149</v>
      </c>
      <c r="E994" s="177" t="str">
        <f t="shared" si="28"/>
        <v/>
      </c>
    </row>
    <row r="995" spans="3:5">
      <c r="C995" s="177" t="s">
        <v>149</v>
      </c>
      <c r="D995" s="177" t="s">
        <v>149</v>
      </c>
      <c r="E995" s="177" t="str">
        <f t="shared" si="28"/>
        <v/>
      </c>
    </row>
    <row r="996" spans="3:5">
      <c r="C996" s="177" t="s">
        <v>149</v>
      </c>
      <c r="D996" s="177" t="s">
        <v>149</v>
      </c>
      <c r="E996" s="177" t="str">
        <f t="shared" si="28"/>
        <v/>
      </c>
    </row>
    <row r="997" spans="3:5">
      <c r="C997" s="177" t="s">
        <v>149</v>
      </c>
      <c r="D997" s="177" t="s">
        <v>149</v>
      </c>
      <c r="E997" s="177" t="str">
        <f t="shared" si="28"/>
        <v/>
      </c>
    </row>
    <row r="998" spans="3:5">
      <c r="C998" s="177" t="s">
        <v>149</v>
      </c>
      <c r="D998" s="177" t="s">
        <v>149</v>
      </c>
      <c r="E998" s="177" t="str">
        <f t="shared" si="28"/>
        <v/>
      </c>
    </row>
    <row r="999" spans="3:5">
      <c r="C999" s="177" t="s">
        <v>149</v>
      </c>
      <c r="D999" s="177" t="s">
        <v>149</v>
      </c>
      <c r="E999" s="177" t="str">
        <f t="shared" si="28"/>
        <v/>
      </c>
    </row>
    <row r="1000" spans="3:5">
      <c r="C1000" s="177" t="s">
        <v>149</v>
      </c>
      <c r="D1000" s="177" t="s">
        <v>149</v>
      </c>
      <c r="E1000" s="177" t="str">
        <f t="shared" si="28"/>
        <v/>
      </c>
    </row>
    <row r="1001" spans="3:5">
      <c r="C1001" s="177" t="s">
        <v>149</v>
      </c>
      <c r="D1001" s="177" t="s">
        <v>149</v>
      </c>
      <c r="E1001" s="177" t="str">
        <f t="shared" si="28"/>
        <v/>
      </c>
    </row>
    <row r="1002" spans="3:5">
      <c r="C1002" s="177" t="s">
        <v>149</v>
      </c>
      <c r="D1002" s="177" t="s">
        <v>149</v>
      </c>
      <c r="E1002" s="177" t="str">
        <f t="shared" si="28"/>
        <v/>
      </c>
    </row>
    <row r="1003" spans="3:5">
      <c r="C1003" s="177" t="s">
        <v>149</v>
      </c>
      <c r="D1003" s="177" t="s">
        <v>149</v>
      </c>
      <c r="E1003" s="177" t="str">
        <f t="shared" si="28"/>
        <v/>
      </c>
    </row>
    <row r="1004" spans="3:5">
      <c r="C1004" s="177" t="s">
        <v>149</v>
      </c>
      <c r="D1004" s="177" t="s">
        <v>149</v>
      </c>
      <c r="E1004" s="177" t="str">
        <f t="shared" si="28"/>
        <v/>
      </c>
    </row>
    <row r="1005" spans="3:5">
      <c r="C1005" s="177" t="s">
        <v>149</v>
      </c>
      <c r="D1005" s="177" t="s">
        <v>149</v>
      </c>
      <c r="E1005" s="177" t="str">
        <f t="shared" si="28"/>
        <v/>
      </c>
    </row>
    <row r="1006" spans="3:5">
      <c r="C1006" s="177" t="s">
        <v>149</v>
      </c>
      <c r="D1006" s="177" t="s">
        <v>149</v>
      </c>
      <c r="E1006" s="177" t="str">
        <f t="shared" si="28"/>
        <v/>
      </c>
    </row>
    <row r="1007" spans="3:5">
      <c r="C1007" s="177" t="s">
        <v>149</v>
      </c>
      <c r="D1007" s="177" t="s">
        <v>149</v>
      </c>
      <c r="E1007" s="177" t="str">
        <f t="shared" si="28"/>
        <v/>
      </c>
    </row>
    <row r="1008" spans="3:5">
      <c r="C1008" s="177" t="s">
        <v>149</v>
      </c>
      <c r="D1008" s="177" t="s">
        <v>149</v>
      </c>
      <c r="E1008" s="177" t="str">
        <f t="shared" si="28"/>
        <v/>
      </c>
    </row>
    <row r="1009" spans="3:5">
      <c r="C1009" s="177" t="s">
        <v>149</v>
      </c>
      <c r="D1009" s="177" t="s">
        <v>149</v>
      </c>
      <c r="E1009" s="177" t="str">
        <f t="shared" si="28"/>
        <v/>
      </c>
    </row>
    <row r="1010" spans="3:5">
      <c r="C1010" s="177" t="s">
        <v>149</v>
      </c>
      <c r="D1010" s="177" t="s">
        <v>149</v>
      </c>
      <c r="E1010" s="177" t="str">
        <f t="shared" si="28"/>
        <v/>
      </c>
    </row>
    <row r="1011" spans="3:5">
      <c r="C1011" s="177" t="s">
        <v>149</v>
      </c>
      <c r="D1011" s="177" t="s">
        <v>149</v>
      </c>
      <c r="E1011" s="177" t="str">
        <f t="shared" si="28"/>
        <v/>
      </c>
    </row>
    <row r="1012" spans="3:5">
      <c r="C1012" s="177" t="s">
        <v>149</v>
      </c>
      <c r="D1012" s="177" t="s">
        <v>149</v>
      </c>
      <c r="E1012" s="177" t="str">
        <f t="shared" si="28"/>
        <v/>
      </c>
    </row>
    <row r="1013" spans="3:5">
      <c r="C1013" s="177" t="s">
        <v>149</v>
      </c>
      <c r="D1013" s="177" t="s">
        <v>149</v>
      </c>
      <c r="E1013" s="177" t="str">
        <f t="shared" si="28"/>
        <v/>
      </c>
    </row>
    <row r="1014" spans="3:5">
      <c r="C1014" s="177" t="s">
        <v>149</v>
      </c>
      <c r="D1014" s="177" t="s">
        <v>149</v>
      </c>
      <c r="E1014" s="177" t="str">
        <f t="shared" si="28"/>
        <v/>
      </c>
    </row>
    <row r="1015" spans="3:5">
      <c r="C1015" s="177" t="s">
        <v>149</v>
      </c>
      <c r="D1015" s="177" t="s">
        <v>149</v>
      </c>
      <c r="E1015" s="177" t="str">
        <f t="shared" si="28"/>
        <v/>
      </c>
    </row>
    <row r="1016" spans="3:5">
      <c r="C1016" s="177" t="s">
        <v>149</v>
      </c>
      <c r="D1016" s="177" t="s">
        <v>149</v>
      </c>
      <c r="E1016" s="177" t="str">
        <f t="shared" si="28"/>
        <v/>
      </c>
    </row>
    <row r="1017" spans="3:5">
      <c r="C1017" s="177" t="s">
        <v>149</v>
      </c>
      <c r="D1017" s="177" t="s">
        <v>149</v>
      </c>
      <c r="E1017" s="177" t="str">
        <f t="shared" si="28"/>
        <v/>
      </c>
    </row>
    <row r="1018" spans="3:5">
      <c r="C1018" s="177" t="s">
        <v>149</v>
      </c>
      <c r="D1018" s="177" t="s">
        <v>149</v>
      </c>
      <c r="E1018" s="177" t="str">
        <f t="shared" si="28"/>
        <v/>
      </c>
    </row>
    <row r="1019" spans="3:5">
      <c r="C1019" s="177" t="s">
        <v>149</v>
      </c>
      <c r="D1019" s="177" t="s">
        <v>149</v>
      </c>
      <c r="E1019" s="177" t="str">
        <f t="shared" si="28"/>
        <v/>
      </c>
    </row>
    <row r="1020" spans="3:5">
      <c r="C1020" s="177" t="s">
        <v>149</v>
      </c>
      <c r="D1020" s="177" t="s">
        <v>149</v>
      </c>
      <c r="E1020" s="177" t="str">
        <f t="shared" si="28"/>
        <v/>
      </c>
    </row>
    <row r="1021" spans="3:5">
      <c r="C1021" s="177" t="s">
        <v>149</v>
      </c>
      <c r="D1021" s="177" t="s">
        <v>149</v>
      </c>
      <c r="E1021" s="177" t="str">
        <f t="shared" si="28"/>
        <v/>
      </c>
    </row>
    <row r="1022" spans="3:5">
      <c r="C1022" s="177" t="s">
        <v>149</v>
      </c>
      <c r="D1022" s="177" t="s">
        <v>149</v>
      </c>
      <c r="E1022" s="177" t="str">
        <f t="shared" si="28"/>
        <v/>
      </c>
    </row>
    <row r="1023" spans="3:5">
      <c r="C1023" s="177" t="s">
        <v>149</v>
      </c>
      <c r="D1023" s="177" t="s">
        <v>149</v>
      </c>
      <c r="E1023" s="177" t="str">
        <f t="shared" si="28"/>
        <v/>
      </c>
    </row>
    <row r="1024" spans="3:5">
      <c r="C1024" s="177" t="s">
        <v>149</v>
      </c>
      <c r="D1024" s="177" t="s">
        <v>149</v>
      </c>
      <c r="E1024" s="177" t="str">
        <f t="shared" si="28"/>
        <v/>
      </c>
    </row>
    <row r="1025" spans="3:5">
      <c r="C1025" s="177" t="s">
        <v>149</v>
      </c>
      <c r="D1025" s="177" t="s">
        <v>149</v>
      </c>
      <c r="E1025" s="177" t="str">
        <f t="shared" si="28"/>
        <v/>
      </c>
    </row>
    <row r="1026" spans="3:5">
      <c r="C1026" s="177" t="s">
        <v>149</v>
      </c>
      <c r="D1026" s="177" t="s">
        <v>149</v>
      </c>
      <c r="E1026" s="177" t="str">
        <f t="shared" si="28"/>
        <v/>
      </c>
    </row>
    <row r="1027" spans="3:5">
      <c r="C1027" s="177" t="s">
        <v>149</v>
      </c>
      <c r="D1027" s="177" t="s">
        <v>149</v>
      </c>
      <c r="E1027" s="177" t="str">
        <f t="shared" si="28"/>
        <v/>
      </c>
    </row>
    <row r="1028" spans="3:5">
      <c r="C1028" s="177" t="s">
        <v>149</v>
      </c>
      <c r="D1028" s="177" t="s">
        <v>149</v>
      </c>
      <c r="E1028" s="177" t="str">
        <f t="shared" ref="E1028:E1091" si="29">IF(C1028&lt;D1028,C1028,D1028)</f>
        <v/>
      </c>
    </row>
    <row r="1029" spans="3:5">
      <c r="C1029" s="177" t="s">
        <v>149</v>
      </c>
      <c r="D1029" s="177" t="s">
        <v>149</v>
      </c>
      <c r="E1029" s="177" t="str">
        <f t="shared" si="29"/>
        <v/>
      </c>
    </row>
    <row r="1030" spans="3:5">
      <c r="C1030" s="177" t="s">
        <v>149</v>
      </c>
      <c r="D1030" s="177" t="s">
        <v>149</v>
      </c>
      <c r="E1030" s="177" t="str">
        <f t="shared" si="29"/>
        <v/>
      </c>
    </row>
    <row r="1031" spans="3:5">
      <c r="C1031" s="177" t="s">
        <v>149</v>
      </c>
      <c r="D1031" s="177" t="s">
        <v>149</v>
      </c>
      <c r="E1031" s="177" t="str">
        <f t="shared" si="29"/>
        <v/>
      </c>
    </row>
    <row r="1032" spans="3:5">
      <c r="C1032" s="177" t="s">
        <v>149</v>
      </c>
      <c r="D1032" s="177" t="s">
        <v>149</v>
      </c>
      <c r="E1032" s="177" t="str">
        <f t="shared" si="29"/>
        <v/>
      </c>
    </row>
    <row r="1033" spans="3:5">
      <c r="C1033" s="177" t="s">
        <v>149</v>
      </c>
      <c r="D1033" s="177" t="s">
        <v>149</v>
      </c>
      <c r="E1033" s="177" t="str">
        <f t="shared" si="29"/>
        <v/>
      </c>
    </row>
    <row r="1034" spans="3:5">
      <c r="C1034" s="177" t="s">
        <v>149</v>
      </c>
      <c r="D1034" s="177" t="s">
        <v>149</v>
      </c>
      <c r="E1034" s="177" t="str">
        <f t="shared" si="29"/>
        <v/>
      </c>
    </row>
    <row r="1035" spans="3:5">
      <c r="C1035" s="177" t="s">
        <v>149</v>
      </c>
      <c r="D1035" s="177" t="s">
        <v>149</v>
      </c>
      <c r="E1035" s="177" t="str">
        <f t="shared" si="29"/>
        <v/>
      </c>
    </row>
    <row r="1036" spans="3:5">
      <c r="C1036" s="177" t="s">
        <v>149</v>
      </c>
      <c r="D1036" s="177" t="s">
        <v>149</v>
      </c>
      <c r="E1036" s="177" t="str">
        <f t="shared" si="29"/>
        <v/>
      </c>
    </row>
    <row r="1037" spans="3:5">
      <c r="C1037" s="177" t="s">
        <v>149</v>
      </c>
      <c r="D1037" s="177" t="s">
        <v>149</v>
      </c>
      <c r="E1037" s="177" t="str">
        <f t="shared" si="29"/>
        <v/>
      </c>
    </row>
    <row r="1038" spans="3:5">
      <c r="C1038" s="177" t="s">
        <v>149</v>
      </c>
      <c r="D1038" s="177" t="s">
        <v>149</v>
      </c>
      <c r="E1038" s="177" t="str">
        <f t="shared" si="29"/>
        <v/>
      </c>
    </row>
    <row r="1039" spans="3:5">
      <c r="C1039" s="177" t="s">
        <v>149</v>
      </c>
      <c r="D1039" s="177" t="s">
        <v>149</v>
      </c>
      <c r="E1039" s="177" t="str">
        <f t="shared" si="29"/>
        <v/>
      </c>
    </row>
    <row r="1040" spans="3:5">
      <c r="C1040" s="177" t="s">
        <v>149</v>
      </c>
      <c r="D1040" s="177" t="s">
        <v>149</v>
      </c>
      <c r="E1040" s="177" t="str">
        <f t="shared" si="29"/>
        <v/>
      </c>
    </row>
    <row r="1041" spans="3:5">
      <c r="C1041" s="177" t="s">
        <v>149</v>
      </c>
      <c r="D1041" s="177" t="s">
        <v>149</v>
      </c>
      <c r="E1041" s="177" t="str">
        <f t="shared" si="29"/>
        <v/>
      </c>
    </row>
    <row r="1042" spans="3:5">
      <c r="C1042" s="177" t="s">
        <v>149</v>
      </c>
      <c r="D1042" s="177" t="s">
        <v>149</v>
      </c>
      <c r="E1042" s="177" t="str">
        <f t="shared" si="29"/>
        <v/>
      </c>
    </row>
    <row r="1043" spans="3:5">
      <c r="C1043" s="177" t="s">
        <v>149</v>
      </c>
      <c r="D1043" s="177" t="s">
        <v>149</v>
      </c>
      <c r="E1043" s="177" t="str">
        <f t="shared" si="29"/>
        <v/>
      </c>
    </row>
    <row r="1044" spans="3:5">
      <c r="C1044" s="177" t="s">
        <v>149</v>
      </c>
      <c r="D1044" s="177" t="s">
        <v>149</v>
      </c>
      <c r="E1044" s="177" t="str">
        <f t="shared" si="29"/>
        <v/>
      </c>
    </row>
    <row r="1045" spans="3:5">
      <c r="C1045" s="177" t="s">
        <v>149</v>
      </c>
      <c r="D1045" s="177" t="s">
        <v>149</v>
      </c>
      <c r="E1045" s="177" t="str">
        <f t="shared" si="29"/>
        <v/>
      </c>
    </row>
    <row r="1046" spans="3:5">
      <c r="C1046" s="177" t="s">
        <v>149</v>
      </c>
      <c r="D1046" s="177" t="s">
        <v>149</v>
      </c>
      <c r="E1046" s="177" t="str">
        <f t="shared" si="29"/>
        <v/>
      </c>
    </row>
    <row r="1047" spans="3:5">
      <c r="C1047" s="177" t="s">
        <v>149</v>
      </c>
      <c r="D1047" s="177" t="s">
        <v>149</v>
      </c>
      <c r="E1047" s="177" t="str">
        <f t="shared" si="29"/>
        <v/>
      </c>
    </row>
    <row r="1048" spans="3:5">
      <c r="C1048" s="177" t="s">
        <v>149</v>
      </c>
      <c r="D1048" s="177" t="s">
        <v>149</v>
      </c>
      <c r="E1048" s="177" t="str">
        <f t="shared" si="29"/>
        <v/>
      </c>
    </row>
    <row r="1049" spans="3:5">
      <c r="C1049" s="177" t="s">
        <v>149</v>
      </c>
      <c r="D1049" s="177" t="s">
        <v>149</v>
      </c>
      <c r="E1049" s="177" t="str">
        <f t="shared" si="29"/>
        <v/>
      </c>
    </row>
    <row r="1050" spans="3:5">
      <c r="C1050" s="177" t="s">
        <v>149</v>
      </c>
      <c r="D1050" s="177" t="s">
        <v>149</v>
      </c>
      <c r="E1050" s="177" t="str">
        <f t="shared" si="29"/>
        <v/>
      </c>
    </row>
    <row r="1051" spans="3:5">
      <c r="C1051" s="177" t="s">
        <v>149</v>
      </c>
      <c r="D1051" s="177" t="s">
        <v>149</v>
      </c>
      <c r="E1051" s="177" t="str">
        <f t="shared" si="29"/>
        <v/>
      </c>
    </row>
    <row r="1052" spans="3:5">
      <c r="C1052" s="177" t="s">
        <v>149</v>
      </c>
      <c r="D1052" s="177" t="s">
        <v>149</v>
      </c>
      <c r="E1052" s="177" t="str">
        <f t="shared" si="29"/>
        <v/>
      </c>
    </row>
    <row r="1053" spans="3:5">
      <c r="C1053" s="177" t="s">
        <v>149</v>
      </c>
      <c r="D1053" s="177" t="s">
        <v>149</v>
      </c>
      <c r="E1053" s="177" t="str">
        <f t="shared" si="29"/>
        <v/>
      </c>
    </row>
    <row r="1054" spans="3:5">
      <c r="C1054" s="177" t="s">
        <v>149</v>
      </c>
      <c r="D1054" s="177" t="s">
        <v>149</v>
      </c>
      <c r="E1054" s="177" t="str">
        <f t="shared" si="29"/>
        <v/>
      </c>
    </row>
    <row r="1055" spans="3:5">
      <c r="C1055" s="177" t="s">
        <v>149</v>
      </c>
      <c r="D1055" s="177" t="s">
        <v>149</v>
      </c>
      <c r="E1055" s="177" t="str">
        <f t="shared" si="29"/>
        <v/>
      </c>
    </row>
    <row r="1056" spans="3:5">
      <c r="C1056" s="177" t="s">
        <v>149</v>
      </c>
      <c r="D1056" s="177" t="s">
        <v>149</v>
      </c>
      <c r="E1056" s="177" t="str">
        <f t="shared" si="29"/>
        <v/>
      </c>
    </row>
    <row r="1057" spans="3:5">
      <c r="C1057" s="177" t="s">
        <v>149</v>
      </c>
      <c r="D1057" s="177" t="s">
        <v>149</v>
      </c>
      <c r="E1057" s="177" t="str">
        <f t="shared" si="29"/>
        <v/>
      </c>
    </row>
    <row r="1058" spans="3:5">
      <c r="C1058" s="177" t="s">
        <v>149</v>
      </c>
      <c r="D1058" s="177" t="s">
        <v>149</v>
      </c>
      <c r="E1058" s="177" t="str">
        <f t="shared" si="29"/>
        <v/>
      </c>
    </row>
    <row r="1059" spans="3:5">
      <c r="C1059" s="177" t="s">
        <v>149</v>
      </c>
      <c r="D1059" s="177" t="s">
        <v>149</v>
      </c>
      <c r="E1059" s="177" t="str">
        <f t="shared" si="29"/>
        <v/>
      </c>
    </row>
    <row r="1060" spans="3:5">
      <c r="C1060" s="177" t="s">
        <v>149</v>
      </c>
      <c r="D1060" s="177" t="s">
        <v>149</v>
      </c>
      <c r="E1060" s="177" t="str">
        <f t="shared" si="29"/>
        <v/>
      </c>
    </row>
    <row r="1061" spans="3:5">
      <c r="C1061" s="177" t="s">
        <v>149</v>
      </c>
      <c r="D1061" s="177" t="s">
        <v>149</v>
      </c>
      <c r="E1061" s="177" t="str">
        <f t="shared" si="29"/>
        <v/>
      </c>
    </row>
    <row r="1062" spans="3:5">
      <c r="C1062" s="177" t="s">
        <v>149</v>
      </c>
      <c r="D1062" s="177" t="s">
        <v>149</v>
      </c>
      <c r="E1062" s="177" t="str">
        <f t="shared" si="29"/>
        <v/>
      </c>
    </row>
    <row r="1063" spans="3:5">
      <c r="C1063" s="177" t="s">
        <v>149</v>
      </c>
      <c r="D1063" s="177" t="s">
        <v>149</v>
      </c>
      <c r="E1063" s="177" t="str">
        <f t="shared" si="29"/>
        <v/>
      </c>
    </row>
    <row r="1064" spans="3:5">
      <c r="C1064" s="177" t="s">
        <v>149</v>
      </c>
      <c r="D1064" s="177" t="s">
        <v>149</v>
      </c>
      <c r="E1064" s="177" t="str">
        <f t="shared" si="29"/>
        <v/>
      </c>
    </row>
    <row r="1065" spans="3:5">
      <c r="C1065" s="177" t="s">
        <v>149</v>
      </c>
      <c r="D1065" s="177" t="s">
        <v>149</v>
      </c>
      <c r="E1065" s="177" t="str">
        <f t="shared" si="29"/>
        <v/>
      </c>
    </row>
    <row r="1066" spans="3:5">
      <c r="C1066" s="177" t="s">
        <v>149</v>
      </c>
      <c r="D1066" s="177" t="s">
        <v>149</v>
      </c>
      <c r="E1066" s="177" t="str">
        <f t="shared" si="29"/>
        <v/>
      </c>
    </row>
    <row r="1067" spans="3:5">
      <c r="C1067" s="177" t="s">
        <v>149</v>
      </c>
      <c r="D1067" s="177" t="s">
        <v>149</v>
      </c>
      <c r="E1067" s="177" t="str">
        <f t="shared" si="29"/>
        <v/>
      </c>
    </row>
    <row r="1068" spans="3:5">
      <c r="C1068" s="177" t="s">
        <v>149</v>
      </c>
      <c r="D1068" s="177" t="s">
        <v>149</v>
      </c>
      <c r="E1068" s="177" t="str">
        <f t="shared" si="29"/>
        <v/>
      </c>
    </row>
    <row r="1069" spans="3:5">
      <c r="C1069" s="177" t="s">
        <v>149</v>
      </c>
      <c r="D1069" s="177" t="s">
        <v>149</v>
      </c>
      <c r="E1069" s="177" t="str">
        <f t="shared" si="29"/>
        <v/>
      </c>
    </row>
    <row r="1070" spans="3:5">
      <c r="C1070" s="177" t="s">
        <v>149</v>
      </c>
      <c r="D1070" s="177" t="s">
        <v>149</v>
      </c>
      <c r="E1070" s="177" t="str">
        <f t="shared" si="29"/>
        <v/>
      </c>
    </row>
    <row r="1071" spans="3:5">
      <c r="C1071" s="177" t="s">
        <v>149</v>
      </c>
      <c r="D1071" s="177" t="s">
        <v>149</v>
      </c>
      <c r="E1071" s="177" t="str">
        <f t="shared" si="29"/>
        <v/>
      </c>
    </row>
    <row r="1072" spans="3:5">
      <c r="C1072" s="177" t="s">
        <v>149</v>
      </c>
      <c r="D1072" s="177" t="s">
        <v>149</v>
      </c>
      <c r="E1072" s="177" t="str">
        <f t="shared" si="29"/>
        <v/>
      </c>
    </row>
    <row r="1073" spans="3:5">
      <c r="C1073" s="177" t="s">
        <v>149</v>
      </c>
      <c r="D1073" s="177" t="s">
        <v>149</v>
      </c>
      <c r="E1073" s="177" t="str">
        <f t="shared" si="29"/>
        <v/>
      </c>
    </row>
    <row r="1074" spans="3:5">
      <c r="C1074" s="177" t="s">
        <v>149</v>
      </c>
      <c r="D1074" s="177" t="s">
        <v>149</v>
      </c>
      <c r="E1074" s="177" t="str">
        <f t="shared" si="29"/>
        <v/>
      </c>
    </row>
    <row r="1075" spans="3:5">
      <c r="C1075" s="177" t="s">
        <v>149</v>
      </c>
      <c r="D1075" s="177" t="s">
        <v>149</v>
      </c>
      <c r="E1075" s="177" t="str">
        <f t="shared" si="29"/>
        <v/>
      </c>
    </row>
    <row r="1076" spans="3:5">
      <c r="C1076" s="177" t="s">
        <v>149</v>
      </c>
      <c r="D1076" s="177" t="s">
        <v>149</v>
      </c>
      <c r="E1076" s="177" t="str">
        <f t="shared" si="29"/>
        <v/>
      </c>
    </row>
    <row r="1077" spans="3:5">
      <c r="C1077" s="177" t="s">
        <v>149</v>
      </c>
      <c r="D1077" s="177" t="s">
        <v>149</v>
      </c>
      <c r="E1077" s="177" t="str">
        <f t="shared" si="29"/>
        <v/>
      </c>
    </row>
    <row r="1078" spans="3:5">
      <c r="C1078" s="177" t="s">
        <v>149</v>
      </c>
      <c r="D1078" s="177" t="s">
        <v>149</v>
      </c>
      <c r="E1078" s="177" t="str">
        <f t="shared" si="29"/>
        <v/>
      </c>
    </row>
    <row r="1079" spans="3:5">
      <c r="C1079" s="177" t="s">
        <v>149</v>
      </c>
      <c r="D1079" s="177" t="s">
        <v>149</v>
      </c>
      <c r="E1079" s="177" t="str">
        <f t="shared" si="29"/>
        <v/>
      </c>
    </row>
    <row r="1080" spans="3:5">
      <c r="C1080" s="177" t="s">
        <v>149</v>
      </c>
      <c r="D1080" s="177" t="s">
        <v>149</v>
      </c>
      <c r="E1080" s="177" t="str">
        <f t="shared" si="29"/>
        <v/>
      </c>
    </row>
    <row r="1081" spans="3:5">
      <c r="C1081" s="177" t="s">
        <v>149</v>
      </c>
      <c r="D1081" s="177" t="s">
        <v>149</v>
      </c>
      <c r="E1081" s="177" t="str">
        <f t="shared" si="29"/>
        <v/>
      </c>
    </row>
    <row r="1082" spans="3:5">
      <c r="C1082" s="177" t="s">
        <v>149</v>
      </c>
      <c r="D1082" s="177" t="s">
        <v>149</v>
      </c>
      <c r="E1082" s="177" t="str">
        <f t="shared" si="29"/>
        <v/>
      </c>
    </row>
    <row r="1083" spans="3:5">
      <c r="C1083" s="177" t="s">
        <v>149</v>
      </c>
      <c r="D1083" s="177" t="s">
        <v>149</v>
      </c>
      <c r="E1083" s="177" t="str">
        <f t="shared" si="29"/>
        <v/>
      </c>
    </row>
    <row r="1084" spans="3:5">
      <c r="C1084" s="177" t="s">
        <v>149</v>
      </c>
      <c r="D1084" s="177" t="s">
        <v>149</v>
      </c>
      <c r="E1084" s="177" t="str">
        <f t="shared" si="29"/>
        <v/>
      </c>
    </row>
    <row r="1085" spans="3:5">
      <c r="C1085" s="177" t="s">
        <v>149</v>
      </c>
      <c r="D1085" s="177" t="s">
        <v>149</v>
      </c>
      <c r="E1085" s="177" t="str">
        <f t="shared" si="29"/>
        <v/>
      </c>
    </row>
    <row r="1086" spans="3:5">
      <c r="C1086" s="177" t="s">
        <v>149</v>
      </c>
      <c r="D1086" s="177" t="s">
        <v>149</v>
      </c>
      <c r="E1086" s="177" t="str">
        <f t="shared" si="29"/>
        <v/>
      </c>
    </row>
    <row r="1087" spans="3:5">
      <c r="C1087" s="177" t="s">
        <v>149</v>
      </c>
      <c r="D1087" s="177" t="s">
        <v>149</v>
      </c>
      <c r="E1087" s="177" t="str">
        <f t="shared" si="29"/>
        <v/>
      </c>
    </row>
    <row r="1088" spans="3:5">
      <c r="C1088" s="177" t="s">
        <v>149</v>
      </c>
      <c r="D1088" s="177" t="s">
        <v>149</v>
      </c>
      <c r="E1088" s="177" t="str">
        <f t="shared" si="29"/>
        <v/>
      </c>
    </row>
    <row r="1089" spans="3:5">
      <c r="C1089" s="177" t="s">
        <v>149</v>
      </c>
      <c r="D1089" s="177" t="s">
        <v>149</v>
      </c>
      <c r="E1089" s="177" t="str">
        <f t="shared" si="29"/>
        <v/>
      </c>
    </row>
    <row r="1090" spans="3:5">
      <c r="C1090" s="177" t="s">
        <v>149</v>
      </c>
      <c r="D1090" s="177" t="s">
        <v>149</v>
      </c>
      <c r="E1090" s="177" t="str">
        <f t="shared" si="29"/>
        <v/>
      </c>
    </row>
    <row r="1091" spans="3:5">
      <c r="C1091" s="177" t="s">
        <v>149</v>
      </c>
      <c r="D1091" s="177" t="s">
        <v>149</v>
      </c>
      <c r="E1091" s="177" t="str">
        <f t="shared" si="29"/>
        <v/>
      </c>
    </row>
    <row r="1092" spans="3:5">
      <c r="C1092" s="177" t="s">
        <v>149</v>
      </c>
      <c r="D1092" s="177" t="s">
        <v>149</v>
      </c>
      <c r="E1092" s="177" t="str">
        <f t="shared" ref="E1092:E1155" si="30">IF(C1092&lt;D1092,C1092,D1092)</f>
        <v/>
      </c>
    </row>
    <row r="1093" spans="3:5">
      <c r="C1093" s="177" t="s">
        <v>149</v>
      </c>
      <c r="D1093" s="177" t="s">
        <v>149</v>
      </c>
      <c r="E1093" s="177" t="str">
        <f t="shared" si="30"/>
        <v/>
      </c>
    </row>
    <row r="1094" spans="3:5">
      <c r="C1094" s="177" t="s">
        <v>149</v>
      </c>
      <c r="D1094" s="177" t="s">
        <v>149</v>
      </c>
      <c r="E1094" s="177" t="str">
        <f t="shared" si="30"/>
        <v/>
      </c>
    </row>
    <row r="1095" spans="3:5">
      <c r="C1095" s="177" t="s">
        <v>149</v>
      </c>
      <c r="D1095" s="177" t="s">
        <v>149</v>
      </c>
      <c r="E1095" s="177" t="str">
        <f t="shared" si="30"/>
        <v/>
      </c>
    </row>
    <row r="1096" spans="3:5">
      <c r="C1096" s="177" t="s">
        <v>149</v>
      </c>
      <c r="D1096" s="177" t="s">
        <v>149</v>
      </c>
      <c r="E1096" s="177" t="str">
        <f t="shared" si="30"/>
        <v/>
      </c>
    </row>
    <row r="1097" spans="3:5">
      <c r="C1097" s="177" t="s">
        <v>149</v>
      </c>
      <c r="D1097" s="177" t="s">
        <v>149</v>
      </c>
      <c r="E1097" s="177" t="str">
        <f t="shared" si="30"/>
        <v/>
      </c>
    </row>
    <row r="1098" spans="3:5">
      <c r="C1098" s="177" t="s">
        <v>149</v>
      </c>
      <c r="D1098" s="177" t="s">
        <v>149</v>
      </c>
      <c r="E1098" s="177" t="str">
        <f t="shared" si="30"/>
        <v/>
      </c>
    </row>
    <row r="1099" spans="3:5">
      <c r="C1099" s="177" t="s">
        <v>149</v>
      </c>
      <c r="D1099" s="177" t="s">
        <v>149</v>
      </c>
      <c r="E1099" s="177" t="str">
        <f t="shared" si="30"/>
        <v/>
      </c>
    </row>
    <row r="1100" spans="3:5">
      <c r="C1100" s="177" t="s">
        <v>149</v>
      </c>
      <c r="D1100" s="177" t="s">
        <v>149</v>
      </c>
      <c r="E1100" s="177" t="str">
        <f t="shared" si="30"/>
        <v/>
      </c>
    </row>
    <row r="1101" spans="3:5">
      <c r="C1101" s="177" t="s">
        <v>149</v>
      </c>
      <c r="D1101" s="177" t="s">
        <v>149</v>
      </c>
      <c r="E1101" s="177" t="str">
        <f t="shared" si="30"/>
        <v/>
      </c>
    </row>
    <row r="1102" spans="3:5">
      <c r="C1102" s="177" t="s">
        <v>149</v>
      </c>
      <c r="D1102" s="177" t="s">
        <v>149</v>
      </c>
      <c r="E1102" s="177" t="str">
        <f t="shared" si="30"/>
        <v/>
      </c>
    </row>
    <row r="1103" spans="3:5">
      <c r="C1103" s="177" t="s">
        <v>149</v>
      </c>
      <c r="D1103" s="177" t="s">
        <v>149</v>
      </c>
      <c r="E1103" s="177" t="str">
        <f t="shared" si="30"/>
        <v/>
      </c>
    </row>
    <row r="1104" spans="3:5">
      <c r="C1104" s="177" t="s">
        <v>149</v>
      </c>
      <c r="D1104" s="177" t="s">
        <v>149</v>
      </c>
      <c r="E1104" s="177" t="str">
        <f t="shared" si="30"/>
        <v/>
      </c>
    </row>
    <row r="1105" spans="3:5">
      <c r="C1105" s="177" t="s">
        <v>149</v>
      </c>
      <c r="D1105" s="177" t="s">
        <v>149</v>
      </c>
      <c r="E1105" s="177" t="str">
        <f t="shared" si="30"/>
        <v/>
      </c>
    </row>
    <row r="1106" spans="3:5">
      <c r="C1106" s="177" t="s">
        <v>149</v>
      </c>
      <c r="D1106" s="177" t="s">
        <v>149</v>
      </c>
      <c r="E1106" s="177" t="str">
        <f t="shared" si="30"/>
        <v/>
      </c>
    </row>
    <row r="1107" spans="3:5">
      <c r="C1107" s="177" t="s">
        <v>149</v>
      </c>
      <c r="D1107" s="177" t="s">
        <v>149</v>
      </c>
      <c r="E1107" s="177" t="str">
        <f t="shared" si="30"/>
        <v/>
      </c>
    </row>
    <row r="1108" spans="3:5">
      <c r="C1108" s="177" t="s">
        <v>149</v>
      </c>
      <c r="D1108" s="177" t="s">
        <v>149</v>
      </c>
      <c r="E1108" s="177" t="str">
        <f t="shared" si="30"/>
        <v/>
      </c>
    </row>
    <row r="1109" spans="3:5">
      <c r="C1109" s="177" t="s">
        <v>149</v>
      </c>
      <c r="D1109" s="177" t="s">
        <v>149</v>
      </c>
      <c r="E1109" s="177" t="str">
        <f t="shared" si="30"/>
        <v/>
      </c>
    </row>
    <row r="1110" spans="3:5">
      <c r="C1110" s="177" t="s">
        <v>149</v>
      </c>
      <c r="D1110" s="177" t="s">
        <v>149</v>
      </c>
      <c r="E1110" s="177" t="str">
        <f t="shared" si="30"/>
        <v/>
      </c>
    </row>
    <row r="1111" spans="3:5">
      <c r="C1111" s="177" t="s">
        <v>149</v>
      </c>
      <c r="D1111" s="177" t="s">
        <v>149</v>
      </c>
      <c r="E1111" s="177" t="str">
        <f t="shared" si="30"/>
        <v/>
      </c>
    </row>
    <row r="1112" spans="3:5">
      <c r="C1112" s="177" t="s">
        <v>149</v>
      </c>
      <c r="D1112" s="177" t="s">
        <v>149</v>
      </c>
      <c r="E1112" s="177" t="str">
        <f t="shared" si="30"/>
        <v/>
      </c>
    </row>
    <row r="1113" spans="3:5">
      <c r="C1113" s="177" t="s">
        <v>149</v>
      </c>
      <c r="D1113" s="177" t="s">
        <v>149</v>
      </c>
      <c r="E1113" s="177" t="str">
        <f t="shared" si="30"/>
        <v/>
      </c>
    </row>
    <row r="1114" spans="3:5">
      <c r="C1114" s="177" t="s">
        <v>149</v>
      </c>
      <c r="D1114" s="177" t="s">
        <v>149</v>
      </c>
      <c r="E1114" s="177" t="str">
        <f t="shared" si="30"/>
        <v/>
      </c>
    </row>
    <row r="1115" spans="3:5">
      <c r="C1115" s="177" t="s">
        <v>149</v>
      </c>
      <c r="D1115" s="177" t="s">
        <v>149</v>
      </c>
      <c r="E1115" s="177" t="str">
        <f t="shared" si="30"/>
        <v/>
      </c>
    </row>
    <row r="1116" spans="3:5">
      <c r="C1116" s="177" t="s">
        <v>149</v>
      </c>
      <c r="D1116" s="177" t="s">
        <v>149</v>
      </c>
      <c r="E1116" s="177" t="str">
        <f t="shared" si="30"/>
        <v/>
      </c>
    </row>
    <row r="1117" spans="3:5">
      <c r="C1117" s="177" t="s">
        <v>149</v>
      </c>
      <c r="D1117" s="177" t="s">
        <v>149</v>
      </c>
      <c r="E1117" s="177" t="str">
        <f t="shared" si="30"/>
        <v/>
      </c>
    </row>
    <row r="1118" spans="3:5">
      <c r="C1118" s="177" t="s">
        <v>149</v>
      </c>
      <c r="D1118" s="177" t="s">
        <v>149</v>
      </c>
      <c r="E1118" s="177" t="str">
        <f t="shared" si="30"/>
        <v/>
      </c>
    </row>
    <row r="1119" spans="3:5">
      <c r="C1119" s="177" t="s">
        <v>149</v>
      </c>
      <c r="D1119" s="177" t="s">
        <v>149</v>
      </c>
      <c r="E1119" s="177" t="str">
        <f t="shared" si="30"/>
        <v/>
      </c>
    </row>
    <row r="1120" spans="3:5">
      <c r="C1120" s="177" t="s">
        <v>149</v>
      </c>
      <c r="D1120" s="177" t="s">
        <v>149</v>
      </c>
      <c r="E1120" s="177" t="str">
        <f t="shared" si="30"/>
        <v/>
      </c>
    </row>
    <row r="1121" spans="3:5">
      <c r="C1121" s="177" t="s">
        <v>149</v>
      </c>
      <c r="D1121" s="177" t="s">
        <v>149</v>
      </c>
      <c r="E1121" s="177" t="str">
        <f t="shared" si="30"/>
        <v/>
      </c>
    </row>
    <row r="1122" spans="3:5">
      <c r="C1122" s="177" t="s">
        <v>149</v>
      </c>
      <c r="D1122" s="177" t="s">
        <v>149</v>
      </c>
      <c r="E1122" s="177" t="str">
        <f t="shared" si="30"/>
        <v/>
      </c>
    </row>
    <row r="1123" spans="3:5">
      <c r="C1123" s="177" t="s">
        <v>149</v>
      </c>
      <c r="D1123" s="177" t="s">
        <v>149</v>
      </c>
      <c r="E1123" s="177" t="str">
        <f t="shared" si="30"/>
        <v/>
      </c>
    </row>
    <row r="1124" spans="3:5">
      <c r="C1124" s="177" t="s">
        <v>149</v>
      </c>
      <c r="D1124" s="177" t="s">
        <v>149</v>
      </c>
      <c r="E1124" s="177" t="str">
        <f t="shared" si="30"/>
        <v/>
      </c>
    </row>
    <row r="1125" spans="3:5">
      <c r="C1125" s="177" t="s">
        <v>149</v>
      </c>
      <c r="D1125" s="177" t="s">
        <v>149</v>
      </c>
      <c r="E1125" s="177" t="str">
        <f t="shared" si="30"/>
        <v/>
      </c>
    </row>
    <row r="1126" spans="3:5">
      <c r="C1126" s="177" t="s">
        <v>149</v>
      </c>
      <c r="D1126" s="177" t="s">
        <v>149</v>
      </c>
      <c r="E1126" s="177" t="str">
        <f t="shared" si="30"/>
        <v/>
      </c>
    </row>
    <row r="1127" spans="3:5">
      <c r="C1127" s="177" t="s">
        <v>149</v>
      </c>
      <c r="D1127" s="177" t="s">
        <v>149</v>
      </c>
      <c r="E1127" s="177" t="str">
        <f t="shared" si="30"/>
        <v/>
      </c>
    </row>
    <row r="1128" spans="3:5">
      <c r="C1128" s="177" t="s">
        <v>149</v>
      </c>
      <c r="D1128" s="177" t="s">
        <v>149</v>
      </c>
      <c r="E1128" s="177" t="str">
        <f t="shared" si="30"/>
        <v/>
      </c>
    </row>
    <row r="1129" spans="3:5">
      <c r="C1129" s="177" t="s">
        <v>149</v>
      </c>
      <c r="D1129" s="177" t="s">
        <v>149</v>
      </c>
      <c r="E1129" s="177" t="str">
        <f t="shared" si="30"/>
        <v/>
      </c>
    </row>
    <row r="1130" spans="3:5">
      <c r="C1130" s="177" t="s">
        <v>149</v>
      </c>
      <c r="D1130" s="177" t="s">
        <v>149</v>
      </c>
      <c r="E1130" s="177" t="str">
        <f t="shared" si="30"/>
        <v/>
      </c>
    </row>
    <row r="1131" spans="3:5">
      <c r="C1131" s="177" t="s">
        <v>149</v>
      </c>
      <c r="D1131" s="177" t="s">
        <v>149</v>
      </c>
      <c r="E1131" s="177" t="str">
        <f t="shared" si="30"/>
        <v/>
      </c>
    </row>
    <row r="1132" spans="3:5">
      <c r="C1132" s="177" t="s">
        <v>149</v>
      </c>
      <c r="D1132" s="177" t="s">
        <v>149</v>
      </c>
      <c r="E1132" s="177" t="str">
        <f t="shared" si="30"/>
        <v/>
      </c>
    </row>
    <row r="1133" spans="3:5">
      <c r="C1133" s="177" t="s">
        <v>149</v>
      </c>
      <c r="D1133" s="177" t="s">
        <v>149</v>
      </c>
      <c r="E1133" s="177" t="str">
        <f t="shared" si="30"/>
        <v/>
      </c>
    </row>
    <row r="1134" spans="3:5">
      <c r="C1134" s="177" t="s">
        <v>149</v>
      </c>
      <c r="D1134" s="177" t="s">
        <v>149</v>
      </c>
      <c r="E1134" s="177" t="str">
        <f t="shared" si="30"/>
        <v/>
      </c>
    </row>
    <row r="1135" spans="3:5">
      <c r="C1135" s="177" t="s">
        <v>149</v>
      </c>
      <c r="D1135" s="177" t="s">
        <v>149</v>
      </c>
      <c r="E1135" s="177" t="str">
        <f t="shared" si="30"/>
        <v/>
      </c>
    </row>
    <row r="1136" spans="3:5">
      <c r="C1136" s="177" t="s">
        <v>149</v>
      </c>
      <c r="D1136" s="177" t="s">
        <v>149</v>
      </c>
      <c r="E1136" s="177" t="str">
        <f t="shared" si="30"/>
        <v/>
      </c>
    </row>
    <row r="1137" spans="3:5">
      <c r="C1137" s="177" t="s">
        <v>149</v>
      </c>
      <c r="D1137" s="177" t="s">
        <v>149</v>
      </c>
      <c r="E1137" s="177" t="str">
        <f t="shared" si="30"/>
        <v/>
      </c>
    </row>
    <row r="1138" spans="3:5">
      <c r="C1138" s="177" t="s">
        <v>149</v>
      </c>
      <c r="D1138" s="177" t="s">
        <v>149</v>
      </c>
      <c r="E1138" s="177" t="str">
        <f t="shared" si="30"/>
        <v/>
      </c>
    </row>
    <row r="1139" spans="3:5">
      <c r="C1139" s="177" t="s">
        <v>149</v>
      </c>
      <c r="D1139" s="177" t="s">
        <v>149</v>
      </c>
      <c r="E1139" s="177" t="str">
        <f t="shared" si="30"/>
        <v/>
      </c>
    </row>
    <row r="1140" spans="3:5">
      <c r="C1140" s="177" t="s">
        <v>149</v>
      </c>
      <c r="D1140" s="177" t="s">
        <v>149</v>
      </c>
      <c r="E1140" s="177" t="str">
        <f t="shared" si="30"/>
        <v/>
      </c>
    </row>
    <row r="1141" spans="3:5">
      <c r="C1141" s="177" t="s">
        <v>149</v>
      </c>
      <c r="D1141" s="177" t="s">
        <v>149</v>
      </c>
      <c r="E1141" s="177" t="str">
        <f t="shared" si="30"/>
        <v/>
      </c>
    </row>
    <row r="1142" spans="3:5">
      <c r="C1142" s="177" t="s">
        <v>149</v>
      </c>
      <c r="D1142" s="177" t="s">
        <v>149</v>
      </c>
      <c r="E1142" s="177" t="str">
        <f t="shared" si="30"/>
        <v/>
      </c>
    </row>
    <row r="1143" spans="3:5">
      <c r="C1143" s="177" t="s">
        <v>149</v>
      </c>
      <c r="D1143" s="177" t="s">
        <v>149</v>
      </c>
      <c r="E1143" s="177" t="str">
        <f t="shared" si="30"/>
        <v/>
      </c>
    </row>
    <row r="1144" spans="3:5">
      <c r="C1144" s="177" t="s">
        <v>149</v>
      </c>
      <c r="D1144" s="177" t="s">
        <v>149</v>
      </c>
      <c r="E1144" s="177" t="str">
        <f t="shared" si="30"/>
        <v/>
      </c>
    </row>
    <row r="1145" spans="3:5">
      <c r="C1145" s="177" t="s">
        <v>149</v>
      </c>
      <c r="D1145" s="177" t="s">
        <v>149</v>
      </c>
      <c r="E1145" s="177" t="str">
        <f t="shared" si="30"/>
        <v/>
      </c>
    </row>
    <row r="1146" spans="3:5">
      <c r="C1146" s="177" t="s">
        <v>149</v>
      </c>
      <c r="D1146" s="177" t="s">
        <v>149</v>
      </c>
      <c r="E1146" s="177" t="str">
        <f t="shared" si="30"/>
        <v/>
      </c>
    </row>
    <row r="1147" spans="3:5">
      <c r="C1147" s="177" t="s">
        <v>149</v>
      </c>
      <c r="D1147" s="177" t="s">
        <v>149</v>
      </c>
      <c r="E1147" s="177" t="str">
        <f t="shared" si="30"/>
        <v/>
      </c>
    </row>
    <row r="1148" spans="3:5">
      <c r="C1148" s="177" t="s">
        <v>149</v>
      </c>
      <c r="D1148" s="177" t="s">
        <v>149</v>
      </c>
      <c r="E1148" s="177" t="str">
        <f t="shared" si="30"/>
        <v/>
      </c>
    </row>
    <row r="1149" spans="3:5">
      <c r="C1149" s="177" t="s">
        <v>149</v>
      </c>
      <c r="D1149" s="177" t="s">
        <v>149</v>
      </c>
      <c r="E1149" s="177" t="str">
        <f t="shared" si="30"/>
        <v/>
      </c>
    </row>
    <row r="1150" spans="3:5">
      <c r="C1150" s="177" t="s">
        <v>149</v>
      </c>
      <c r="D1150" s="177" t="s">
        <v>149</v>
      </c>
      <c r="E1150" s="177" t="str">
        <f t="shared" si="30"/>
        <v/>
      </c>
    </row>
    <row r="1151" spans="3:5">
      <c r="C1151" s="177" t="s">
        <v>149</v>
      </c>
      <c r="D1151" s="177" t="s">
        <v>149</v>
      </c>
      <c r="E1151" s="177" t="str">
        <f t="shared" si="30"/>
        <v/>
      </c>
    </row>
    <row r="1152" spans="3:5">
      <c r="C1152" s="177" t="s">
        <v>149</v>
      </c>
      <c r="D1152" s="177" t="s">
        <v>149</v>
      </c>
      <c r="E1152" s="177" t="str">
        <f t="shared" si="30"/>
        <v/>
      </c>
    </row>
    <row r="1153" spans="3:5">
      <c r="C1153" s="177" t="s">
        <v>149</v>
      </c>
      <c r="D1153" s="177" t="s">
        <v>149</v>
      </c>
      <c r="E1153" s="177" t="str">
        <f t="shared" si="30"/>
        <v/>
      </c>
    </row>
    <row r="1154" spans="3:5">
      <c r="C1154" s="177" t="s">
        <v>149</v>
      </c>
      <c r="D1154" s="177" t="s">
        <v>149</v>
      </c>
      <c r="E1154" s="177" t="str">
        <f t="shared" si="30"/>
        <v/>
      </c>
    </row>
    <row r="1155" spans="3:5">
      <c r="C1155" s="177" t="s">
        <v>149</v>
      </c>
      <c r="D1155" s="177" t="s">
        <v>149</v>
      </c>
      <c r="E1155" s="177" t="str">
        <f t="shared" si="30"/>
        <v/>
      </c>
    </row>
    <row r="1156" spans="3:5">
      <c r="C1156" s="177" t="s">
        <v>149</v>
      </c>
      <c r="D1156" s="177" t="s">
        <v>149</v>
      </c>
      <c r="E1156" s="177" t="str">
        <f t="shared" ref="E1156:E1209" si="31">IF(C1156&lt;D1156,C1156,D1156)</f>
        <v/>
      </c>
    </row>
    <row r="1157" spans="3:5">
      <c r="C1157" s="177" t="s">
        <v>149</v>
      </c>
      <c r="D1157" s="177" t="s">
        <v>149</v>
      </c>
      <c r="E1157" s="177" t="str">
        <f t="shared" si="31"/>
        <v/>
      </c>
    </row>
    <row r="1158" spans="3:5">
      <c r="C1158" s="177" t="s">
        <v>149</v>
      </c>
      <c r="D1158" s="177" t="s">
        <v>149</v>
      </c>
      <c r="E1158" s="177" t="str">
        <f t="shared" si="31"/>
        <v/>
      </c>
    </row>
    <row r="1159" spans="3:5">
      <c r="C1159" s="177" t="s">
        <v>149</v>
      </c>
      <c r="D1159" s="177" t="s">
        <v>149</v>
      </c>
      <c r="E1159" s="177" t="str">
        <f t="shared" si="31"/>
        <v/>
      </c>
    </row>
    <row r="1160" spans="3:5">
      <c r="C1160" s="177" t="s">
        <v>149</v>
      </c>
      <c r="D1160" s="177" t="s">
        <v>149</v>
      </c>
      <c r="E1160" s="177" t="str">
        <f t="shared" si="31"/>
        <v/>
      </c>
    </row>
    <row r="1161" spans="3:5">
      <c r="C1161" s="177" t="s">
        <v>149</v>
      </c>
      <c r="D1161" s="177" t="s">
        <v>149</v>
      </c>
      <c r="E1161" s="177" t="str">
        <f t="shared" si="31"/>
        <v/>
      </c>
    </row>
    <row r="1162" spans="3:5">
      <c r="C1162" s="177" t="s">
        <v>149</v>
      </c>
      <c r="D1162" s="177" t="s">
        <v>149</v>
      </c>
      <c r="E1162" s="177" t="str">
        <f t="shared" si="31"/>
        <v/>
      </c>
    </row>
    <row r="1163" spans="3:5">
      <c r="C1163" s="177" t="s">
        <v>149</v>
      </c>
      <c r="D1163" s="177" t="s">
        <v>149</v>
      </c>
      <c r="E1163" s="177" t="str">
        <f t="shared" si="31"/>
        <v/>
      </c>
    </row>
    <row r="1164" spans="3:5">
      <c r="C1164" s="177" t="s">
        <v>149</v>
      </c>
      <c r="D1164" s="177" t="s">
        <v>149</v>
      </c>
      <c r="E1164" s="177" t="str">
        <f t="shared" si="31"/>
        <v/>
      </c>
    </row>
    <row r="1165" spans="3:5">
      <c r="C1165" s="177" t="s">
        <v>149</v>
      </c>
      <c r="D1165" s="177" t="s">
        <v>149</v>
      </c>
      <c r="E1165" s="177" t="str">
        <f t="shared" si="31"/>
        <v/>
      </c>
    </row>
    <row r="1166" spans="3:5">
      <c r="C1166" s="177" t="s">
        <v>149</v>
      </c>
      <c r="D1166" s="177" t="s">
        <v>149</v>
      </c>
      <c r="E1166" s="177" t="str">
        <f t="shared" si="31"/>
        <v/>
      </c>
    </row>
    <row r="1167" spans="3:5">
      <c r="C1167" s="177" t="s">
        <v>149</v>
      </c>
      <c r="D1167" s="177" t="s">
        <v>149</v>
      </c>
      <c r="E1167" s="177" t="str">
        <f t="shared" si="31"/>
        <v/>
      </c>
    </row>
    <row r="1168" spans="3:5">
      <c r="C1168" s="177" t="s">
        <v>149</v>
      </c>
      <c r="D1168" s="177" t="s">
        <v>149</v>
      </c>
      <c r="E1168" s="177" t="str">
        <f t="shared" si="31"/>
        <v/>
      </c>
    </row>
    <row r="1169" spans="3:5">
      <c r="C1169" s="177" t="s">
        <v>149</v>
      </c>
      <c r="D1169" s="177" t="s">
        <v>149</v>
      </c>
      <c r="E1169" s="177" t="str">
        <f t="shared" si="31"/>
        <v/>
      </c>
    </row>
    <row r="1170" spans="3:5">
      <c r="C1170" s="177" t="s">
        <v>149</v>
      </c>
      <c r="D1170" s="177" t="s">
        <v>149</v>
      </c>
      <c r="E1170" s="177" t="str">
        <f t="shared" si="31"/>
        <v/>
      </c>
    </row>
    <row r="1171" spans="3:5">
      <c r="C1171" s="177" t="s">
        <v>149</v>
      </c>
      <c r="D1171" s="177" t="s">
        <v>149</v>
      </c>
      <c r="E1171" s="177" t="str">
        <f t="shared" si="31"/>
        <v/>
      </c>
    </row>
    <row r="1172" spans="3:5">
      <c r="C1172" s="177" t="s">
        <v>149</v>
      </c>
      <c r="D1172" s="177" t="s">
        <v>149</v>
      </c>
      <c r="E1172" s="177" t="str">
        <f t="shared" si="31"/>
        <v/>
      </c>
    </row>
    <row r="1173" spans="3:5">
      <c r="C1173" s="177" t="s">
        <v>149</v>
      </c>
      <c r="D1173" s="177" t="s">
        <v>149</v>
      </c>
      <c r="E1173" s="177" t="str">
        <f t="shared" si="31"/>
        <v/>
      </c>
    </row>
    <row r="1174" spans="3:5">
      <c r="C1174" s="177" t="s">
        <v>149</v>
      </c>
      <c r="D1174" s="177" t="s">
        <v>149</v>
      </c>
      <c r="E1174" s="177" t="str">
        <f t="shared" si="31"/>
        <v/>
      </c>
    </row>
    <row r="1175" spans="3:5">
      <c r="C1175" s="177" t="s">
        <v>149</v>
      </c>
      <c r="D1175" s="177" t="s">
        <v>149</v>
      </c>
      <c r="E1175" s="177" t="str">
        <f t="shared" si="31"/>
        <v/>
      </c>
    </row>
    <row r="1176" spans="3:5">
      <c r="C1176" s="177" t="s">
        <v>149</v>
      </c>
      <c r="D1176" s="177" t="s">
        <v>149</v>
      </c>
      <c r="E1176" s="177" t="str">
        <f t="shared" si="31"/>
        <v/>
      </c>
    </row>
    <row r="1177" spans="3:5">
      <c r="C1177" s="177" t="s">
        <v>149</v>
      </c>
      <c r="D1177" s="177" t="s">
        <v>149</v>
      </c>
      <c r="E1177" s="177" t="str">
        <f t="shared" si="31"/>
        <v/>
      </c>
    </row>
    <row r="1178" spans="3:5">
      <c r="C1178" s="177" t="s">
        <v>149</v>
      </c>
      <c r="D1178" s="177" t="s">
        <v>149</v>
      </c>
      <c r="E1178" s="177" t="str">
        <f t="shared" si="31"/>
        <v/>
      </c>
    </row>
    <row r="1179" spans="3:5">
      <c r="C1179" s="177" t="s">
        <v>149</v>
      </c>
      <c r="D1179" s="177" t="s">
        <v>149</v>
      </c>
      <c r="E1179" s="177" t="str">
        <f t="shared" si="31"/>
        <v/>
      </c>
    </row>
    <row r="1180" spans="3:5">
      <c r="C1180" s="177" t="s">
        <v>149</v>
      </c>
      <c r="D1180" s="177" t="s">
        <v>149</v>
      </c>
      <c r="E1180" s="177" t="str">
        <f t="shared" si="31"/>
        <v/>
      </c>
    </row>
    <row r="1181" spans="3:5">
      <c r="C1181" s="177" t="s">
        <v>149</v>
      </c>
      <c r="D1181" s="177" t="s">
        <v>149</v>
      </c>
      <c r="E1181" s="177" t="str">
        <f t="shared" si="31"/>
        <v/>
      </c>
    </row>
    <row r="1182" spans="3:5">
      <c r="C1182" s="177" t="s">
        <v>149</v>
      </c>
      <c r="D1182" s="177" t="s">
        <v>149</v>
      </c>
      <c r="E1182" s="177" t="str">
        <f t="shared" si="31"/>
        <v/>
      </c>
    </row>
    <row r="1183" spans="3:5">
      <c r="C1183" s="177" t="s">
        <v>149</v>
      </c>
      <c r="D1183" s="177" t="s">
        <v>149</v>
      </c>
      <c r="E1183" s="177" t="str">
        <f t="shared" si="31"/>
        <v/>
      </c>
    </row>
    <row r="1184" spans="3:5">
      <c r="C1184" s="177" t="s">
        <v>149</v>
      </c>
      <c r="D1184" s="177" t="s">
        <v>149</v>
      </c>
      <c r="E1184" s="177" t="str">
        <f t="shared" si="31"/>
        <v/>
      </c>
    </row>
    <row r="1185" spans="3:5">
      <c r="C1185" s="177" t="s">
        <v>149</v>
      </c>
      <c r="D1185" s="177" t="s">
        <v>149</v>
      </c>
      <c r="E1185" s="177" t="str">
        <f t="shared" si="31"/>
        <v/>
      </c>
    </row>
    <row r="1186" spans="3:5">
      <c r="C1186" s="177" t="s">
        <v>149</v>
      </c>
      <c r="D1186" s="177" t="s">
        <v>149</v>
      </c>
      <c r="E1186" s="177" t="str">
        <f t="shared" si="31"/>
        <v/>
      </c>
    </row>
    <row r="1187" spans="3:5">
      <c r="C1187" s="177" t="s">
        <v>149</v>
      </c>
      <c r="D1187" s="177" t="s">
        <v>149</v>
      </c>
      <c r="E1187" s="177" t="str">
        <f t="shared" si="31"/>
        <v/>
      </c>
    </row>
    <row r="1188" spans="3:5">
      <c r="C1188" s="177" t="s">
        <v>149</v>
      </c>
      <c r="D1188" s="177" t="s">
        <v>149</v>
      </c>
      <c r="E1188" s="177" t="str">
        <f t="shared" si="31"/>
        <v/>
      </c>
    </row>
    <row r="1189" spans="3:5">
      <c r="C1189" s="177" t="s">
        <v>149</v>
      </c>
      <c r="D1189" s="177" t="s">
        <v>149</v>
      </c>
      <c r="E1189" s="177" t="str">
        <f t="shared" si="31"/>
        <v/>
      </c>
    </row>
    <row r="1190" spans="3:5">
      <c r="C1190" s="177" t="s">
        <v>149</v>
      </c>
      <c r="D1190" s="177" t="s">
        <v>149</v>
      </c>
      <c r="E1190" s="177" t="str">
        <f t="shared" si="31"/>
        <v/>
      </c>
    </row>
    <row r="1191" spans="3:5">
      <c r="C1191" s="177" t="s">
        <v>149</v>
      </c>
      <c r="D1191" s="177" t="s">
        <v>149</v>
      </c>
      <c r="E1191" s="177" t="str">
        <f t="shared" si="31"/>
        <v/>
      </c>
    </row>
    <row r="1192" spans="3:5">
      <c r="C1192" s="177" t="s">
        <v>149</v>
      </c>
      <c r="D1192" s="177" t="s">
        <v>149</v>
      </c>
      <c r="E1192" s="177" t="str">
        <f t="shared" si="31"/>
        <v/>
      </c>
    </row>
    <row r="1193" spans="3:5">
      <c r="C1193" s="177" t="s">
        <v>149</v>
      </c>
      <c r="D1193" s="177" t="s">
        <v>149</v>
      </c>
      <c r="E1193" s="177" t="str">
        <f t="shared" si="31"/>
        <v/>
      </c>
    </row>
    <row r="1194" spans="3:5">
      <c r="C1194" s="177" t="s">
        <v>149</v>
      </c>
      <c r="D1194" s="177" t="s">
        <v>149</v>
      </c>
      <c r="E1194" s="177" t="str">
        <f t="shared" si="31"/>
        <v/>
      </c>
    </row>
    <row r="1195" spans="3:5">
      <c r="C1195" s="177" t="s">
        <v>149</v>
      </c>
      <c r="D1195" s="177" t="s">
        <v>149</v>
      </c>
      <c r="E1195" s="177" t="str">
        <f t="shared" si="31"/>
        <v/>
      </c>
    </row>
    <row r="1196" spans="3:5">
      <c r="C1196" s="177" t="s">
        <v>149</v>
      </c>
      <c r="D1196" s="177" t="s">
        <v>149</v>
      </c>
      <c r="E1196" s="177" t="str">
        <f t="shared" si="31"/>
        <v/>
      </c>
    </row>
    <row r="1197" spans="3:5">
      <c r="C1197" s="177" t="s">
        <v>149</v>
      </c>
      <c r="D1197" s="177" t="s">
        <v>149</v>
      </c>
      <c r="E1197" s="177" t="str">
        <f t="shared" si="31"/>
        <v/>
      </c>
    </row>
    <row r="1198" spans="3:5">
      <c r="C1198" s="177" t="s">
        <v>149</v>
      </c>
      <c r="D1198" s="177" t="s">
        <v>149</v>
      </c>
      <c r="E1198" s="177" t="str">
        <f t="shared" si="31"/>
        <v/>
      </c>
    </row>
    <row r="1199" spans="3:5">
      <c r="C1199" s="177" t="s">
        <v>149</v>
      </c>
      <c r="D1199" s="177" t="s">
        <v>149</v>
      </c>
      <c r="E1199" s="177" t="str">
        <f t="shared" si="31"/>
        <v/>
      </c>
    </row>
    <row r="1200" spans="3:5">
      <c r="C1200" s="177" t="s">
        <v>149</v>
      </c>
      <c r="D1200" s="177" t="s">
        <v>149</v>
      </c>
      <c r="E1200" s="177" t="str">
        <f t="shared" si="31"/>
        <v/>
      </c>
    </row>
    <row r="1201" spans="3:5">
      <c r="C1201" s="177" t="s">
        <v>149</v>
      </c>
      <c r="D1201" s="177" t="s">
        <v>149</v>
      </c>
      <c r="E1201" s="177" t="str">
        <f t="shared" si="31"/>
        <v/>
      </c>
    </row>
    <row r="1202" spans="3:5">
      <c r="C1202" s="177" t="s">
        <v>149</v>
      </c>
      <c r="D1202" s="177" t="s">
        <v>149</v>
      </c>
      <c r="E1202" s="177" t="str">
        <f t="shared" si="31"/>
        <v/>
      </c>
    </row>
    <row r="1203" spans="3:5">
      <c r="C1203" s="177" t="s">
        <v>149</v>
      </c>
      <c r="D1203" s="177" t="s">
        <v>149</v>
      </c>
      <c r="E1203" s="177" t="str">
        <f t="shared" si="31"/>
        <v/>
      </c>
    </row>
    <row r="1204" spans="3:5">
      <c r="C1204" s="177" t="s">
        <v>149</v>
      </c>
      <c r="D1204" s="177" t="s">
        <v>149</v>
      </c>
      <c r="E1204" s="177" t="str">
        <f t="shared" si="31"/>
        <v/>
      </c>
    </row>
    <row r="1205" spans="3:5">
      <c r="C1205" s="177" t="s">
        <v>149</v>
      </c>
      <c r="D1205" s="177" t="s">
        <v>149</v>
      </c>
      <c r="E1205" s="177" t="str">
        <f t="shared" si="31"/>
        <v/>
      </c>
    </row>
    <row r="1206" spans="3:5">
      <c r="C1206" s="177" t="s">
        <v>149</v>
      </c>
      <c r="D1206" s="177" t="s">
        <v>149</v>
      </c>
      <c r="E1206" s="177" t="str">
        <f t="shared" si="31"/>
        <v/>
      </c>
    </row>
    <row r="1207" spans="3:5">
      <c r="C1207" s="177" t="s">
        <v>149</v>
      </c>
      <c r="D1207" s="177" t="s">
        <v>149</v>
      </c>
      <c r="E1207" s="177" t="str">
        <f t="shared" si="31"/>
        <v/>
      </c>
    </row>
    <row r="1208" spans="3:5">
      <c r="C1208" s="177" t="s">
        <v>149</v>
      </c>
      <c r="D1208" s="177" t="s">
        <v>149</v>
      </c>
      <c r="E1208" s="177" t="str">
        <f t="shared" si="31"/>
        <v/>
      </c>
    </row>
    <row r="1209" spans="3:5">
      <c r="C1209" s="177" t="s">
        <v>149</v>
      </c>
      <c r="D1209" s="177" t="s">
        <v>149</v>
      </c>
      <c r="E1209" s="177" t="str">
        <f t="shared" si="31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workbookViewId="0"/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0"/>
    <col min="11" max="16384" width="11.42578125" style="165"/>
  </cols>
  <sheetData>
    <row r="2" spans="2:11">
      <c r="B2" s="149" t="s">
        <v>26</v>
      </c>
    </row>
    <row r="3" spans="2:11" ht="22.5">
      <c r="B3" s="231" t="s">
        <v>30</v>
      </c>
      <c r="C3" s="232" t="s">
        <v>31</v>
      </c>
      <c r="D3" s="252"/>
      <c r="E3" s="233" t="s">
        <v>32</v>
      </c>
      <c r="F3" s="233" t="s">
        <v>33</v>
      </c>
      <c r="G3" s="232" t="s">
        <v>34</v>
      </c>
      <c r="H3" s="234"/>
      <c r="I3" s="235"/>
      <c r="J3" s="236"/>
    </row>
    <row r="4" spans="2:11">
      <c r="B4" s="237" t="s">
        <v>203</v>
      </c>
      <c r="C4" s="238">
        <f>Dat_02!B3</f>
        <v>44197</v>
      </c>
      <c r="D4" s="239"/>
      <c r="E4" s="240">
        <f>Dat_02!C3</f>
        <v>121.65851347889853</v>
      </c>
      <c r="F4" s="240">
        <f>Dat_02!D3</f>
        <v>124.46511188199077</v>
      </c>
      <c r="G4" s="240">
        <f>Dat_02!E3</f>
        <v>121.65851347889853</v>
      </c>
      <c r="I4" s="241">
        <f>Dat_02!G3</f>
        <v>0</v>
      </c>
      <c r="J4" s="251" t="str">
        <f>IF(Dat_02!H3=0,"",Dat_02!H3)</f>
        <v/>
      </c>
      <c r="K4" s="165" t="str">
        <f>IF(J4=0,"",J4)</f>
        <v/>
      </c>
    </row>
    <row r="5" spans="2:11">
      <c r="B5" s="239"/>
      <c r="C5" s="238">
        <f>Dat_02!B4</f>
        <v>44198</v>
      </c>
      <c r="D5" s="239"/>
      <c r="E5" s="240">
        <f>Dat_02!C4</f>
        <v>122.79226157089855</v>
      </c>
      <c r="F5" s="240">
        <f>Dat_02!D4</f>
        <v>124.46511188199077</v>
      </c>
      <c r="G5" s="240">
        <f>Dat_02!E4</f>
        <v>122.79226157089855</v>
      </c>
      <c r="I5" s="241">
        <f>Dat_02!G4</f>
        <v>0</v>
      </c>
      <c r="J5" s="251" t="str">
        <f>IF(Dat_02!H4=0,"",Dat_02!H4)</f>
        <v/>
      </c>
    </row>
    <row r="6" spans="2:11">
      <c r="B6" s="237"/>
      <c r="C6" s="238">
        <f>Dat_02!B5</f>
        <v>44199</v>
      </c>
      <c r="D6" s="237"/>
      <c r="E6" s="240">
        <f>Dat_02!C5</f>
        <v>127.5509066309004</v>
      </c>
      <c r="F6" s="240">
        <f>Dat_02!D5</f>
        <v>124.46511188199077</v>
      </c>
      <c r="G6" s="240">
        <f>Dat_02!E5</f>
        <v>124.46511188199077</v>
      </c>
      <c r="I6" s="241">
        <f>Dat_02!G5</f>
        <v>0</v>
      </c>
      <c r="J6" s="251" t="str">
        <f>IF(Dat_02!H5=0,"",Dat_02!H5)</f>
        <v/>
      </c>
    </row>
    <row r="7" spans="2:11">
      <c r="B7" s="237"/>
      <c r="C7" s="238">
        <f>Dat_02!B6</f>
        <v>44200</v>
      </c>
      <c r="D7" s="237"/>
      <c r="E7" s="240">
        <f>Dat_02!C6</f>
        <v>176.54740736089855</v>
      </c>
      <c r="F7" s="240">
        <f>Dat_02!D6</f>
        <v>124.46511188199077</v>
      </c>
      <c r="G7" s="240">
        <f>Dat_02!E6</f>
        <v>124.46511188199077</v>
      </c>
      <c r="I7" s="241">
        <f>Dat_02!G6</f>
        <v>0</v>
      </c>
      <c r="J7" s="251" t="str">
        <f>IF(Dat_02!H6=0,"",Dat_02!H6)</f>
        <v/>
      </c>
    </row>
    <row r="8" spans="2:11">
      <c r="B8" s="237"/>
      <c r="C8" s="238">
        <f>Dat_02!B7</f>
        <v>44201</v>
      </c>
      <c r="D8" s="237"/>
      <c r="E8" s="240">
        <f>Dat_02!C7</f>
        <v>186.76678542089851</v>
      </c>
      <c r="F8" s="240">
        <f>Dat_02!D7</f>
        <v>124.46511188199077</v>
      </c>
      <c r="G8" s="240">
        <f>Dat_02!E7</f>
        <v>124.46511188199077</v>
      </c>
      <c r="I8" s="241">
        <f>Dat_02!G7</f>
        <v>0</v>
      </c>
      <c r="J8" s="251" t="str">
        <f>IF(Dat_02!H7=0,"",Dat_02!H7)</f>
        <v/>
      </c>
    </row>
    <row r="9" spans="2:11">
      <c r="B9" s="237"/>
      <c r="C9" s="238">
        <f>Dat_02!B8</f>
        <v>44202</v>
      </c>
      <c r="D9" s="237"/>
      <c r="E9" s="240">
        <f>Dat_02!C8</f>
        <v>122.4508974280194</v>
      </c>
      <c r="F9" s="240">
        <f>Dat_02!D8</f>
        <v>124.46511188199077</v>
      </c>
      <c r="G9" s="240">
        <f>Dat_02!E8</f>
        <v>122.4508974280194</v>
      </c>
      <c r="I9" s="241">
        <f>Dat_02!G8</f>
        <v>0</v>
      </c>
      <c r="J9" s="251" t="str">
        <f>IF(Dat_02!H8=0,"",Dat_02!H8)</f>
        <v/>
      </c>
    </row>
    <row r="10" spans="2:11">
      <c r="B10" s="237"/>
      <c r="C10" s="238">
        <f>Dat_02!B9</f>
        <v>44203</v>
      </c>
      <c r="D10" s="237"/>
      <c r="E10" s="240">
        <f>Dat_02!C9</f>
        <v>113.50098375602127</v>
      </c>
      <c r="F10" s="240">
        <f>Dat_02!D9</f>
        <v>124.46511188199077</v>
      </c>
      <c r="G10" s="240">
        <f>Dat_02!E9</f>
        <v>113.50098375602127</v>
      </c>
      <c r="I10" s="241">
        <f>Dat_02!G9</f>
        <v>0</v>
      </c>
      <c r="J10" s="251" t="str">
        <f>IF(Dat_02!H9=0,"",Dat_02!H9)</f>
        <v/>
      </c>
    </row>
    <row r="11" spans="2:11">
      <c r="B11" s="237"/>
      <c r="C11" s="238">
        <f>Dat_02!B10</f>
        <v>44204</v>
      </c>
      <c r="D11" s="237"/>
      <c r="E11" s="240">
        <f>Dat_02!C10</f>
        <v>108.17419805602127</v>
      </c>
      <c r="F11" s="240">
        <f>Dat_02!D10</f>
        <v>124.46511188199077</v>
      </c>
      <c r="G11" s="240">
        <f>Dat_02!E10</f>
        <v>108.17419805602127</v>
      </c>
      <c r="I11" s="241">
        <f>Dat_02!G10</f>
        <v>0</v>
      </c>
      <c r="J11" s="251" t="str">
        <f>IF(Dat_02!H10=0,"",Dat_02!H10)</f>
        <v/>
      </c>
    </row>
    <row r="12" spans="2:11">
      <c r="B12" s="237"/>
      <c r="C12" s="238">
        <f>Dat_02!B11</f>
        <v>44205</v>
      </c>
      <c r="D12" s="237"/>
      <c r="E12" s="240">
        <f>Dat_02!C11</f>
        <v>79.63141345601754</v>
      </c>
      <c r="F12" s="240">
        <f>Dat_02!D11</f>
        <v>124.46511188199077</v>
      </c>
      <c r="G12" s="240">
        <f>Dat_02!E11</f>
        <v>79.63141345601754</v>
      </c>
      <c r="I12" s="241">
        <f>Dat_02!G11</f>
        <v>0</v>
      </c>
      <c r="J12" s="251" t="str">
        <f>IF(Dat_02!H11=0,"",Dat_02!H11)</f>
        <v/>
      </c>
    </row>
    <row r="13" spans="2:11">
      <c r="B13" s="237"/>
      <c r="C13" s="238">
        <f>Dat_02!B12</f>
        <v>44206</v>
      </c>
      <c r="D13" s="237"/>
      <c r="E13" s="240">
        <f>Dat_02!C12</f>
        <v>78.27291295402128</v>
      </c>
      <c r="F13" s="240">
        <f>Dat_02!D12</f>
        <v>124.46511188199077</v>
      </c>
      <c r="G13" s="240">
        <f>Dat_02!E12</f>
        <v>78.27291295402128</v>
      </c>
      <c r="I13" s="241">
        <f>Dat_02!G12</f>
        <v>0</v>
      </c>
      <c r="J13" s="251" t="str">
        <f>IF(Dat_02!H12=0,"",Dat_02!H12)</f>
        <v/>
      </c>
    </row>
    <row r="14" spans="2:11">
      <c r="B14" s="237"/>
      <c r="C14" s="238">
        <f>Dat_02!B13</f>
        <v>44207</v>
      </c>
      <c r="D14" s="237"/>
      <c r="E14" s="240">
        <f>Dat_02!C13</f>
        <v>89.291085424019414</v>
      </c>
      <c r="F14" s="240">
        <f>Dat_02!D13</f>
        <v>124.46511188199077</v>
      </c>
      <c r="G14" s="240">
        <f>Dat_02!E13</f>
        <v>89.291085424019414</v>
      </c>
      <c r="I14" s="241">
        <f>Dat_02!G13</f>
        <v>0</v>
      </c>
      <c r="J14" s="251" t="str">
        <f>IF(Dat_02!H13=0,"",Dat_02!H13)</f>
        <v/>
      </c>
    </row>
    <row r="15" spans="2:11">
      <c r="B15" s="237"/>
      <c r="C15" s="238">
        <f>Dat_02!B14</f>
        <v>44208</v>
      </c>
      <c r="D15" s="237"/>
      <c r="E15" s="240">
        <f>Dat_02!C14</f>
        <v>103.80750175601942</v>
      </c>
      <c r="F15" s="240">
        <f>Dat_02!D14</f>
        <v>124.46511188199077</v>
      </c>
      <c r="G15" s="240">
        <f>Dat_02!E14</f>
        <v>103.80750175601942</v>
      </c>
      <c r="I15" s="241">
        <f>Dat_02!G14</f>
        <v>0</v>
      </c>
      <c r="J15" s="251" t="str">
        <f>IF(Dat_02!H14=0,"",Dat_02!H14)</f>
        <v/>
      </c>
    </row>
    <row r="16" spans="2:11">
      <c r="B16" s="237"/>
      <c r="C16" s="238">
        <f>Dat_02!B15</f>
        <v>44209</v>
      </c>
      <c r="D16" s="237"/>
      <c r="E16" s="240">
        <f>Dat_02!C15</f>
        <v>65.07410711507066</v>
      </c>
      <c r="F16" s="240">
        <f>Dat_02!D15</f>
        <v>124.46511188199077</v>
      </c>
      <c r="G16" s="240">
        <f>Dat_02!E15</f>
        <v>65.07410711507066</v>
      </c>
      <c r="I16" s="241">
        <f>Dat_02!G15</f>
        <v>0</v>
      </c>
      <c r="J16" s="251" t="str">
        <f>IF(Dat_02!H15=0,"",Dat_02!H15)</f>
        <v/>
      </c>
    </row>
    <row r="17" spans="2:10">
      <c r="B17" s="237"/>
      <c r="C17" s="238">
        <f>Dat_02!B16</f>
        <v>44210</v>
      </c>
      <c r="D17" s="237"/>
      <c r="E17" s="240">
        <f>Dat_02!C16</f>
        <v>63.240659711070649</v>
      </c>
      <c r="F17" s="240">
        <f>Dat_02!D16</f>
        <v>124.46511188199077</v>
      </c>
      <c r="G17" s="240">
        <f>Dat_02!E16</f>
        <v>63.240659711070649</v>
      </c>
      <c r="I17" s="241">
        <f>Dat_02!G16</f>
        <v>0</v>
      </c>
      <c r="J17" s="251" t="str">
        <f>IF(Dat_02!H16=0,"",Dat_02!H16)</f>
        <v/>
      </c>
    </row>
    <row r="18" spans="2:10">
      <c r="B18" s="237"/>
      <c r="C18" s="238">
        <f>Dat_02!B17</f>
        <v>44211</v>
      </c>
      <c r="D18" s="237"/>
      <c r="E18" s="240">
        <f>Dat_02!C17</f>
        <v>62.816474647068794</v>
      </c>
      <c r="F18" s="240">
        <f>Dat_02!D17</f>
        <v>124.46511188199077</v>
      </c>
      <c r="G18" s="240">
        <f>Dat_02!E17</f>
        <v>62.816474647068794</v>
      </c>
      <c r="I18" s="301">
        <f>Dat_02!G17</f>
        <v>124.46511188199077</v>
      </c>
      <c r="J18" s="251" t="str">
        <f>IF(Dat_02!H17=0,"",Dat_02!H17)</f>
        <v/>
      </c>
    </row>
    <row r="19" spans="2:10">
      <c r="B19" s="237"/>
      <c r="C19" s="238">
        <f>Dat_02!B18</f>
        <v>44212</v>
      </c>
      <c r="D19" s="237"/>
      <c r="E19" s="240">
        <f>Dat_02!C18</f>
        <v>56.416824859072513</v>
      </c>
      <c r="F19" s="240">
        <f>Dat_02!D18</f>
        <v>124.46511188199077</v>
      </c>
      <c r="G19" s="240">
        <f>Dat_02!E18</f>
        <v>56.416824859072513</v>
      </c>
      <c r="I19" s="241">
        <f>Dat_02!G18</f>
        <v>0</v>
      </c>
      <c r="J19" s="251" t="str">
        <f>IF(Dat_02!H18=0,"",Dat_02!H18)</f>
        <v/>
      </c>
    </row>
    <row r="20" spans="2:10">
      <c r="B20" s="237"/>
      <c r="C20" s="238">
        <f>Dat_02!B19</f>
        <v>44213</v>
      </c>
      <c r="D20" s="237"/>
      <c r="E20" s="240">
        <f>Dat_02!C19</f>
        <v>39.007617675068786</v>
      </c>
      <c r="F20" s="240">
        <f>Dat_02!D19</f>
        <v>124.46511188199077</v>
      </c>
      <c r="G20" s="240">
        <f>Dat_02!E19</f>
        <v>39.007617675068786</v>
      </c>
      <c r="I20" s="241">
        <f>Dat_02!G19</f>
        <v>0</v>
      </c>
      <c r="J20" s="251" t="str">
        <f>IF(Dat_02!H19=0,"",Dat_02!H19)</f>
        <v/>
      </c>
    </row>
    <row r="21" spans="2:10">
      <c r="B21" s="237"/>
      <c r="C21" s="238">
        <f>Dat_02!B20</f>
        <v>44214</v>
      </c>
      <c r="D21" s="237"/>
      <c r="E21" s="240">
        <f>Dat_02!C20</f>
        <v>71.566471235070637</v>
      </c>
      <c r="F21" s="240">
        <f>Dat_02!D20</f>
        <v>124.46511188199077</v>
      </c>
      <c r="G21" s="240">
        <f>Dat_02!E20</f>
        <v>71.566471235070637</v>
      </c>
      <c r="I21" s="241">
        <f>Dat_02!G20</f>
        <v>0</v>
      </c>
      <c r="J21" s="251" t="str">
        <f>IF(Dat_02!H20=0,"",Dat_02!H20)</f>
        <v/>
      </c>
    </row>
    <row r="22" spans="2:10">
      <c r="B22" s="237"/>
      <c r="C22" s="238">
        <f>Dat_02!B21</f>
        <v>44215</v>
      </c>
      <c r="D22" s="237"/>
      <c r="E22" s="240">
        <f>Dat_02!C21</f>
        <v>56.21605761507066</v>
      </c>
      <c r="F22" s="240">
        <f>Dat_02!D21</f>
        <v>124.46511188199077</v>
      </c>
      <c r="G22" s="240">
        <f>Dat_02!E21</f>
        <v>56.21605761507066</v>
      </c>
      <c r="I22" s="241">
        <f>Dat_02!G21</f>
        <v>0</v>
      </c>
      <c r="J22" s="251" t="str">
        <f>IF(Dat_02!H21=0,"",Dat_02!H21)</f>
        <v/>
      </c>
    </row>
    <row r="23" spans="2:10">
      <c r="B23" s="237"/>
      <c r="C23" s="238">
        <f>Dat_02!B22</f>
        <v>44216</v>
      </c>
      <c r="D23" s="237"/>
      <c r="E23" s="240">
        <f>Dat_02!C22</f>
        <v>180.65407095807191</v>
      </c>
      <c r="F23" s="240">
        <f>Dat_02!D22</f>
        <v>124.46511188199077</v>
      </c>
      <c r="G23" s="240">
        <f>Dat_02!E22</f>
        <v>124.46511188199077</v>
      </c>
      <c r="I23" s="241">
        <f>Dat_02!G22</f>
        <v>0</v>
      </c>
      <c r="J23" s="251" t="str">
        <f>IF(Dat_02!H22=0,"",Dat_02!H22)</f>
        <v/>
      </c>
    </row>
    <row r="24" spans="2:10">
      <c r="B24" s="237"/>
      <c r="C24" s="238">
        <f>Dat_02!B23</f>
        <v>44217</v>
      </c>
      <c r="D24" s="237"/>
      <c r="E24" s="240">
        <f>Dat_02!C23</f>
        <v>170.05959577406819</v>
      </c>
      <c r="F24" s="240">
        <f>Dat_02!D23</f>
        <v>124.46511188199077</v>
      </c>
      <c r="G24" s="240">
        <f>Dat_02!E23</f>
        <v>124.46511188199077</v>
      </c>
      <c r="I24" s="241">
        <f>Dat_02!G23</f>
        <v>0</v>
      </c>
      <c r="J24" s="251" t="str">
        <f>IF(Dat_02!H23=0,"",Dat_02!H23)</f>
        <v/>
      </c>
    </row>
    <row r="25" spans="2:10">
      <c r="B25" s="237"/>
      <c r="C25" s="238">
        <f>Dat_02!B24</f>
        <v>44218</v>
      </c>
      <c r="D25" s="237"/>
      <c r="E25" s="240">
        <f>Dat_02!C24</f>
        <v>170.92545026807005</v>
      </c>
      <c r="F25" s="240">
        <f>Dat_02!D24</f>
        <v>124.46511188199077</v>
      </c>
      <c r="G25" s="240">
        <f>Dat_02!E24</f>
        <v>124.46511188199077</v>
      </c>
      <c r="I25" s="241">
        <f>Dat_02!G24</f>
        <v>0</v>
      </c>
      <c r="J25" s="251" t="str">
        <f>IF(Dat_02!H24=0,"",Dat_02!H24)</f>
        <v/>
      </c>
    </row>
    <row r="26" spans="2:10">
      <c r="B26" s="237"/>
      <c r="C26" s="238">
        <f>Dat_02!B25</f>
        <v>44219</v>
      </c>
      <c r="D26" s="237"/>
      <c r="E26" s="240">
        <f>Dat_02!C25</f>
        <v>143.75904223607003</v>
      </c>
      <c r="F26" s="240">
        <f>Dat_02!D25</f>
        <v>124.46511188199077</v>
      </c>
      <c r="G26" s="240">
        <f>Dat_02!E25</f>
        <v>124.46511188199077</v>
      </c>
      <c r="I26" s="241">
        <f>Dat_02!G25</f>
        <v>0</v>
      </c>
      <c r="J26" s="251" t="str">
        <f>IF(Dat_02!H25=0,"",Dat_02!H25)</f>
        <v/>
      </c>
    </row>
    <row r="27" spans="2:10">
      <c r="B27" s="237"/>
      <c r="C27" s="238">
        <f>Dat_02!B26</f>
        <v>44220</v>
      </c>
      <c r="D27" s="237"/>
      <c r="E27" s="240">
        <f>Dat_02!C26</f>
        <v>146.19796674007003</v>
      </c>
      <c r="F27" s="240">
        <f>Dat_02!D26</f>
        <v>124.46511188199077</v>
      </c>
      <c r="G27" s="240">
        <f>Dat_02!E26</f>
        <v>124.46511188199077</v>
      </c>
      <c r="I27" s="241">
        <f>Dat_02!G26</f>
        <v>0</v>
      </c>
      <c r="J27" s="251" t="str">
        <f>IF(Dat_02!H26=0,"",Dat_02!H26)</f>
        <v/>
      </c>
    </row>
    <row r="28" spans="2:10">
      <c r="B28" s="237"/>
      <c r="C28" s="238">
        <f>Dat_02!B27</f>
        <v>44221</v>
      </c>
      <c r="D28" s="237"/>
      <c r="E28" s="240">
        <f>Dat_02!C27</f>
        <v>197.6827134820719</v>
      </c>
      <c r="F28" s="240">
        <f>Dat_02!D27</f>
        <v>124.46511188199077</v>
      </c>
      <c r="G28" s="240">
        <f>Dat_02!E27</f>
        <v>124.46511188199077</v>
      </c>
      <c r="I28" s="241">
        <f>Dat_02!G27</f>
        <v>0</v>
      </c>
      <c r="J28" s="251" t="str">
        <f>IF(Dat_02!H27=0,"",Dat_02!H27)</f>
        <v/>
      </c>
    </row>
    <row r="29" spans="2:10">
      <c r="B29" s="237"/>
      <c r="C29" s="238">
        <f>Dat_02!B28</f>
        <v>44222</v>
      </c>
      <c r="D29" s="237"/>
      <c r="E29" s="240">
        <f>Dat_02!C28</f>
        <v>215.54117273807006</v>
      </c>
      <c r="F29" s="240">
        <f>Dat_02!D28</f>
        <v>124.46511188199077</v>
      </c>
      <c r="G29" s="240">
        <f>Dat_02!E28</f>
        <v>124.46511188199077</v>
      </c>
      <c r="I29" s="241">
        <f>Dat_02!G28</f>
        <v>0</v>
      </c>
      <c r="J29" s="251" t="str">
        <f>IF(Dat_02!H28=0,"",Dat_02!H28)</f>
        <v/>
      </c>
    </row>
    <row r="30" spans="2:10">
      <c r="B30" s="237"/>
      <c r="C30" s="238">
        <f>Dat_02!B29</f>
        <v>44223</v>
      </c>
      <c r="D30" s="237"/>
      <c r="E30" s="240">
        <f>Dat_02!C29</f>
        <v>272.82631553889729</v>
      </c>
      <c r="F30" s="240">
        <f>Dat_02!D29</f>
        <v>124.46511188199077</v>
      </c>
      <c r="G30" s="240">
        <f>Dat_02!E29</f>
        <v>124.46511188199077</v>
      </c>
      <c r="I30" s="241">
        <f>Dat_02!G29</f>
        <v>0</v>
      </c>
      <c r="J30" s="251" t="str">
        <f>IF(Dat_02!H29=0,"",Dat_02!H29)</f>
        <v/>
      </c>
    </row>
    <row r="31" spans="2:10">
      <c r="B31" s="237"/>
      <c r="C31" s="238">
        <f>Dat_02!B30</f>
        <v>44224</v>
      </c>
      <c r="D31" s="237"/>
      <c r="E31" s="240">
        <f>Dat_02!C30</f>
        <v>274.95323513289543</v>
      </c>
      <c r="F31" s="240">
        <f>Dat_02!D30</f>
        <v>124.46511188199077</v>
      </c>
      <c r="G31" s="240">
        <f>Dat_02!E30</f>
        <v>124.46511188199077</v>
      </c>
      <c r="I31" s="241">
        <f>Dat_02!G30</f>
        <v>0</v>
      </c>
      <c r="J31" s="251" t="str">
        <f>IF(Dat_02!H30=0,"",Dat_02!H30)</f>
        <v/>
      </c>
    </row>
    <row r="32" spans="2:10">
      <c r="B32" s="237"/>
      <c r="C32" s="238">
        <f>Dat_02!B31</f>
        <v>44225</v>
      </c>
      <c r="D32" s="237"/>
      <c r="E32" s="240">
        <f>Dat_02!C31</f>
        <v>270.03186463489726</v>
      </c>
      <c r="F32" s="240">
        <f>Dat_02!D31</f>
        <v>124.46511188199077</v>
      </c>
      <c r="G32" s="240">
        <f>Dat_02!E31</f>
        <v>124.46511188199077</v>
      </c>
      <c r="I32" s="241">
        <f>Dat_02!G31</f>
        <v>0</v>
      </c>
      <c r="J32" s="251" t="str">
        <f>IF(Dat_02!H31=0,"",Dat_02!H31)</f>
        <v/>
      </c>
    </row>
    <row r="33" spans="2:10">
      <c r="B33" s="237"/>
      <c r="C33" s="238">
        <f>Dat_02!B32</f>
        <v>44226</v>
      </c>
      <c r="D33" s="237"/>
      <c r="E33" s="240">
        <f>Dat_02!C32</f>
        <v>254.74857380889728</v>
      </c>
      <c r="F33" s="240">
        <f>Dat_02!D32</f>
        <v>124.46511188199077</v>
      </c>
      <c r="G33" s="240">
        <f>Dat_02!E32</f>
        <v>124.46511188199077</v>
      </c>
      <c r="I33" s="241">
        <f>Dat_02!G32</f>
        <v>0</v>
      </c>
      <c r="J33" s="251" t="str">
        <f>IF(Dat_02!H32=0,"",Dat_02!H32)</f>
        <v/>
      </c>
    </row>
    <row r="34" spans="2:10">
      <c r="B34" s="239"/>
      <c r="C34" s="238">
        <f>Dat_02!B33</f>
        <v>44227</v>
      </c>
      <c r="D34" s="239"/>
      <c r="E34" s="240">
        <f>Dat_02!C33</f>
        <v>254.47139566889541</v>
      </c>
      <c r="F34" s="240">
        <f>Dat_02!D33</f>
        <v>124.46511188199077</v>
      </c>
      <c r="G34" s="240">
        <f>Dat_02!E33</f>
        <v>124.46511188199077</v>
      </c>
      <c r="I34" s="241">
        <f>Dat_02!G33</f>
        <v>0</v>
      </c>
      <c r="J34" s="251" t="str">
        <f>IF(Dat_02!H33=0,"",Dat_02!H33)</f>
        <v/>
      </c>
    </row>
    <row r="35" spans="2:10">
      <c r="B35" s="237" t="s">
        <v>204</v>
      </c>
      <c r="C35" s="238">
        <f>Dat_02!B34</f>
        <v>44228</v>
      </c>
      <c r="D35" s="239"/>
      <c r="E35" s="240">
        <f>Dat_02!C34</f>
        <v>264.21452582089734</v>
      </c>
      <c r="F35" s="240">
        <f>Dat_02!D34</f>
        <v>125.57183874706618</v>
      </c>
      <c r="G35" s="240">
        <f>Dat_02!E34</f>
        <v>125.57183874706618</v>
      </c>
      <c r="I35" s="241">
        <f>Dat_02!G34</f>
        <v>0</v>
      </c>
      <c r="J35" s="251" t="str">
        <f>IF(Dat_02!H34=0,"",Dat_02!H34)</f>
        <v/>
      </c>
    </row>
    <row r="36" spans="2:10">
      <c r="B36" s="237"/>
      <c r="C36" s="238">
        <f>Dat_02!B35</f>
        <v>44229</v>
      </c>
      <c r="D36" s="239"/>
      <c r="E36" s="240">
        <f>Dat_02!C35</f>
        <v>271.8883815768973</v>
      </c>
      <c r="F36" s="240">
        <f>Dat_02!D35</f>
        <v>125.57183874706618</v>
      </c>
      <c r="G36" s="240">
        <f>Dat_02!E35</f>
        <v>125.57183874706618</v>
      </c>
      <c r="I36" s="241">
        <f>Dat_02!G35</f>
        <v>0</v>
      </c>
      <c r="J36" s="251" t="str">
        <f>IF(Dat_02!H35=0,"",Dat_02!H35)</f>
        <v/>
      </c>
    </row>
    <row r="37" spans="2:10">
      <c r="B37" s="237"/>
      <c r="C37" s="238">
        <f>Dat_02!B36</f>
        <v>44230</v>
      </c>
      <c r="D37" s="237"/>
      <c r="E37" s="240">
        <f>Dat_02!C36</f>
        <v>264.77750888939914</v>
      </c>
      <c r="F37" s="240">
        <f>Dat_02!D36</f>
        <v>125.57183874706618</v>
      </c>
      <c r="G37" s="240">
        <f>Dat_02!E36</f>
        <v>125.57183874706618</v>
      </c>
      <c r="I37" s="241">
        <f>Dat_02!G36</f>
        <v>0</v>
      </c>
      <c r="J37" s="251" t="str">
        <f>IF(Dat_02!H36=0,"",Dat_02!H36)</f>
        <v/>
      </c>
    </row>
    <row r="38" spans="2:10">
      <c r="B38" s="237"/>
      <c r="C38" s="238">
        <f>Dat_02!B37</f>
        <v>44231</v>
      </c>
      <c r="D38" s="237"/>
      <c r="E38" s="240">
        <f>Dat_02!C37</f>
        <v>286.24832100740286</v>
      </c>
      <c r="F38" s="240">
        <f>Dat_02!D37</f>
        <v>125.57183874706618</v>
      </c>
      <c r="G38" s="240">
        <f>Dat_02!E37</f>
        <v>125.57183874706618</v>
      </c>
      <c r="I38" s="241">
        <f>Dat_02!G37</f>
        <v>0</v>
      </c>
      <c r="J38" s="251" t="str">
        <f>IF(Dat_02!H37=0,"",Dat_02!H37)</f>
        <v/>
      </c>
    </row>
    <row r="39" spans="2:10">
      <c r="B39" s="237"/>
      <c r="C39" s="238">
        <f>Dat_02!B38</f>
        <v>44232</v>
      </c>
      <c r="D39" s="237"/>
      <c r="E39" s="240">
        <f>Dat_02!C38</f>
        <v>289.68583658139733</v>
      </c>
      <c r="F39" s="240">
        <f>Dat_02!D38</f>
        <v>125.57183874706618</v>
      </c>
      <c r="G39" s="240">
        <f>Dat_02!E38</f>
        <v>125.57183874706618</v>
      </c>
      <c r="I39" s="241">
        <f>Dat_02!G38</f>
        <v>0</v>
      </c>
      <c r="J39" s="251" t="str">
        <f>IF(Dat_02!H38=0,"",Dat_02!H38)</f>
        <v/>
      </c>
    </row>
    <row r="40" spans="2:10">
      <c r="B40" s="237"/>
      <c r="C40" s="238">
        <f>Dat_02!B39</f>
        <v>44233</v>
      </c>
      <c r="D40" s="237"/>
      <c r="E40" s="240">
        <f>Dat_02!C39</f>
        <v>278.84053050739914</v>
      </c>
      <c r="F40" s="240">
        <f>Dat_02!D39</f>
        <v>125.57183874706618</v>
      </c>
      <c r="G40" s="240">
        <f>Dat_02!E39</f>
        <v>125.57183874706618</v>
      </c>
      <c r="I40" s="241">
        <f>Dat_02!G39</f>
        <v>0</v>
      </c>
      <c r="J40" s="251" t="str">
        <f>IF(Dat_02!H39=0,"",Dat_02!H39)</f>
        <v/>
      </c>
    </row>
    <row r="41" spans="2:10">
      <c r="B41" s="237"/>
      <c r="C41" s="238">
        <f>Dat_02!B40</f>
        <v>44234</v>
      </c>
      <c r="D41" s="237"/>
      <c r="E41" s="240">
        <f>Dat_02!C40</f>
        <v>257.86934344740104</v>
      </c>
      <c r="F41" s="240">
        <f>Dat_02!D40</f>
        <v>125.57183874706618</v>
      </c>
      <c r="G41" s="240">
        <f>Dat_02!E40</f>
        <v>125.57183874706618</v>
      </c>
      <c r="I41" s="241">
        <f>Dat_02!G40</f>
        <v>0</v>
      </c>
      <c r="J41" s="251" t="str">
        <f>IF(Dat_02!H40=0,"",Dat_02!H40)</f>
        <v/>
      </c>
    </row>
    <row r="42" spans="2:10">
      <c r="B42" s="237"/>
      <c r="C42" s="238">
        <f>Dat_02!B41</f>
        <v>44235</v>
      </c>
      <c r="D42" s="237"/>
      <c r="E42" s="240">
        <f>Dat_02!C41</f>
        <v>268.03851418739919</v>
      </c>
      <c r="F42" s="240">
        <f>Dat_02!D41</f>
        <v>125.57183874706618</v>
      </c>
      <c r="G42" s="240">
        <f>Dat_02!E41</f>
        <v>125.57183874706618</v>
      </c>
      <c r="I42" s="241">
        <f>Dat_02!G41</f>
        <v>0</v>
      </c>
      <c r="J42" s="251" t="str">
        <f>IF(Dat_02!H41=0,"",Dat_02!H41)</f>
        <v/>
      </c>
    </row>
    <row r="43" spans="2:10">
      <c r="B43" s="237"/>
      <c r="C43" s="238">
        <f>Dat_02!B42</f>
        <v>44236</v>
      </c>
      <c r="D43" s="237"/>
      <c r="E43" s="240">
        <f>Dat_02!C42</f>
        <v>273.13360594139914</v>
      </c>
      <c r="F43" s="240">
        <f>Dat_02!D42</f>
        <v>125.57183874706618</v>
      </c>
      <c r="G43" s="240">
        <f>Dat_02!E42</f>
        <v>125.57183874706618</v>
      </c>
      <c r="I43" s="241">
        <f>Dat_02!G42</f>
        <v>0</v>
      </c>
      <c r="J43" s="251" t="str">
        <f>IF(Dat_02!H42=0,"",Dat_02!H42)</f>
        <v/>
      </c>
    </row>
    <row r="44" spans="2:10">
      <c r="B44" s="237"/>
      <c r="C44" s="238">
        <f>Dat_02!B43</f>
        <v>44237</v>
      </c>
      <c r="D44" s="237"/>
      <c r="E44" s="240">
        <f>Dat_02!C43</f>
        <v>328.44078269002193</v>
      </c>
      <c r="F44" s="240">
        <f>Dat_02!D43</f>
        <v>125.57183874706618</v>
      </c>
      <c r="G44" s="240">
        <f>Dat_02!E43</f>
        <v>125.57183874706618</v>
      </c>
      <c r="I44" s="241">
        <f>Dat_02!G43</f>
        <v>0</v>
      </c>
      <c r="J44" s="251" t="str">
        <f>IF(Dat_02!H43=0,"",Dat_02!H43)</f>
        <v/>
      </c>
    </row>
    <row r="45" spans="2:10">
      <c r="B45" s="237"/>
      <c r="C45" s="238">
        <f>Dat_02!B44</f>
        <v>44238</v>
      </c>
      <c r="D45" s="237"/>
      <c r="E45" s="240">
        <f>Dat_02!C44</f>
        <v>338.51009790801822</v>
      </c>
      <c r="F45" s="240">
        <f>Dat_02!D44</f>
        <v>125.57183874706618</v>
      </c>
      <c r="G45" s="240">
        <f>Dat_02!E44</f>
        <v>125.57183874706618</v>
      </c>
      <c r="I45" s="241">
        <f>Dat_02!G44</f>
        <v>0</v>
      </c>
      <c r="J45" s="251" t="str">
        <f>IF(Dat_02!H44=0,"",Dat_02!H44)</f>
        <v/>
      </c>
    </row>
    <row r="46" spans="2:10">
      <c r="B46" s="237"/>
      <c r="C46" s="238">
        <f>Dat_02!B45</f>
        <v>44239</v>
      </c>
      <c r="D46" s="237"/>
      <c r="E46" s="240">
        <f>Dat_02!C45</f>
        <v>330.25560903802005</v>
      </c>
      <c r="F46" s="240">
        <f>Dat_02!D45</f>
        <v>125.57183874706618</v>
      </c>
      <c r="G46" s="240">
        <f>Dat_02!E45</f>
        <v>125.57183874706618</v>
      </c>
      <c r="I46" s="241">
        <f>Dat_02!G45</f>
        <v>0</v>
      </c>
      <c r="J46" s="251" t="str">
        <f>IF(Dat_02!H45=0,"",Dat_02!H45)</f>
        <v/>
      </c>
    </row>
    <row r="47" spans="2:10">
      <c r="B47" s="237"/>
      <c r="C47" s="238">
        <f>Dat_02!B46</f>
        <v>44240</v>
      </c>
      <c r="D47" s="237"/>
      <c r="E47" s="240">
        <f>Dat_02!C46</f>
        <v>329.28507639802189</v>
      </c>
      <c r="F47" s="240">
        <f>Dat_02!D46</f>
        <v>125.57183874706618</v>
      </c>
      <c r="G47" s="240">
        <f>Dat_02!E46</f>
        <v>125.57183874706618</v>
      </c>
      <c r="I47" s="241">
        <f>Dat_02!G46</f>
        <v>0</v>
      </c>
      <c r="J47" s="251" t="str">
        <f>IF(Dat_02!H46=0,"",Dat_02!H46)</f>
        <v/>
      </c>
    </row>
    <row r="48" spans="2:10">
      <c r="B48" s="237"/>
      <c r="C48" s="238">
        <f>Dat_02!B47</f>
        <v>44241</v>
      </c>
      <c r="D48" s="237"/>
      <c r="E48" s="240">
        <f>Dat_02!C47</f>
        <v>318.35546310201823</v>
      </c>
      <c r="F48" s="240">
        <f>Dat_02!D47</f>
        <v>125.57183874706618</v>
      </c>
      <c r="G48" s="240">
        <f>Dat_02!E47</f>
        <v>125.57183874706618</v>
      </c>
      <c r="I48" s="241">
        <f>Dat_02!G47</f>
        <v>0</v>
      </c>
      <c r="J48" s="251" t="str">
        <f>IF(Dat_02!H47=0,"",Dat_02!H47)</f>
        <v/>
      </c>
    </row>
    <row r="49" spans="2:10">
      <c r="B49" s="237"/>
      <c r="C49" s="238">
        <f>Dat_02!B48</f>
        <v>44242</v>
      </c>
      <c r="D49" s="237"/>
      <c r="E49" s="240">
        <f>Dat_02!C48</f>
        <v>312.81087380202382</v>
      </c>
      <c r="F49" s="240">
        <f>Dat_02!D48</f>
        <v>125.57183874706618</v>
      </c>
      <c r="G49" s="240">
        <f>Dat_02!E48</f>
        <v>125.57183874706618</v>
      </c>
      <c r="I49" s="241">
        <f>Dat_02!G48</f>
        <v>125.57183874706618</v>
      </c>
      <c r="J49" s="251" t="str">
        <f>IF(Dat_02!H48=0,"",Dat_02!H48)</f>
        <v/>
      </c>
    </row>
    <row r="50" spans="2:10">
      <c r="B50" s="237"/>
      <c r="C50" s="238">
        <f>Dat_02!B49</f>
        <v>44243</v>
      </c>
      <c r="D50" s="237"/>
      <c r="E50" s="240">
        <f>Dat_02!C49</f>
        <v>324.41229373601823</v>
      </c>
      <c r="F50" s="240">
        <f>Dat_02!D49</f>
        <v>125.57183874706618</v>
      </c>
      <c r="G50" s="240">
        <f>Dat_02!E49</f>
        <v>125.57183874706618</v>
      </c>
      <c r="I50" s="241">
        <f>Dat_02!G49</f>
        <v>0</v>
      </c>
      <c r="J50" s="251" t="str">
        <f>IF(Dat_02!H49=0,"",Dat_02!H49)</f>
        <v/>
      </c>
    </row>
    <row r="51" spans="2:10">
      <c r="B51" s="237"/>
      <c r="C51" s="238">
        <f>Dat_02!B50</f>
        <v>44244</v>
      </c>
      <c r="D51" s="237"/>
      <c r="E51" s="240">
        <f>Dat_02!C50</f>
        <v>252.2720333414799</v>
      </c>
      <c r="F51" s="240">
        <f>Dat_02!D50</f>
        <v>125.57183874706618</v>
      </c>
      <c r="G51" s="240">
        <f>Dat_02!E50</f>
        <v>125.57183874706618</v>
      </c>
      <c r="I51" s="241">
        <f>Dat_02!G50</f>
        <v>0</v>
      </c>
      <c r="J51" s="251" t="str">
        <f>IF(Dat_02!H50=0,"",Dat_02!H50)</f>
        <v/>
      </c>
    </row>
    <row r="52" spans="2:10">
      <c r="B52" s="237"/>
      <c r="C52" s="238">
        <f>Dat_02!B51</f>
        <v>44245</v>
      </c>
      <c r="D52" s="237"/>
      <c r="E52" s="240">
        <f>Dat_02!C51</f>
        <v>250.65055446548178</v>
      </c>
      <c r="F52" s="240">
        <f>Dat_02!D51</f>
        <v>125.57183874706618</v>
      </c>
      <c r="G52" s="240">
        <f>Dat_02!E51</f>
        <v>125.57183874706618</v>
      </c>
      <c r="I52" s="241">
        <f>Dat_02!G51</f>
        <v>0</v>
      </c>
      <c r="J52" s="251" t="str">
        <f>IF(Dat_02!H51=0,"",Dat_02!H51)</f>
        <v/>
      </c>
    </row>
    <row r="53" spans="2:10">
      <c r="B53" s="237"/>
      <c r="C53" s="238">
        <f>Dat_02!B52</f>
        <v>44246</v>
      </c>
      <c r="D53" s="237"/>
      <c r="E53" s="240">
        <f>Dat_02!C52</f>
        <v>245.1453820234799</v>
      </c>
      <c r="F53" s="240">
        <f>Dat_02!D52</f>
        <v>125.57183874706618</v>
      </c>
      <c r="G53" s="240">
        <f>Dat_02!E52</f>
        <v>125.57183874706618</v>
      </c>
      <c r="I53" s="241">
        <f>Dat_02!G52</f>
        <v>0</v>
      </c>
      <c r="J53" s="251" t="str">
        <f>IF(Dat_02!H52=0,"",Dat_02!H52)</f>
        <v/>
      </c>
    </row>
    <row r="54" spans="2:10">
      <c r="B54" s="237"/>
      <c r="C54" s="238">
        <f>Dat_02!B53</f>
        <v>44247</v>
      </c>
      <c r="D54" s="237"/>
      <c r="E54" s="240">
        <f>Dat_02!C53</f>
        <v>229.51409113947807</v>
      </c>
      <c r="F54" s="240">
        <f>Dat_02!D53</f>
        <v>125.57183874706618</v>
      </c>
      <c r="G54" s="240">
        <f>Dat_02!E53</f>
        <v>125.57183874706618</v>
      </c>
      <c r="I54" s="241">
        <f>Dat_02!G53</f>
        <v>0</v>
      </c>
      <c r="J54" s="251" t="str">
        <f>IF(Dat_02!H53=0,"",Dat_02!H53)</f>
        <v/>
      </c>
    </row>
    <row r="55" spans="2:10">
      <c r="B55" s="237"/>
      <c r="C55" s="238">
        <f>Dat_02!B54</f>
        <v>44248</v>
      </c>
      <c r="D55" s="237"/>
      <c r="E55" s="240">
        <f>Dat_02!C54</f>
        <v>231.68638140947991</v>
      </c>
      <c r="F55" s="240">
        <f>Dat_02!D54</f>
        <v>125.57183874706618</v>
      </c>
      <c r="G55" s="240">
        <f>Dat_02!E54</f>
        <v>125.57183874706618</v>
      </c>
      <c r="I55" s="241">
        <f>Dat_02!G54</f>
        <v>0</v>
      </c>
      <c r="J55" s="251" t="str">
        <f>IF(Dat_02!H54=0,"",Dat_02!H54)</f>
        <v/>
      </c>
    </row>
    <row r="56" spans="2:10">
      <c r="B56" s="237"/>
      <c r="C56" s="238">
        <f>Dat_02!B55</f>
        <v>44249</v>
      </c>
      <c r="D56" s="237"/>
      <c r="E56" s="240">
        <f>Dat_02!C55</f>
        <v>256.02700607347992</v>
      </c>
      <c r="F56" s="240">
        <f>Dat_02!D55</f>
        <v>125.57183874706618</v>
      </c>
      <c r="G56" s="240">
        <f>Dat_02!E55</f>
        <v>125.57183874706618</v>
      </c>
      <c r="I56" s="241">
        <f>Dat_02!G55</f>
        <v>0</v>
      </c>
      <c r="J56" s="251" t="str">
        <f>IF(Dat_02!H55=0,"",Dat_02!H55)</f>
        <v/>
      </c>
    </row>
    <row r="57" spans="2:10">
      <c r="B57" s="237"/>
      <c r="C57" s="238">
        <f>Dat_02!B56</f>
        <v>44250</v>
      </c>
      <c r="D57" s="237"/>
      <c r="E57" s="240">
        <f>Dat_02!C56</f>
        <v>251.39888980148362</v>
      </c>
      <c r="F57" s="240">
        <f>Dat_02!D56</f>
        <v>125.57183874706618</v>
      </c>
      <c r="G57" s="240">
        <f>Dat_02!E56</f>
        <v>125.57183874706618</v>
      </c>
      <c r="I57" s="241">
        <f>Dat_02!G56</f>
        <v>0</v>
      </c>
      <c r="J57" s="251" t="str">
        <f>IF(Dat_02!H56=0,"",Dat_02!H56)</f>
        <v/>
      </c>
    </row>
    <row r="58" spans="2:10">
      <c r="B58" s="237"/>
      <c r="C58" s="238">
        <f>Dat_02!B57</f>
        <v>44251</v>
      </c>
      <c r="D58" s="237"/>
      <c r="E58" s="240">
        <f>Dat_02!C57</f>
        <v>198.81831994217782</v>
      </c>
      <c r="F58" s="240">
        <f>Dat_02!D57</f>
        <v>125.57183874706618</v>
      </c>
      <c r="G58" s="240">
        <f>Dat_02!E57</f>
        <v>125.57183874706618</v>
      </c>
      <c r="I58" s="241">
        <f>Dat_02!G57</f>
        <v>0</v>
      </c>
      <c r="J58" s="251" t="str">
        <f>IF(Dat_02!H57=0,"",Dat_02!H57)</f>
        <v/>
      </c>
    </row>
    <row r="59" spans="2:10">
      <c r="B59" s="237"/>
      <c r="C59" s="238">
        <f>Dat_02!B58</f>
        <v>44252</v>
      </c>
      <c r="D59" s="237"/>
      <c r="E59" s="240">
        <f>Dat_02!C58</f>
        <v>215.0682341041834</v>
      </c>
      <c r="F59" s="240">
        <f>Dat_02!D58</f>
        <v>125.57183874706618</v>
      </c>
      <c r="G59" s="240">
        <f>Dat_02!E58</f>
        <v>125.57183874706618</v>
      </c>
      <c r="I59" s="241">
        <f>Dat_02!G58</f>
        <v>0</v>
      </c>
      <c r="J59" s="251" t="str">
        <f>IF(Dat_02!H58=0,"",Dat_02!H58)</f>
        <v/>
      </c>
    </row>
    <row r="60" spans="2:10">
      <c r="B60" s="237"/>
      <c r="C60" s="238">
        <f>Dat_02!B59</f>
        <v>44253</v>
      </c>
      <c r="D60" s="237"/>
      <c r="E60" s="240">
        <f>Dat_02!C59</f>
        <v>213.26360656817971</v>
      </c>
      <c r="F60" s="240">
        <f>Dat_02!D59</f>
        <v>125.57183874706618</v>
      </c>
      <c r="G60" s="240">
        <f>Dat_02!E59</f>
        <v>125.57183874706618</v>
      </c>
      <c r="I60" s="241">
        <f>Dat_02!G59</f>
        <v>0</v>
      </c>
      <c r="J60" s="251" t="str">
        <f>IF(Dat_02!H59=0,"",Dat_02!H59)</f>
        <v/>
      </c>
    </row>
    <row r="61" spans="2:10">
      <c r="B61" s="237"/>
      <c r="C61" s="238">
        <f>Dat_02!B60</f>
        <v>44254</v>
      </c>
      <c r="D61" s="237"/>
      <c r="E61" s="240">
        <f>Dat_02!C60</f>
        <v>180.82028814617971</v>
      </c>
      <c r="F61" s="240">
        <f>Dat_02!D60</f>
        <v>125.57183874706618</v>
      </c>
      <c r="G61" s="240">
        <f>Dat_02!E60</f>
        <v>125.57183874706618</v>
      </c>
      <c r="I61" s="241">
        <f>Dat_02!G60</f>
        <v>0</v>
      </c>
      <c r="J61" s="251" t="str">
        <f>IF(Dat_02!H60=0,"",Dat_02!H60)</f>
        <v/>
      </c>
    </row>
    <row r="62" spans="2:10">
      <c r="B62" s="237"/>
      <c r="C62" s="238">
        <f>Dat_02!B61</f>
        <v>44255</v>
      </c>
      <c r="D62" s="237"/>
      <c r="E62" s="240">
        <f>Dat_02!C61</f>
        <v>158.90246914818343</v>
      </c>
      <c r="F62" s="240">
        <f>Dat_02!D61</f>
        <v>125.57183874706618</v>
      </c>
      <c r="G62" s="240">
        <f>Dat_02!E61</f>
        <v>125.57183874706618</v>
      </c>
      <c r="I62" s="241">
        <f>Dat_02!G61</f>
        <v>0</v>
      </c>
      <c r="J62" s="251" t="str">
        <f>IF(Dat_02!H61=0,"",Dat_02!H61)</f>
        <v/>
      </c>
    </row>
    <row r="63" spans="2:10">
      <c r="B63" s="237" t="s">
        <v>205</v>
      </c>
      <c r="C63" s="238">
        <f>Dat_02!B62</f>
        <v>44256</v>
      </c>
      <c r="D63" s="237"/>
      <c r="E63" s="240">
        <f>Dat_02!C62</f>
        <v>180.44046921617971</v>
      </c>
      <c r="F63" s="240">
        <f>Dat_02!D62</f>
        <v>136.7399554485423</v>
      </c>
      <c r="G63" s="240">
        <f>Dat_02!E62</f>
        <v>136.7399554485423</v>
      </c>
      <c r="I63" s="241">
        <f>Dat_02!G62</f>
        <v>0</v>
      </c>
      <c r="J63" s="251" t="str">
        <f>IF(Dat_02!H62=0,"",Dat_02!H62)</f>
        <v/>
      </c>
    </row>
    <row r="64" spans="2:10">
      <c r="B64" s="239"/>
      <c r="C64" s="238">
        <f>Dat_02!B63</f>
        <v>44257</v>
      </c>
      <c r="D64" s="237"/>
      <c r="E64" s="240">
        <f>Dat_02!C63</f>
        <v>201.88812913417783</v>
      </c>
      <c r="F64" s="240">
        <f>Dat_02!D63</f>
        <v>136.7399554485423</v>
      </c>
      <c r="G64" s="240">
        <f>Dat_02!E63</f>
        <v>136.7399554485423</v>
      </c>
      <c r="I64" s="241">
        <f>Dat_02!G63</f>
        <v>0</v>
      </c>
      <c r="J64" s="251" t="str">
        <f>IF(Dat_02!H63=0,"",Dat_02!H63)</f>
        <v/>
      </c>
    </row>
    <row r="65" spans="2:10">
      <c r="B65" s="239"/>
      <c r="C65" s="238">
        <f>Dat_02!B64</f>
        <v>44258</v>
      </c>
      <c r="D65" s="239"/>
      <c r="E65" s="240">
        <f>Dat_02!C64</f>
        <v>170.96450658492193</v>
      </c>
      <c r="F65" s="240">
        <f>Dat_02!D64</f>
        <v>136.7399554485423</v>
      </c>
      <c r="G65" s="240">
        <f>Dat_02!E64</f>
        <v>136.7399554485423</v>
      </c>
      <c r="I65" s="241">
        <f>Dat_02!G64</f>
        <v>0</v>
      </c>
      <c r="J65" s="251" t="str">
        <f>IF(Dat_02!H64=0,"",Dat_02!H64)</f>
        <v/>
      </c>
    </row>
    <row r="66" spans="2:10">
      <c r="B66" s="239"/>
      <c r="C66" s="238">
        <f>Dat_02!B65</f>
        <v>44259</v>
      </c>
      <c r="D66" s="239"/>
      <c r="E66" s="240">
        <f>Dat_02!C65</f>
        <v>157.95344540092009</v>
      </c>
      <c r="F66" s="240">
        <f>Dat_02!D65</f>
        <v>136.7399554485423</v>
      </c>
      <c r="G66" s="240">
        <f>Dat_02!E65</f>
        <v>136.7399554485423</v>
      </c>
      <c r="I66" s="241">
        <f>Dat_02!G65</f>
        <v>0</v>
      </c>
      <c r="J66" s="251" t="str">
        <f>IF(Dat_02!H65=0,"",Dat_02!H65)</f>
        <v/>
      </c>
    </row>
    <row r="67" spans="2:10">
      <c r="B67" s="237"/>
      <c r="C67" s="238">
        <f>Dat_02!B66</f>
        <v>44260</v>
      </c>
      <c r="D67" s="237"/>
      <c r="E67" s="240">
        <f>Dat_02!C66</f>
        <v>146.90218992091823</v>
      </c>
      <c r="F67" s="240">
        <f>Dat_02!D66</f>
        <v>136.7399554485423</v>
      </c>
      <c r="G67" s="240">
        <f>Dat_02!E66</f>
        <v>136.7399554485423</v>
      </c>
      <c r="I67" s="241">
        <f>Dat_02!G66</f>
        <v>0</v>
      </c>
      <c r="J67" s="251" t="str">
        <f>IF(Dat_02!H66=0,"",Dat_02!H66)</f>
        <v/>
      </c>
    </row>
    <row r="68" spans="2:10">
      <c r="B68" s="237"/>
      <c r="C68" s="238">
        <f>Dat_02!B67</f>
        <v>44261</v>
      </c>
      <c r="D68" s="237"/>
      <c r="E68" s="240">
        <f>Dat_02!C67</f>
        <v>129.03140171292009</v>
      </c>
      <c r="F68" s="240">
        <f>Dat_02!D67</f>
        <v>136.7399554485423</v>
      </c>
      <c r="G68" s="240">
        <f>Dat_02!E67</f>
        <v>129.03140171292009</v>
      </c>
      <c r="I68" s="241">
        <f>Dat_02!G67</f>
        <v>0</v>
      </c>
      <c r="J68" s="251" t="str">
        <f>IF(Dat_02!H67=0,"",Dat_02!H67)</f>
        <v/>
      </c>
    </row>
    <row r="69" spans="2:10">
      <c r="B69" s="237"/>
      <c r="C69" s="238">
        <f>Dat_02!B68</f>
        <v>44262</v>
      </c>
      <c r="D69" s="237"/>
      <c r="E69" s="240">
        <f>Dat_02!C68</f>
        <v>122.20862098892007</v>
      </c>
      <c r="F69" s="240">
        <f>Dat_02!D68</f>
        <v>136.7399554485423</v>
      </c>
      <c r="G69" s="240">
        <f>Dat_02!E68</f>
        <v>122.20862098892007</v>
      </c>
      <c r="I69" s="241">
        <f>Dat_02!G68</f>
        <v>0</v>
      </c>
      <c r="J69" s="251" t="str">
        <f>IF(Dat_02!H68=0,"",Dat_02!H68)</f>
        <v/>
      </c>
    </row>
    <row r="70" spans="2:10">
      <c r="B70" s="237"/>
      <c r="C70" s="238">
        <f>Dat_02!B69</f>
        <v>44263</v>
      </c>
      <c r="D70" s="237"/>
      <c r="E70" s="240">
        <f>Dat_02!C69</f>
        <v>153.32061997692009</v>
      </c>
      <c r="F70" s="240">
        <f>Dat_02!D69</f>
        <v>136.7399554485423</v>
      </c>
      <c r="G70" s="240">
        <f>Dat_02!E69</f>
        <v>136.7399554485423</v>
      </c>
      <c r="I70" s="241">
        <f>Dat_02!G69</f>
        <v>0</v>
      </c>
      <c r="J70" s="251" t="str">
        <f>IF(Dat_02!H69=0,"",Dat_02!H69)</f>
        <v/>
      </c>
    </row>
    <row r="71" spans="2:10">
      <c r="B71" s="237"/>
      <c r="C71" s="238">
        <f>Dat_02!B70</f>
        <v>44264</v>
      </c>
      <c r="D71" s="237"/>
      <c r="E71" s="240">
        <f>Dat_02!C70</f>
        <v>149.23340450492009</v>
      </c>
      <c r="F71" s="240">
        <f>Dat_02!D70</f>
        <v>136.7399554485423</v>
      </c>
      <c r="G71" s="240">
        <f>Dat_02!E70</f>
        <v>136.7399554485423</v>
      </c>
      <c r="I71" s="241">
        <f>Dat_02!G70</f>
        <v>0</v>
      </c>
      <c r="J71" s="251" t="str">
        <f>IF(Dat_02!H70=0,"",Dat_02!H70)</f>
        <v/>
      </c>
    </row>
    <row r="72" spans="2:10">
      <c r="B72" s="237"/>
      <c r="C72" s="238">
        <f>Dat_02!B71</f>
        <v>44265</v>
      </c>
      <c r="D72" s="237"/>
      <c r="E72" s="240">
        <f>Dat_02!C71</f>
        <v>129.11765964011255</v>
      </c>
      <c r="F72" s="240">
        <f>Dat_02!D71</f>
        <v>136.7399554485423</v>
      </c>
      <c r="G72" s="240">
        <f>Dat_02!E71</f>
        <v>129.11765964011255</v>
      </c>
      <c r="I72" s="241">
        <f>Dat_02!G71</f>
        <v>0</v>
      </c>
      <c r="J72" s="251" t="str">
        <f>IF(Dat_02!H71=0,"",Dat_02!H71)</f>
        <v/>
      </c>
    </row>
    <row r="73" spans="2:10">
      <c r="B73" s="237"/>
      <c r="C73" s="238">
        <f>Dat_02!B72</f>
        <v>44266</v>
      </c>
      <c r="D73" s="237"/>
      <c r="E73" s="240">
        <f>Dat_02!C72</f>
        <v>101.24274598610882</v>
      </c>
      <c r="F73" s="240">
        <f>Dat_02!D72</f>
        <v>136.7399554485423</v>
      </c>
      <c r="G73" s="240">
        <f>Dat_02!E72</f>
        <v>101.24274598610882</v>
      </c>
      <c r="I73" s="241">
        <f>Dat_02!G72</f>
        <v>0</v>
      </c>
      <c r="J73" s="251" t="str">
        <f>IF(Dat_02!H72=0,"",Dat_02!H72)</f>
        <v/>
      </c>
    </row>
    <row r="74" spans="2:10">
      <c r="B74" s="237"/>
      <c r="C74" s="238">
        <f>Dat_02!B73</f>
        <v>44267</v>
      </c>
      <c r="D74" s="237"/>
      <c r="E74" s="240">
        <f>Dat_02!C73</f>
        <v>100.59386583211254</v>
      </c>
      <c r="F74" s="240">
        <f>Dat_02!D73</f>
        <v>136.7399554485423</v>
      </c>
      <c r="G74" s="240">
        <f>Dat_02!E73</f>
        <v>100.59386583211254</v>
      </c>
      <c r="I74" s="241">
        <f>Dat_02!G73</f>
        <v>0</v>
      </c>
      <c r="J74" s="251" t="str">
        <f>IF(Dat_02!H73=0,"",Dat_02!H73)</f>
        <v/>
      </c>
    </row>
    <row r="75" spans="2:10">
      <c r="B75" s="237"/>
      <c r="C75" s="238">
        <f>Dat_02!B74</f>
        <v>44268</v>
      </c>
      <c r="D75" s="237"/>
      <c r="E75" s="240">
        <f>Dat_02!C74</f>
        <v>72.327119336108822</v>
      </c>
      <c r="F75" s="240">
        <f>Dat_02!D74</f>
        <v>136.7399554485423</v>
      </c>
      <c r="G75" s="240">
        <f>Dat_02!E74</f>
        <v>72.327119336108822</v>
      </c>
      <c r="I75" s="241">
        <f>Dat_02!G74</f>
        <v>0</v>
      </c>
      <c r="J75" s="251" t="str">
        <f>IF(Dat_02!H74=0,"",Dat_02!H74)</f>
        <v/>
      </c>
    </row>
    <row r="76" spans="2:10">
      <c r="B76" s="237"/>
      <c r="C76" s="238">
        <f>Dat_02!B75</f>
        <v>44269</v>
      </c>
      <c r="D76" s="237"/>
      <c r="E76" s="240">
        <f>Dat_02!C75</f>
        <v>68.551170946110673</v>
      </c>
      <c r="F76" s="240">
        <f>Dat_02!D75</f>
        <v>136.7399554485423</v>
      </c>
      <c r="G76" s="240">
        <f>Dat_02!E75</f>
        <v>68.551170946110673</v>
      </c>
      <c r="I76" s="241">
        <f>Dat_02!G75</f>
        <v>0</v>
      </c>
      <c r="J76" s="251" t="str">
        <f>IF(Dat_02!H75=0,"",Dat_02!H75)</f>
        <v/>
      </c>
    </row>
    <row r="77" spans="2:10">
      <c r="B77" s="237"/>
      <c r="C77" s="238">
        <f>Dat_02!B76</f>
        <v>44270</v>
      </c>
      <c r="D77" s="237"/>
      <c r="E77" s="240">
        <f>Dat_02!C76</f>
        <v>105.40515978611255</v>
      </c>
      <c r="F77" s="240">
        <f>Dat_02!D76</f>
        <v>136.7399554485423</v>
      </c>
      <c r="G77" s="240">
        <f>Dat_02!E76</f>
        <v>105.40515978611255</v>
      </c>
      <c r="I77" s="241">
        <f>Dat_02!G76</f>
        <v>136.7399554485423</v>
      </c>
      <c r="J77" s="251" t="str">
        <f>IF(Dat_02!H76=0,"",Dat_02!H76)</f>
        <v/>
      </c>
    </row>
    <row r="78" spans="2:10">
      <c r="B78" s="237"/>
      <c r="C78" s="238">
        <f>Dat_02!B77</f>
        <v>44271</v>
      </c>
      <c r="D78" s="237"/>
      <c r="E78" s="240">
        <f>Dat_02!C77</f>
        <v>84.462778064108818</v>
      </c>
      <c r="F78" s="240">
        <f>Dat_02!D77</f>
        <v>136.7399554485423</v>
      </c>
      <c r="G78" s="240">
        <f>Dat_02!E77</f>
        <v>84.462778064108818</v>
      </c>
      <c r="I78" s="241">
        <f>Dat_02!G77</f>
        <v>0</v>
      </c>
      <c r="J78" s="251" t="str">
        <f>IF(Dat_02!H77=0,"",Dat_02!H77)</f>
        <v/>
      </c>
    </row>
    <row r="79" spans="2:10">
      <c r="B79" s="237"/>
      <c r="C79" s="238">
        <f>Dat_02!B78</f>
        <v>44272</v>
      </c>
      <c r="D79" s="237"/>
      <c r="E79" s="240">
        <f>Dat_02!C78</f>
        <v>78.694627249169685</v>
      </c>
      <c r="F79" s="240">
        <f>Dat_02!D78</f>
        <v>136.7399554485423</v>
      </c>
      <c r="G79" s="240">
        <f>Dat_02!E78</f>
        <v>78.694627249169685</v>
      </c>
      <c r="I79" s="241">
        <f>Dat_02!G78</f>
        <v>0</v>
      </c>
      <c r="J79" s="251" t="str">
        <f>IF(Dat_02!H78=0,"",Dat_02!H78)</f>
        <v/>
      </c>
    </row>
    <row r="80" spans="2:10">
      <c r="B80" s="237"/>
      <c r="C80" s="238">
        <f>Dat_02!B79</f>
        <v>44273</v>
      </c>
      <c r="D80" s="237"/>
      <c r="E80" s="240">
        <f>Dat_02!C79</f>
        <v>91.903880105165968</v>
      </c>
      <c r="F80" s="240">
        <f>Dat_02!D79</f>
        <v>136.7399554485423</v>
      </c>
      <c r="G80" s="240">
        <f>Dat_02!E79</f>
        <v>91.903880105165968</v>
      </c>
      <c r="I80" s="241">
        <f>Dat_02!G79</f>
        <v>0</v>
      </c>
      <c r="J80" s="251" t="str">
        <f>IF(Dat_02!H79=0,"",Dat_02!H79)</f>
        <v/>
      </c>
    </row>
    <row r="81" spans="2:10">
      <c r="B81" s="237"/>
      <c r="C81" s="238">
        <f>Dat_02!B80</f>
        <v>44274</v>
      </c>
      <c r="D81" s="237"/>
      <c r="E81" s="240">
        <f>Dat_02!C80</f>
        <v>86.793806863165969</v>
      </c>
      <c r="F81" s="240">
        <f>Dat_02!D80</f>
        <v>136.7399554485423</v>
      </c>
      <c r="G81" s="240">
        <f>Dat_02!E80</f>
        <v>86.793806863165969</v>
      </c>
      <c r="I81" s="241">
        <f>Dat_02!G80</f>
        <v>0</v>
      </c>
      <c r="J81" s="251" t="str">
        <f>IF(Dat_02!H80=0,"",Dat_02!H80)</f>
        <v/>
      </c>
    </row>
    <row r="82" spans="2:10">
      <c r="B82" s="237"/>
      <c r="C82" s="238">
        <f>Dat_02!B81</f>
        <v>44275</v>
      </c>
      <c r="D82" s="237"/>
      <c r="E82" s="240">
        <f>Dat_02!C81</f>
        <v>43.181008023169689</v>
      </c>
      <c r="F82" s="240">
        <f>Dat_02!D81</f>
        <v>136.7399554485423</v>
      </c>
      <c r="G82" s="240">
        <f>Dat_02!E81</f>
        <v>43.181008023169689</v>
      </c>
      <c r="I82" s="241">
        <f>Dat_02!G81</f>
        <v>0</v>
      </c>
      <c r="J82" s="251" t="str">
        <f>IF(Dat_02!H81=0,"",Dat_02!H81)</f>
        <v/>
      </c>
    </row>
    <row r="83" spans="2:10">
      <c r="B83" s="237"/>
      <c r="C83" s="238">
        <f>Dat_02!B82</f>
        <v>44276</v>
      </c>
      <c r="D83" s="237"/>
      <c r="E83" s="240">
        <f>Dat_02!C82</f>
        <v>48.583970891164107</v>
      </c>
      <c r="F83" s="240">
        <f>Dat_02!D82</f>
        <v>136.7399554485423</v>
      </c>
      <c r="G83" s="240">
        <f>Dat_02!E82</f>
        <v>48.583970891164107</v>
      </c>
      <c r="I83" s="241">
        <f>Dat_02!G82</f>
        <v>0</v>
      </c>
      <c r="J83" s="251" t="str">
        <f>IF(Dat_02!H82=0,"",Dat_02!H82)</f>
        <v/>
      </c>
    </row>
    <row r="84" spans="2:10">
      <c r="B84" s="237"/>
      <c r="C84" s="238">
        <f>Dat_02!B83</f>
        <v>44277</v>
      </c>
      <c r="D84" s="237"/>
      <c r="E84" s="240">
        <f>Dat_02!C83</f>
        <v>100.21419246116783</v>
      </c>
      <c r="F84" s="240">
        <f>Dat_02!D83</f>
        <v>136.7399554485423</v>
      </c>
      <c r="G84" s="240">
        <f>Dat_02!E83</f>
        <v>100.21419246116783</v>
      </c>
      <c r="I84" s="241">
        <f>Dat_02!G83</f>
        <v>0</v>
      </c>
      <c r="J84" s="251" t="str">
        <f>IF(Dat_02!H83=0,"",Dat_02!H83)</f>
        <v/>
      </c>
    </row>
    <row r="85" spans="2:10">
      <c r="B85" s="237"/>
      <c r="C85" s="238">
        <f>Dat_02!B84</f>
        <v>44278</v>
      </c>
      <c r="D85" s="237"/>
      <c r="E85" s="240">
        <f>Dat_02!C84</f>
        <v>123.68496788916784</v>
      </c>
      <c r="F85" s="240">
        <f>Dat_02!D84</f>
        <v>136.7399554485423</v>
      </c>
      <c r="G85" s="240">
        <f>Dat_02!E84</f>
        <v>123.68496788916784</v>
      </c>
      <c r="I85" s="241">
        <f>Dat_02!G84</f>
        <v>0</v>
      </c>
      <c r="J85" s="251" t="str">
        <f>IF(Dat_02!H84=0,"",Dat_02!H84)</f>
        <v/>
      </c>
    </row>
    <row r="86" spans="2:10">
      <c r="B86" s="237"/>
      <c r="C86" s="238">
        <f>Dat_02!B85</f>
        <v>44279</v>
      </c>
      <c r="D86" s="237"/>
      <c r="E86" s="240">
        <f>Dat_02!C85</f>
        <v>101.77382673701705</v>
      </c>
      <c r="F86" s="240">
        <f>Dat_02!D85</f>
        <v>136.7399554485423</v>
      </c>
      <c r="G86" s="240">
        <f>Dat_02!E85</f>
        <v>101.77382673701705</v>
      </c>
      <c r="I86" s="241">
        <f>Dat_02!G85</f>
        <v>0</v>
      </c>
      <c r="J86" s="251" t="str">
        <f>IF(Dat_02!H85=0,"",Dat_02!H85)</f>
        <v/>
      </c>
    </row>
    <row r="87" spans="2:10">
      <c r="B87" s="237"/>
      <c r="C87" s="238">
        <f>Dat_02!B86</f>
        <v>44280</v>
      </c>
      <c r="D87" s="237"/>
      <c r="E87" s="240">
        <f>Dat_02!C86</f>
        <v>101.07529431301704</v>
      </c>
      <c r="F87" s="240">
        <f>Dat_02!D86</f>
        <v>136.7399554485423</v>
      </c>
      <c r="G87" s="240">
        <f>Dat_02!E86</f>
        <v>101.07529431301704</v>
      </c>
      <c r="I87" s="241">
        <f>Dat_02!G86</f>
        <v>0</v>
      </c>
      <c r="J87" s="251" t="str">
        <f>IF(Dat_02!H86=0,"",Dat_02!H86)</f>
        <v/>
      </c>
    </row>
    <row r="88" spans="2:10">
      <c r="B88" s="237"/>
      <c r="C88" s="238">
        <f>Dat_02!B87</f>
        <v>44281</v>
      </c>
      <c r="D88" s="237"/>
      <c r="E88" s="240">
        <f>Dat_02!C87</f>
        <v>86.702990501018917</v>
      </c>
      <c r="F88" s="240">
        <f>Dat_02!D87</f>
        <v>136.7399554485423</v>
      </c>
      <c r="G88" s="240">
        <f>Dat_02!E87</f>
        <v>86.702990501018917</v>
      </c>
      <c r="I88" s="241">
        <f>Dat_02!G87</f>
        <v>0</v>
      </c>
      <c r="J88" s="251" t="str">
        <f>IF(Dat_02!H87=0,"",Dat_02!H87)</f>
        <v/>
      </c>
    </row>
    <row r="89" spans="2:10">
      <c r="B89" s="237"/>
      <c r="C89" s="238">
        <f>Dat_02!B88</f>
        <v>44282</v>
      </c>
      <c r="D89" s="237"/>
      <c r="E89" s="240">
        <f>Dat_02!C88</f>
        <v>52.272516185018915</v>
      </c>
      <c r="F89" s="240">
        <f>Dat_02!D88</f>
        <v>136.7399554485423</v>
      </c>
      <c r="G89" s="240">
        <f>Dat_02!E88</f>
        <v>52.272516185018915</v>
      </c>
      <c r="I89" s="241">
        <f>Dat_02!G88</f>
        <v>0</v>
      </c>
      <c r="J89" s="251" t="str">
        <f>IF(Dat_02!H88=0,"",Dat_02!H88)</f>
        <v/>
      </c>
    </row>
    <row r="90" spans="2:10">
      <c r="B90" s="237"/>
      <c r="C90" s="238">
        <f>Dat_02!B89</f>
        <v>44283</v>
      </c>
      <c r="D90" s="237"/>
      <c r="E90" s="240">
        <f>Dat_02!C89</f>
        <v>22.482826741017053</v>
      </c>
      <c r="F90" s="240">
        <f>Dat_02!D89</f>
        <v>136.7399554485423</v>
      </c>
      <c r="G90" s="240">
        <f>Dat_02!E89</f>
        <v>22.482826741017053</v>
      </c>
      <c r="I90" s="241">
        <f>Dat_02!G89</f>
        <v>0</v>
      </c>
      <c r="J90" s="251" t="str">
        <f>IF(Dat_02!H89=0,"",Dat_02!H89)</f>
        <v/>
      </c>
    </row>
    <row r="91" spans="2:10">
      <c r="B91" s="237"/>
      <c r="C91" s="238">
        <f>Dat_02!B90</f>
        <v>44284</v>
      </c>
      <c r="D91" s="237"/>
      <c r="E91" s="240">
        <f>Dat_02!C90</f>
        <v>50.266185601017057</v>
      </c>
      <c r="F91" s="240">
        <f>Dat_02!D90</f>
        <v>136.7399554485423</v>
      </c>
      <c r="G91" s="240">
        <f>Dat_02!E90</f>
        <v>50.266185601017057</v>
      </c>
      <c r="I91" s="241">
        <f>Dat_02!G90</f>
        <v>0</v>
      </c>
      <c r="J91" s="251" t="str">
        <f>IF(Dat_02!H90=0,"",Dat_02!H90)</f>
        <v/>
      </c>
    </row>
    <row r="92" spans="2:10">
      <c r="B92" s="237"/>
      <c r="C92" s="238">
        <f>Dat_02!B91</f>
        <v>44285</v>
      </c>
      <c r="D92" s="237"/>
      <c r="E92" s="240">
        <f>Dat_02!C91</f>
        <v>60.653618513017051</v>
      </c>
      <c r="F92" s="240">
        <f>Dat_02!D91</f>
        <v>136.7399554485423</v>
      </c>
      <c r="G92" s="240">
        <f>Dat_02!E91</f>
        <v>60.653618513017051</v>
      </c>
      <c r="I92" s="241">
        <f>Dat_02!G91</f>
        <v>0</v>
      </c>
      <c r="J92" s="251" t="str">
        <f>IF(Dat_02!H91=0,"",Dat_02!H91)</f>
        <v/>
      </c>
    </row>
    <row r="93" spans="2:10">
      <c r="B93" s="237"/>
      <c r="C93" s="238">
        <f>Dat_02!B92</f>
        <v>44286</v>
      </c>
      <c r="D93" s="237"/>
      <c r="E93" s="240">
        <f>Dat_02!C92</f>
        <v>75.173001266482387</v>
      </c>
      <c r="F93" s="240">
        <f>Dat_02!D92</f>
        <v>136.7399554485423</v>
      </c>
      <c r="G93" s="240">
        <f>Dat_02!E92</f>
        <v>75.173001266482387</v>
      </c>
      <c r="I93" s="241">
        <f>Dat_02!G92</f>
        <v>0</v>
      </c>
      <c r="J93" s="251" t="str">
        <f>IF(Dat_02!H92=0,"",Dat_02!H92)</f>
        <v/>
      </c>
    </row>
    <row r="94" spans="2:10">
      <c r="B94" s="237" t="s">
        <v>206</v>
      </c>
      <c r="C94" s="238">
        <f>Dat_02!B93</f>
        <v>44287</v>
      </c>
      <c r="D94" s="237"/>
      <c r="E94" s="240">
        <f>Dat_02!C93</f>
        <v>63.751534450480527</v>
      </c>
      <c r="F94" s="240">
        <f>Dat_02!D93</f>
        <v>128.52573371940508</v>
      </c>
      <c r="G94" s="240">
        <f>Dat_02!E93</f>
        <v>63.751534450480527</v>
      </c>
      <c r="I94" s="241">
        <f>Dat_02!G93</f>
        <v>0</v>
      </c>
      <c r="J94" s="251" t="str">
        <f>IF(Dat_02!H93=0,"",Dat_02!H93)</f>
        <v/>
      </c>
    </row>
    <row r="95" spans="2:10">
      <c r="B95" s="239"/>
      <c r="C95" s="238">
        <f>Dat_02!B94</f>
        <v>44288</v>
      </c>
      <c r="D95" s="239"/>
      <c r="E95" s="240">
        <f>Dat_02!C94</f>
        <v>65.469556810482388</v>
      </c>
      <c r="F95" s="240">
        <f>Dat_02!D94</f>
        <v>128.52573371940508</v>
      </c>
      <c r="G95" s="240">
        <f>Dat_02!E94</f>
        <v>65.469556810482388</v>
      </c>
      <c r="I95" s="241">
        <f>Dat_02!G94</f>
        <v>0</v>
      </c>
      <c r="J95" s="251" t="str">
        <f>IF(Dat_02!H94=0,"",Dat_02!H94)</f>
        <v/>
      </c>
    </row>
    <row r="96" spans="2:10">
      <c r="B96" s="239"/>
      <c r="C96" s="238">
        <f>Dat_02!B95</f>
        <v>44289</v>
      </c>
      <c r="D96" s="239"/>
      <c r="E96" s="240">
        <f>Dat_02!C95</f>
        <v>42.394872066480531</v>
      </c>
      <c r="F96" s="240">
        <f>Dat_02!D95</f>
        <v>128.52573371940508</v>
      </c>
      <c r="G96" s="240">
        <f>Dat_02!E95</f>
        <v>42.394872066480531</v>
      </c>
      <c r="I96" s="241">
        <f>Dat_02!G95</f>
        <v>0</v>
      </c>
      <c r="J96" s="251" t="str">
        <f>IF(Dat_02!H95=0,"",Dat_02!H95)</f>
        <v/>
      </c>
    </row>
    <row r="97" spans="2:10">
      <c r="B97" s="239"/>
      <c r="C97" s="238">
        <f>Dat_02!B96</f>
        <v>44290</v>
      </c>
      <c r="D97" s="239"/>
      <c r="E97" s="240">
        <f>Dat_02!C96</f>
        <v>41.921852302478669</v>
      </c>
      <c r="F97" s="240">
        <f>Dat_02!D96</f>
        <v>128.52573371940508</v>
      </c>
      <c r="G97" s="240">
        <f>Dat_02!E96</f>
        <v>41.921852302478669</v>
      </c>
      <c r="I97" s="241">
        <f>Dat_02!G96</f>
        <v>0</v>
      </c>
      <c r="J97" s="251" t="str">
        <f>IF(Dat_02!H96=0,"",Dat_02!H96)</f>
        <v/>
      </c>
    </row>
    <row r="98" spans="2:10">
      <c r="B98" s="237"/>
      <c r="C98" s="238">
        <f>Dat_02!B97</f>
        <v>44291</v>
      </c>
      <c r="D98" s="237"/>
      <c r="E98" s="240">
        <f>Dat_02!C97</f>
        <v>57.354918402480529</v>
      </c>
      <c r="F98" s="240">
        <f>Dat_02!D97</f>
        <v>128.52573371940508</v>
      </c>
      <c r="G98" s="240">
        <f>Dat_02!E97</f>
        <v>57.354918402480529</v>
      </c>
      <c r="I98" s="241">
        <f>Dat_02!G97</f>
        <v>0</v>
      </c>
      <c r="J98" s="251" t="str">
        <f>IF(Dat_02!H97=0,"",Dat_02!H97)</f>
        <v/>
      </c>
    </row>
    <row r="99" spans="2:10">
      <c r="B99" s="237"/>
      <c r="C99" s="238">
        <f>Dat_02!B98</f>
        <v>44292</v>
      </c>
      <c r="D99" s="237"/>
      <c r="E99" s="240">
        <f>Dat_02!C98</f>
        <v>72.645776494480529</v>
      </c>
      <c r="F99" s="240">
        <f>Dat_02!D98</f>
        <v>128.52573371940508</v>
      </c>
      <c r="G99" s="240">
        <f>Dat_02!E98</f>
        <v>72.645776494480529</v>
      </c>
      <c r="I99" s="241">
        <f>Dat_02!G98</f>
        <v>0</v>
      </c>
      <c r="J99" s="251" t="str">
        <f>IF(Dat_02!H98=0,"",Dat_02!H98)</f>
        <v/>
      </c>
    </row>
    <row r="100" spans="2:10">
      <c r="B100" s="237"/>
      <c r="C100" s="238">
        <f>Dat_02!B99</f>
        <v>44293</v>
      </c>
      <c r="D100" s="237"/>
      <c r="E100" s="240">
        <f>Dat_02!C99</f>
        <v>73.096940716146577</v>
      </c>
      <c r="F100" s="240">
        <f>Dat_02!D99</f>
        <v>128.52573371940508</v>
      </c>
      <c r="G100" s="240">
        <f>Dat_02!E99</f>
        <v>73.096940716146577</v>
      </c>
      <c r="I100" s="241">
        <f>Dat_02!G99</f>
        <v>0</v>
      </c>
      <c r="J100" s="251" t="str">
        <f>IF(Dat_02!H99=0,"",Dat_02!H99)</f>
        <v/>
      </c>
    </row>
    <row r="101" spans="2:10">
      <c r="B101" s="237"/>
      <c r="C101" s="238">
        <f>Dat_02!B100</f>
        <v>44294</v>
      </c>
      <c r="D101" s="237"/>
      <c r="E101" s="240">
        <f>Dat_02!C100</f>
        <v>97.066670200148423</v>
      </c>
      <c r="F101" s="240">
        <f>Dat_02!D100</f>
        <v>128.52573371940508</v>
      </c>
      <c r="G101" s="240">
        <f>Dat_02!E100</f>
        <v>97.066670200148423</v>
      </c>
      <c r="I101" s="241">
        <f>Dat_02!G100</f>
        <v>0</v>
      </c>
      <c r="J101" s="251" t="str">
        <f>IF(Dat_02!H100=0,"",Dat_02!H100)</f>
        <v/>
      </c>
    </row>
    <row r="102" spans="2:10">
      <c r="B102" s="237"/>
      <c r="C102" s="238">
        <f>Dat_02!B101</f>
        <v>44295</v>
      </c>
      <c r="D102" s="237"/>
      <c r="E102" s="240">
        <f>Dat_02!C101</f>
        <v>89.110312520142855</v>
      </c>
      <c r="F102" s="240">
        <f>Dat_02!D101</f>
        <v>128.52573371940508</v>
      </c>
      <c r="G102" s="240">
        <f>Dat_02!E101</f>
        <v>89.110312520142855</v>
      </c>
      <c r="I102" s="241">
        <f>Dat_02!G101</f>
        <v>0</v>
      </c>
      <c r="J102" s="251" t="str">
        <f>IF(Dat_02!H101=0,"",Dat_02!H101)</f>
        <v/>
      </c>
    </row>
    <row r="103" spans="2:10">
      <c r="B103" s="237"/>
      <c r="C103" s="238">
        <f>Dat_02!B102</f>
        <v>44296</v>
      </c>
      <c r="D103" s="237"/>
      <c r="E103" s="240">
        <f>Dat_02!C102</f>
        <v>59.675219168146576</v>
      </c>
      <c r="F103" s="240">
        <f>Dat_02!D102</f>
        <v>128.52573371940508</v>
      </c>
      <c r="G103" s="240">
        <f>Dat_02!E102</f>
        <v>59.675219168146576</v>
      </c>
      <c r="I103" s="241">
        <f>Dat_02!G102</f>
        <v>0</v>
      </c>
      <c r="J103" s="251" t="str">
        <f>IF(Dat_02!H102=0,"",Dat_02!H102)</f>
        <v/>
      </c>
    </row>
    <row r="104" spans="2:10">
      <c r="B104" s="237"/>
      <c r="C104" s="238">
        <f>Dat_02!B103</f>
        <v>44297</v>
      </c>
      <c r="D104" s="237"/>
      <c r="E104" s="240">
        <f>Dat_02!C103</f>
        <v>36.012027652150294</v>
      </c>
      <c r="F104" s="240">
        <f>Dat_02!D103</f>
        <v>128.52573371940508</v>
      </c>
      <c r="G104" s="240">
        <f>Dat_02!E103</f>
        <v>36.012027652150294</v>
      </c>
      <c r="I104" s="241">
        <f>Dat_02!G103</f>
        <v>0</v>
      </c>
      <c r="J104" s="251" t="str">
        <f>IF(Dat_02!H103=0,"",Dat_02!H103)</f>
        <v/>
      </c>
    </row>
    <row r="105" spans="2:10">
      <c r="B105" s="237"/>
      <c r="C105" s="238">
        <f>Dat_02!B104</f>
        <v>44298</v>
      </c>
      <c r="D105" s="237"/>
      <c r="E105" s="240">
        <f>Dat_02!C104</f>
        <v>71.971308904144706</v>
      </c>
      <c r="F105" s="240">
        <f>Dat_02!D104</f>
        <v>128.52573371940508</v>
      </c>
      <c r="G105" s="240">
        <f>Dat_02!E104</f>
        <v>71.971308904144706</v>
      </c>
      <c r="I105" s="241">
        <f>Dat_02!G104</f>
        <v>0</v>
      </c>
      <c r="J105" s="251" t="str">
        <f>IF(Dat_02!H104=0,"",Dat_02!H104)</f>
        <v/>
      </c>
    </row>
    <row r="106" spans="2:10">
      <c r="B106" s="237"/>
      <c r="C106" s="238">
        <f>Dat_02!B105</f>
        <v>44299</v>
      </c>
      <c r="D106" s="237"/>
      <c r="E106" s="240">
        <f>Dat_02!C105</f>
        <v>87.947210396146573</v>
      </c>
      <c r="F106" s="240">
        <f>Dat_02!D105</f>
        <v>128.52573371940508</v>
      </c>
      <c r="G106" s="240">
        <f>Dat_02!E105</f>
        <v>87.947210396146573</v>
      </c>
      <c r="I106" s="241">
        <f>Dat_02!G105</f>
        <v>0</v>
      </c>
      <c r="J106" s="251" t="str">
        <f>IF(Dat_02!H105=0,"",Dat_02!H105)</f>
        <v/>
      </c>
    </row>
    <row r="107" spans="2:10">
      <c r="B107" s="237"/>
      <c r="C107" s="238">
        <f>Dat_02!B106</f>
        <v>44300</v>
      </c>
      <c r="D107" s="237"/>
      <c r="E107" s="240">
        <f>Dat_02!C106</f>
        <v>74.086402859665498</v>
      </c>
      <c r="F107" s="240">
        <f>Dat_02!D106</f>
        <v>128.52573371940508</v>
      </c>
      <c r="G107" s="240">
        <f>Dat_02!E106</f>
        <v>74.086402859665498</v>
      </c>
      <c r="I107" s="241">
        <f>Dat_02!G106</f>
        <v>0</v>
      </c>
      <c r="J107" s="251" t="str">
        <f>IF(Dat_02!H106=0,"",Dat_02!H106)</f>
        <v/>
      </c>
    </row>
    <row r="108" spans="2:10">
      <c r="B108" s="237"/>
      <c r="C108" s="238">
        <f>Dat_02!B107</f>
        <v>44301</v>
      </c>
      <c r="D108" s="237"/>
      <c r="E108" s="240">
        <f>Dat_02!C107</f>
        <v>65.578525103665498</v>
      </c>
      <c r="F108" s="240">
        <f>Dat_02!D107</f>
        <v>128.52573371940508</v>
      </c>
      <c r="G108" s="240">
        <f>Dat_02!E107</f>
        <v>65.578525103665498</v>
      </c>
      <c r="I108" s="241">
        <f>Dat_02!G107</f>
        <v>128.52573371940508</v>
      </c>
      <c r="J108" s="251" t="str">
        <f>IF(Dat_02!H107=0,"",Dat_02!H107)</f>
        <v/>
      </c>
    </row>
    <row r="109" spans="2:10">
      <c r="B109" s="237"/>
      <c r="C109" s="238">
        <f>Dat_02!B108</f>
        <v>44302</v>
      </c>
      <c r="D109" s="237"/>
      <c r="E109" s="240">
        <f>Dat_02!C108</f>
        <v>52.699597831667354</v>
      </c>
      <c r="F109" s="240">
        <f>Dat_02!D108</f>
        <v>128.52573371940508</v>
      </c>
      <c r="G109" s="240">
        <f>Dat_02!E108</f>
        <v>52.699597831667354</v>
      </c>
      <c r="I109" s="241">
        <f>Dat_02!G108</f>
        <v>0</v>
      </c>
      <c r="J109" s="251" t="str">
        <f>IF(Dat_02!H108=0,"",Dat_02!H108)</f>
        <v/>
      </c>
    </row>
    <row r="110" spans="2:10">
      <c r="B110" s="237"/>
      <c r="C110" s="238">
        <f>Dat_02!B109</f>
        <v>44303</v>
      </c>
      <c r="D110" s="237"/>
      <c r="E110" s="240">
        <f>Dat_02!C109</f>
        <v>28.046403551661772</v>
      </c>
      <c r="F110" s="240">
        <f>Dat_02!D109</f>
        <v>128.52573371940508</v>
      </c>
      <c r="G110" s="240">
        <f>Dat_02!E109</f>
        <v>28.046403551661772</v>
      </c>
      <c r="I110" s="241">
        <f>Dat_02!G109</f>
        <v>0</v>
      </c>
      <c r="J110" s="251" t="str">
        <f>IF(Dat_02!H109=0,"",Dat_02!H109)</f>
        <v/>
      </c>
    </row>
    <row r="111" spans="2:10">
      <c r="B111" s="237"/>
      <c r="C111" s="238">
        <f>Dat_02!B110</f>
        <v>44304</v>
      </c>
      <c r="D111" s="237"/>
      <c r="E111" s="240">
        <f>Dat_02!C110</f>
        <v>25.635951475665497</v>
      </c>
      <c r="F111" s="240">
        <f>Dat_02!D110</f>
        <v>128.52573371940508</v>
      </c>
      <c r="G111" s="240">
        <f>Dat_02!E110</f>
        <v>25.635951475665497</v>
      </c>
      <c r="I111" s="241">
        <f>Dat_02!G110</f>
        <v>0</v>
      </c>
      <c r="J111" s="251" t="str">
        <f>IF(Dat_02!H110=0,"",Dat_02!H110)</f>
        <v/>
      </c>
    </row>
    <row r="112" spans="2:10">
      <c r="B112" s="237"/>
      <c r="C112" s="238">
        <f>Dat_02!B111</f>
        <v>44305</v>
      </c>
      <c r="D112" s="237"/>
      <c r="E112" s="240">
        <f>Dat_02!C111</f>
        <v>67.719343807665496</v>
      </c>
      <c r="F112" s="240">
        <f>Dat_02!D111</f>
        <v>128.52573371940508</v>
      </c>
      <c r="G112" s="240">
        <f>Dat_02!E111</f>
        <v>67.719343807665496</v>
      </c>
      <c r="I112" s="241">
        <f>Dat_02!G111</f>
        <v>0</v>
      </c>
      <c r="J112" s="251" t="str">
        <f>IF(Dat_02!H111=0,"",Dat_02!H111)</f>
        <v/>
      </c>
    </row>
    <row r="113" spans="2:10">
      <c r="B113" s="237"/>
      <c r="C113" s="238">
        <f>Dat_02!B112</f>
        <v>44306</v>
      </c>
      <c r="D113" s="237"/>
      <c r="E113" s="240">
        <f>Dat_02!C112</f>
        <v>64.315226755665492</v>
      </c>
      <c r="F113" s="240">
        <f>Dat_02!D112</f>
        <v>128.52573371940508</v>
      </c>
      <c r="G113" s="240">
        <f>Dat_02!E112</f>
        <v>64.315226755665492</v>
      </c>
      <c r="I113" s="241">
        <f>Dat_02!G112</f>
        <v>0</v>
      </c>
      <c r="J113" s="251" t="str">
        <f>IF(Dat_02!H112=0,"",Dat_02!H112)</f>
        <v/>
      </c>
    </row>
    <row r="114" spans="2:10">
      <c r="B114" s="237"/>
      <c r="C114" s="238">
        <f>Dat_02!B113</f>
        <v>44307</v>
      </c>
      <c r="D114" s="237"/>
      <c r="E114" s="240">
        <f>Dat_02!C113</f>
        <v>77.320690818515956</v>
      </c>
      <c r="F114" s="240">
        <f>Dat_02!D113</f>
        <v>128.52573371940508</v>
      </c>
      <c r="G114" s="240">
        <f>Dat_02!E113</f>
        <v>77.320690818515956</v>
      </c>
      <c r="I114" s="241">
        <f>Dat_02!G113</f>
        <v>0</v>
      </c>
      <c r="J114" s="251" t="str">
        <f>IF(Dat_02!H113=0,"",Dat_02!H113)</f>
        <v/>
      </c>
    </row>
    <row r="115" spans="2:10">
      <c r="B115" s="237"/>
      <c r="C115" s="238">
        <f>Dat_02!B114</f>
        <v>44308</v>
      </c>
      <c r="D115" s="237"/>
      <c r="E115" s="240">
        <f>Dat_02!C114</f>
        <v>70.427260162521549</v>
      </c>
      <c r="F115" s="240">
        <f>Dat_02!D114</f>
        <v>128.52573371940508</v>
      </c>
      <c r="G115" s="240">
        <f>Dat_02!E114</f>
        <v>70.427260162521549</v>
      </c>
      <c r="I115" s="241">
        <f>Dat_02!G114</f>
        <v>0</v>
      </c>
      <c r="J115" s="251" t="str">
        <f>IF(Dat_02!H114=0,"",Dat_02!H114)</f>
        <v/>
      </c>
    </row>
    <row r="116" spans="2:10">
      <c r="B116" s="237"/>
      <c r="C116" s="238">
        <f>Dat_02!B115</f>
        <v>44309</v>
      </c>
      <c r="D116" s="237"/>
      <c r="E116" s="240">
        <f>Dat_02!C115</f>
        <v>33.338680286519683</v>
      </c>
      <c r="F116" s="240">
        <f>Dat_02!D115</f>
        <v>128.52573371940508</v>
      </c>
      <c r="G116" s="240">
        <f>Dat_02!E115</f>
        <v>33.338680286519683</v>
      </c>
      <c r="I116" s="241">
        <f>Dat_02!G115</f>
        <v>0</v>
      </c>
      <c r="J116" s="251" t="str">
        <f>IF(Dat_02!H115=0,"",Dat_02!H115)</f>
        <v/>
      </c>
    </row>
    <row r="117" spans="2:10">
      <c r="B117" s="237"/>
      <c r="C117" s="238">
        <f>Dat_02!B116</f>
        <v>44310</v>
      </c>
      <c r="D117" s="237"/>
      <c r="E117" s="240">
        <f>Dat_02!C116</f>
        <v>20.936699170515961</v>
      </c>
      <c r="F117" s="240">
        <f>Dat_02!D116</f>
        <v>128.52573371940508</v>
      </c>
      <c r="G117" s="240">
        <f>Dat_02!E116</f>
        <v>20.936699170515961</v>
      </c>
      <c r="I117" s="241">
        <f>Dat_02!G116</f>
        <v>0</v>
      </c>
      <c r="J117" s="251" t="str">
        <f>IF(Dat_02!H116=0,"",Dat_02!H116)</f>
        <v/>
      </c>
    </row>
    <row r="118" spans="2:10">
      <c r="B118" s="237"/>
      <c r="C118" s="238">
        <f>Dat_02!B117</f>
        <v>44311</v>
      </c>
      <c r="D118" s="237"/>
      <c r="E118" s="240">
        <f>Dat_02!C117</f>
        <v>29.937314190521544</v>
      </c>
      <c r="F118" s="240">
        <f>Dat_02!D117</f>
        <v>128.52573371940508</v>
      </c>
      <c r="G118" s="240">
        <f>Dat_02!E117</f>
        <v>29.937314190521544</v>
      </c>
      <c r="I118" s="241">
        <f>Dat_02!G117</f>
        <v>0</v>
      </c>
      <c r="J118" s="251" t="str">
        <f>IF(Dat_02!H117=0,"",Dat_02!H117)</f>
        <v/>
      </c>
    </row>
    <row r="119" spans="2:10">
      <c r="B119" s="237"/>
      <c r="C119" s="238">
        <f>Dat_02!B118</f>
        <v>44312</v>
      </c>
      <c r="D119" s="237"/>
      <c r="E119" s="240">
        <f>Dat_02!C118</f>
        <v>70.087260902517826</v>
      </c>
      <c r="F119" s="240">
        <f>Dat_02!D118</f>
        <v>128.52573371940508</v>
      </c>
      <c r="G119" s="240">
        <f>Dat_02!E118</f>
        <v>70.087260902517826</v>
      </c>
      <c r="I119" s="241">
        <f>Dat_02!G118</f>
        <v>0</v>
      </c>
      <c r="J119" s="251" t="str">
        <f>IF(Dat_02!H118=0,"",Dat_02!H118)</f>
        <v/>
      </c>
    </row>
    <row r="120" spans="2:10">
      <c r="B120" s="237"/>
      <c r="C120" s="238">
        <f>Dat_02!B119</f>
        <v>44313</v>
      </c>
      <c r="D120" s="237"/>
      <c r="E120" s="240">
        <f>Dat_02!C119</f>
        <v>69.586048770521543</v>
      </c>
      <c r="F120" s="240">
        <f>Dat_02!D119</f>
        <v>128.52573371940508</v>
      </c>
      <c r="G120" s="240">
        <f>Dat_02!E119</f>
        <v>69.586048770521543</v>
      </c>
      <c r="I120" s="241">
        <f>Dat_02!G119</f>
        <v>0</v>
      </c>
      <c r="J120" s="251" t="str">
        <f>IF(Dat_02!H119=0,"",Dat_02!H119)</f>
        <v/>
      </c>
    </row>
    <row r="121" spans="2:10">
      <c r="B121" s="237"/>
      <c r="C121" s="238">
        <f>Dat_02!B120</f>
        <v>44314</v>
      </c>
      <c r="D121" s="237"/>
      <c r="E121" s="240">
        <f>Dat_02!C120</f>
        <v>94.811123895477394</v>
      </c>
      <c r="F121" s="240">
        <f>Dat_02!D120</f>
        <v>128.52573371940508</v>
      </c>
      <c r="G121" s="240">
        <f>Dat_02!E120</f>
        <v>94.811123895477394</v>
      </c>
      <c r="I121" s="241">
        <f>Dat_02!G120</f>
        <v>0</v>
      </c>
      <c r="J121" s="251" t="str">
        <f>IF(Dat_02!H120=0,"",Dat_02!H120)</f>
        <v/>
      </c>
    </row>
    <row r="122" spans="2:10">
      <c r="B122" s="237"/>
      <c r="C122" s="238">
        <f>Dat_02!B121</f>
        <v>44315</v>
      </c>
      <c r="D122" s="237"/>
      <c r="E122" s="240">
        <f>Dat_02!C121</f>
        <v>98.495314667479249</v>
      </c>
      <c r="F122" s="240">
        <f>Dat_02!D121</f>
        <v>128.52573371940508</v>
      </c>
      <c r="G122" s="240">
        <f>Dat_02!E121</f>
        <v>98.495314667479249</v>
      </c>
      <c r="I122" s="241">
        <f>Dat_02!G121</f>
        <v>0</v>
      </c>
      <c r="J122" s="251" t="str">
        <f>IF(Dat_02!H121=0,"",Dat_02!H121)</f>
        <v/>
      </c>
    </row>
    <row r="123" spans="2:10">
      <c r="B123" s="237"/>
      <c r="C123" s="238">
        <f>Dat_02!B122</f>
        <v>44316</v>
      </c>
      <c r="D123" s="237"/>
      <c r="E123" s="240">
        <f>Dat_02!C122</f>
        <v>95.389489947479262</v>
      </c>
      <c r="F123" s="240">
        <f>Dat_02!D122</f>
        <v>128.52573371940508</v>
      </c>
      <c r="G123" s="240">
        <f>Dat_02!E122</f>
        <v>95.389489947479262</v>
      </c>
      <c r="I123" s="241">
        <f>Dat_02!G122</f>
        <v>0</v>
      </c>
      <c r="J123" s="251" t="str">
        <f>IF(Dat_02!H122=0,"",Dat_02!H122)</f>
        <v/>
      </c>
    </row>
    <row r="124" spans="2:10">
      <c r="B124" s="237" t="s">
        <v>208</v>
      </c>
      <c r="C124" s="238">
        <f>Dat_02!B123</f>
        <v>44317</v>
      </c>
      <c r="D124" s="237"/>
      <c r="E124" s="240">
        <f>Dat_02!C123</f>
        <v>42.14744966347925</v>
      </c>
      <c r="F124" s="240">
        <f>Dat_02!D123</f>
        <v>101.55332277089387</v>
      </c>
      <c r="G124" s="240">
        <f>Dat_02!E123</f>
        <v>42.14744966347925</v>
      </c>
      <c r="I124" s="241">
        <f>Dat_02!G123</f>
        <v>0</v>
      </c>
      <c r="J124" s="251" t="str">
        <f>IF(Dat_02!H123=0,"",Dat_02!H123)</f>
        <v/>
      </c>
    </row>
    <row r="125" spans="2:10">
      <c r="B125" s="239"/>
      <c r="C125" s="238">
        <f>Dat_02!B124</f>
        <v>44318</v>
      </c>
      <c r="D125" s="237"/>
      <c r="E125" s="240">
        <f>Dat_02!C124</f>
        <v>37.57853361947739</v>
      </c>
      <c r="F125" s="240">
        <f>Dat_02!D124</f>
        <v>101.55332277089387</v>
      </c>
      <c r="G125" s="240">
        <f>Dat_02!E124</f>
        <v>37.57853361947739</v>
      </c>
      <c r="I125" s="241">
        <f>Dat_02!G124</f>
        <v>0</v>
      </c>
      <c r="J125" s="251" t="str">
        <f>IF(Dat_02!H124=0,"",Dat_02!H124)</f>
        <v/>
      </c>
    </row>
    <row r="126" spans="2:10">
      <c r="B126" s="239"/>
      <c r="C126" s="238">
        <f>Dat_02!B125</f>
        <v>44319</v>
      </c>
      <c r="D126" s="239"/>
      <c r="E126" s="240">
        <f>Dat_02!C125</f>
        <v>62.326994219481115</v>
      </c>
      <c r="F126" s="240">
        <f>Dat_02!D125</f>
        <v>101.55332277089387</v>
      </c>
      <c r="G126" s="240">
        <f>Dat_02!E125</f>
        <v>62.326994219481115</v>
      </c>
      <c r="I126" s="241">
        <f>Dat_02!G125</f>
        <v>0</v>
      </c>
      <c r="J126" s="251" t="str">
        <f>IF(Dat_02!H125=0,"",Dat_02!H125)</f>
        <v/>
      </c>
    </row>
    <row r="127" spans="2:10">
      <c r="B127" s="239"/>
      <c r="C127" s="238">
        <f>Dat_02!B126</f>
        <v>44320</v>
      </c>
      <c r="D127" s="239"/>
      <c r="E127" s="240">
        <f>Dat_02!C126</f>
        <v>72.05960744347739</v>
      </c>
      <c r="F127" s="240">
        <f>Dat_02!D126</f>
        <v>101.55332277089387</v>
      </c>
      <c r="G127" s="240">
        <f>Dat_02!E126</f>
        <v>72.05960744347739</v>
      </c>
      <c r="I127" s="241">
        <f>Dat_02!G126</f>
        <v>0</v>
      </c>
      <c r="J127" s="251" t="str">
        <f>IF(Dat_02!H126=0,"",Dat_02!H126)</f>
        <v/>
      </c>
    </row>
    <row r="128" spans="2:10">
      <c r="B128" s="237"/>
      <c r="C128" s="238">
        <f>Dat_02!B127</f>
        <v>44321</v>
      </c>
      <c r="D128" s="239"/>
      <c r="E128" s="240">
        <f>Dat_02!C127</f>
        <v>64.887411791812966</v>
      </c>
      <c r="F128" s="240">
        <f>Dat_02!D127</f>
        <v>101.55332277089387</v>
      </c>
      <c r="G128" s="240">
        <f>Dat_02!E127</f>
        <v>64.887411791812966</v>
      </c>
      <c r="I128" s="241">
        <f>Dat_02!G127</f>
        <v>0</v>
      </c>
      <c r="J128" s="251" t="str">
        <f>IF(Dat_02!H127=0,"",Dat_02!H127)</f>
        <v/>
      </c>
    </row>
    <row r="129" spans="2:10">
      <c r="B129" s="237"/>
      <c r="C129" s="238">
        <f>Dat_02!B128</f>
        <v>44322</v>
      </c>
      <c r="D129" s="237"/>
      <c r="E129" s="240">
        <f>Dat_02!C128</f>
        <v>60.964489771811103</v>
      </c>
      <c r="F129" s="240">
        <f>Dat_02!D128</f>
        <v>101.55332277089387</v>
      </c>
      <c r="G129" s="240">
        <f>Dat_02!E128</f>
        <v>60.964489771811103</v>
      </c>
      <c r="I129" s="241">
        <f>Dat_02!G128</f>
        <v>0</v>
      </c>
      <c r="J129" s="251" t="str">
        <f>IF(Dat_02!H128=0,"",Dat_02!H128)</f>
        <v/>
      </c>
    </row>
    <row r="130" spans="2:10">
      <c r="B130" s="237"/>
      <c r="C130" s="238">
        <f>Dat_02!B129</f>
        <v>44323</v>
      </c>
      <c r="D130" s="237"/>
      <c r="E130" s="240">
        <f>Dat_02!C129</f>
        <v>70.575137851807369</v>
      </c>
      <c r="F130" s="240">
        <f>Dat_02!D129</f>
        <v>101.55332277089387</v>
      </c>
      <c r="G130" s="240">
        <f>Dat_02!E129</f>
        <v>70.575137851807369</v>
      </c>
      <c r="I130" s="241">
        <f>Dat_02!G129</f>
        <v>0</v>
      </c>
      <c r="J130" s="251" t="str">
        <f>IF(Dat_02!H129=0,"",Dat_02!H129)</f>
        <v/>
      </c>
    </row>
    <row r="131" spans="2:10">
      <c r="B131" s="237"/>
      <c r="C131" s="238">
        <f>Dat_02!B130</f>
        <v>44324</v>
      </c>
      <c r="D131" s="237"/>
      <c r="E131" s="240">
        <f>Dat_02!C130</f>
        <v>41.411219935811111</v>
      </c>
      <c r="F131" s="240">
        <f>Dat_02!D130</f>
        <v>101.55332277089387</v>
      </c>
      <c r="G131" s="240">
        <f>Dat_02!E130</f>
        <v>41.411219935811111</v>
      </c>
      <c r="I131" s="241">
        <f>Dat_02!G130</f>
        <v>0</v>
      </c>
      <c r="J131" s="251" t="str">
        <f>IF(Dat_02!H130=0,"",Dat_02!H130)</f>
        <v/>
      </c>
    </row>
    <row r="132" spans="2:10">
      <c r="B132" s="237"/>
      <c r="C132" s="238">
        <f>Dat_02!B131</f>
        <v>44325</v>
      </c>
      <c r="D132" s="237"/>
      <c r="E132" s="240">
        <f>Dat_02!C131</f>
        <v>41.354351751809247</v>
      </c>
      <c r="F132" s="240">
        <f>Dat_02!D131</f>
        <v>101.55332277089387</v>
      </c>
      <c r="G132" s="240">
        <f>Dat_02!E131</f>
        <v>41.354351751809247</v>
      </c>
      <c r="I132" s="241">
        <f>Dat_02!G131</f>
        <v>0</v>
      </c>
      <c r="J132" s="251" t="str">
        <f>IF(Dat_02!H131=0,"",Dat_02!H131)</f>
        <v/>
      </c>
    </row>
    <row r="133" spans="2:10">
      <c r="B133" s="237"/>
      <c r="C133" s="238">
        <f>Dat_02!B132</f>
        <v>44326</v>
      </c>
      <c r="D133" s="237"/>
      <c r="E133" s="240">
        <f>Dat_02!C132</f>
        <v>60.270329379809247</v>
      </c>
      <c r="F133" s="240">
        <f>Dat_02!D132</f>
        <v>101.55332277089387</v>
      </c>
      <c r="G133" s="240">
        <f>Dat_02!E132</f>
        <v>60.270329379809247</v>
      </c>
      <c r="I133" s="241">
        <f>Dat_02!G132</f>
        <v>0</v>
      </c>
      <c r="J133" s="251" t="str">
        <f>IF(Dat_02!H132=0,"",Dat_02!H132)</f>
        <v/>
      </c>
    </row>
    <row r="134" spans="2:10">
      <c r="B134" s="237"/>
      <c r="C134" s="238">
        <f>Dat_02!B133</f>
        <v>44327</v>
      </c>
      <c r="D134" s="237"/>
      <c r="E134" s="240">
        <f>Dat_02!C133</f>
        <v>56.167001323812975</v>
      </c>
      <c r="F134" s="240">
        <f>Dat_02!D133</f>
        <v>101.55332277089387</v>
      </c>
      <c r="G134" s="240">
        <f>Dat_02!E133</f>
        <v>56.167001323812975</v>
      </c>
      <c r="I134" s="241">
        <f>Dat_02!G133</f>
        <v>0</v>
      </c>
      <c r="J134" s="251" t="str">
        <f>IF(Dat_02!H133=0,"",Dat_02!H133)</f>
        <v/>
      </c>
    </row>
    <row r="135" spans="2:10">
      <c r="B135" s="237"/>
      <c r="C135" s="238">
        <f>Dat_02!B134</f>
        <v>44328</v>
      </c>
      <c r="D135" s="237"/>
      <c r="E135" s="240">
        <f>Dat_02!C134</f>
        <v>64.955905773205401</v>
      </c>
      <c r="F135" s="240">
        <f>Dat_02!D134</f>
        <v>101.55332277089387</v>
      </c>
      <c r="G135" s="240">
        <f>Dat_02!E134</f>
        <v>64.955905773205401</v>
      </c>
      <c r="I135" s="241">
        <f>Dat_02!G134</f>
        <v>0</v>
      </c>
      <c r="J135" s="251" t="str">
        <f>IF(Dat_02!H134=0,"",Dat_02!H134)</f>
        <v/>
      </c>
    </row>
    <row r="136" spans="2:10">
      <c r="B136" s="237"/>
      <c r="C136" s="238">
        <f>Dat_02!B135</f>
        <v>44329</v>
      </c>
      <c r="D136" s="237"/>
      <c r="E136" s="240">
        <f>Dat_02!C135</f>
        <v>70.251595309207261</v>
      </c>
      <c r="F136" s="240">
        <f>Dat_02!D135</f>
        <v>101.55332277089387</v>
      </c>
      <c r="G136" s="240">
        <f>Dat_02!E135</f>
        <v>70.251595309207261</v>
      </c>
      <c r="I136" s="241">
        <f>Dat_02!G135</f>
        <v>0</v>
      </c>
      <c r="J136" s="251" t="str">
        <f>IF(Dat_02!H135=0,"",Dat_02!H135)</f>
        <v/>
      </c>
    </row>
    <row r="137" spans="2:10">
      <c r="B137" s="237"/>
      <c r="C137" s="238">
        <f>Dat_02!B136</f>
        <v>44330</v>
      </c>
      <c r="D137" s="237"/>
      <c r="E137" s="240">
        <f>Dat_02!C136</f>
        <v>73.453813457207261</v>
      </c>
      <c r="F137" s="240">
        <f>Dat_02!D136</f>
        <v>101.55332277089387</v>
      </c>
      <c r="G137" s="240">
        <f>Dat_02!E136</f>
        <v>73.453813457207261</v>
      </c>
      <c r="I137" s="241">
        <f>Dat_02!G136</f>
        <v>0</v>
      </c>
      <c r="J137" s="251" t="str">
        <f>IF(Dat_02!H136=0,"",Dat_02!H136)</f>
        <v/>
      </c>
    </row>
    <row r="138" spans="2:10">
      <c r="B138" s="237"/>
      <c r="C138" s="238">
        <f>Dat_02!B137</f>
        <v>44331</v>
      </c>
      <c r="D138" s="237"/>
      <c r="E138" s="240">
        <f>Dat_02!C137</f>
        <v>61.41329723721099</v>
      </c>
      <c r="F138" s="240">
        <f>Dat_02!D137</f>
        <v>101.55332277089387</v>
      </c>
      <c r="G138" s="240">
        <f>Dat_02!E137</f>
        <v>61.41329723721099</v>
      </c>
      <c r="I138" s="241">
        <f>Dat_02!G137</f>
        <v>101.55332277089387</v>
      </c>
      <c r="J138" s="251" t="str">
        <f>IF(Dat_02!H137=0,"",Dat_02!H137)</f>
        <v/>
      </c>
    </row>
    <row r="139" spans="2:10">
      <c r="B139" s="237"/>
      <c r="C139" s="238">
        <f>Dat_02!B138</f>
        <v>44332</v>
      </c>
      <c r="D139" s="237"/>
      <c r="E139" s="240">
        <f>Dat_02!C138</f>
        <v>62.940818797205402</v>
      </c>
      <c r="F139" s="240">
        <f>Dat_02!D138</f>
        <v>101.55332277089387</v>
      </c>
      <c r="G139" s="240">
        <f>Dat_02!E138</f>
        <v>62.940818797205402</v>
      </c>
      <c r="I139" s="241">
        <f>Dat_02!G138</f>
        <v>0</v>
      </c>
      <c r="J139" s="251" t="str">
        <f>IF(Dat_02!H138=0,"",Dat_02!H138)</f>
        <v/>
      </c>
    </row>
    <row r="140" spans="2:10">
      <c r="B140" s="237"/>
      <c r="C140" s="238">
        <f>Dat_02!B139</f>
        <v>44333</v>
      </c>
      <c r="D140" s="237"/>
      <c r="E140" s="240">
        <f>Dat_02!C139</f>
        <v>84.709564105210987</v>
      </c>
      <c r="F140" s="240">
        <f>Dat_02!D139</f>
        <v>101.55332277089387</v>
      </c>
      <c r="G140" s="240">
        <f>Dat_02!E139</f>
        <v>84.709564105210987</v>
      </c>
      <c r="I140" s="241">
        <f>Dat_02!G139</f>
        <v>0</v>
      </c>
      <c r="J140" s="251" t="str">
        <f>IF(Dat_02!H139=0,"",Dat_02!H139)</f>
        <v/>
      </c>
    </row>
    <row r="141" spans="2:10">
      <c r="B141" s="237"/>
      <c r="C141" s="238">
        <f>Dat_02!B140</f>
        <v>44334</v>
      </c>
      <c r="D141" s="237"/>
      <c r="E141" s="240">
        <f>Dat_02!C140</f>
        <v>82.972954585209123</v>
      </c>
      <c r="F141" s="240">
        <f>Dat_02!D140</f>
        <v>101.55332277089387</v>
      </c>
      <c r="G141" s="240">
        <f>Dat_02!E140</f>
        <v>82.972954585209123</v>
      </c>
      <c r="I141" s="241">
        <f>Dat_02!G140</f>
        <v>0</v>
      </c>
      <c r="J141" s="251" t="str">
        <f>IF(Dat_02!H140=0,"",Dat_02!H140)</f>
        <v/>
      </c>
    </row>
    <row r="142" spans="2:10">
      <c r="B142" s="237"/>
      <c r="C142" s="238">
        <f>Dat_02!B141</f>
        <v>44335</v>
      </c>
      <c r="D142" s="237"/>
      <c r="E142" s="240">
        <f>Dat_02!C141</f>
        <v>88.427482961818527</v>
      </c>
      <c r="F142" s="240">
        <f>Dat_02!D141</f>
        <v>101.55332277089387</v>
      </c>
      <c r="G142" s="240">
        <f>Dat_02!E141</f>
        <v>88.427482961818527</v>
      </c>
      <c r="I142" s="241">
        <f>Dat_02!G141</f>
        <v>0</v>
      </c>
      <c r="J142" s="251" t="str">
        <f>IF(Dat_02!H141=0,"",Dat_02!H141)</f>
        <v/>
      </c>
    </row>
    <row r="143" spans="2:10">
      <c r="B143" s="237"/>
      <c r="C143" s="238">
        <f>Dat_02!B142</f>
        <v>44336</v>
      </c>
      <c r="D143" s="237"/>
      <c r="E143" s="240">
        <f>Dat_02!C142</f>
        <v>87.490739521816664</v>
      </c>
      <c r="F143" s="240">
        <f>Dat_02!D142</f>
        <v>101.55332277089387</v>
      </c>
      <c r="G143" s="240">
        <f>Dat_02!E142</f>
        <v>87.490739521816664</v>
      </c>
      <c r="I143" s="241">
        <f>Dat_02!G142</f>
        <v>0</v>
      </c>
      <c r="J143" s="251" t="str">
        <f>IF(Dat_02!H142=0,"",Dat_02!H142)</f>
        <v/>
      </c>
    </row>
    <row r="144" spans="2:10">
      <c r="B144" s="237"/>
      <c r="C144" s="238">
        <f>Dat_02!B143</f>
        <v>44337</v>
      </c>
      <c r="D144" s="237"/>
      <c r="E144" s="240">
        <f>Dat_02!C143</f>
        <v>81.839326337818534</v>
      </c>
      <c r="F144" s="240">
        <f>Dat_02!D143</f>
        <v>101.55332277089387</v>
      </c>
      <c r="G144" s="240">
        <f>Dat_02!E143</f>
        <v>81.839326337818534</v>
      </c>
      <c r="I144" s="241">
        <f>Dat_02!G143</f>
        <v>0</v>
      </c>
      <c r="J144" s="251" t="str">
        <f>IF(Dat_02!H143=0,"",Dat_02!H143)</f>
        <v/>
      </c>
    </row>
    <row r="145" spans="2:10">
      <c r="B145" s="237"/>
      <c r="C145" s="238">
        <f>Dat_02!B144</f>
        <v>44338</v>
      </c>
      <c r="D145" s="237"/>
      <c r="E145" s="240">
        <f>Dat_02!C144</f>
        <v>85.388859121820389</v>
      </c>
      <c r="F145" s="240">
        <f>Dat_02!D144</f>
        <v>101.55332277089387</v>
      </c>
      <c r="G145" s="240">
        <f>Dat_02!E144</f>
        <v>85.388859121820389</v>
      </c>
      <c r="I145" s="241">
        <f>Dat_02!G144</f>
        <v>0</v>
      </c>
      <c r="J145" s="251" t="str">
        <f>IF(Dat_02!H144=0,"",Dat_02!H144)</f>
        <v/>
      </c>
    </row>
    <row r="146" spans="2:10">
      <c r="B146" s="237"/>
      <c r="C146" s="238">
        <f>Dat_02!B145</f>
        <v>44339</v>
      </c>
      <c r="D146" s="237"/>
      <c r="E146" s="240">
        <f>Dat_02!C145</f>
        <v>63.71166492181667</v>
      </c>
      <c r="F146" s="240">
        <f>Dat_02!D145</f>
        <v>101.55332277089387</v>
      </c>
      <c r="G146" s="240">
        <f>Dat_02!E145</f>
        <v>63.71166492181667</v>
      </c>
      <c r="I146" s="241">
        <f>Dat_02!G145</f>
        <v>0</v>
      </c>
      <c r="J146" s="251" t="str">
        <f>IF(Dat_02!H145=0,"",Dat_02!H145)</f>
        <v/>
      </c>
    </row>
    <row r="147" spans="2:10">
      <c r="B147" s="237"/>
      <c r="C147" s="238">
        <f>Dat_02!B146</f>
        <v>44340</v>
      </c>
      <c r="D147" s="237"/>
      <c r="E147" s="240">
        <f>Dat_02!C146</f>
        <v>71.876081133820392</v>
      </c>
      <c r="F147" s="240">
        <f>Dat_02!D146</f>
        <v>101.55332277089387</v>
      </c>
      <c r="G147" s="240">
        <f>Dat_02!E146</f>
        <v>71.876081133820392</v>
      </c>
      <c r="I147" s="241">
        <f>Dat_02!G146</f>
        <v>0</v>
      </c>
      <c r="J147" s="251" t="str">
        <f>IF(Dat_02!H146=0,"",Dat_02!H146)</f>
        <v/>
      </c>
    </row>
    <row r="148" spans="2:10">
      <c r="B148" s="237"/>
      <c r="C148" s="238">
        <f>Dat_02!B147</f>
        <v>44341</v>
      </c>
      <c r="D148" s="237"/>
      <c r="E148" s="240">
        <f>Dat_02!C147</f>
        <v>76.705485453822263</v>
      </c>
      <c r="F148" s="240">
        <f>Dat_02!D147</f>
        <v>101.55332277089387</v>
      </c>
      <c r="G148" s="240">
        <f>Dat_02!E147</f>
        <v>76.705485453822263</v>
      </c>
      <c r="I148" s="241">
        <f>Dat_02!G147</f>
        <v>0</v>
      </c>
      <c r="J148" s="251" t="str">
        <f>IF(Dat_02!H147=0,"",Dat_02!H147)</f>
        <v/>
      </c>
    </row>
    <row r="149" spans="2:10">
      <c r="B149" s="237"/>
      <c r="C149" s="238">
        <f>Dat_02!B148</f>
        <v>44342</v>
      </c>
      <c r="D149" s="237"/>
      <c r="E149" s="240">
        <f>Dat_02!C148</f>
        <v>44.956101361653779</v>
      </c>
      <c r="F149" s="240">
        <f>Dat_02!D148</f>
        <v>101.55332277089387</v>
      </c>
      <c r="G149" s="240">
        <f>Dat_02!E148</f>
        <v>44.956101361653779</v>
      </c>
      <c r="I149" s="241">
        <f>Dat_02!G148</f>
        <v>0</v>
      </c>
      <c r="J149" s="251" t="str">
        <f>IF(Dat_02!H148=0,"",Dat_02!H148)</f>
        <v/>
      </c>
    </row>
    <row r="150" spans="2:10">
      <c r="B150" s="237"/>
      <c r="C150" s="238">
        <f>Dat_02!B149</f>
        <v>44343</v>
      </c>
      <c r="D150" s="237"/>
      <c r="E150" s="240">
        <f>Dat_02!C149</f>
        <v>84.572710257655629</v>
      </c>
      <c r="F150" s="240">
        <f>Dat_02!D149</f>
        <v>101.55332277089387</v>
      </c>
      <c r="G150" s="240">
        <f>Dat_02!E149</f>
        <v>84.572710257655629</v>
      </c>
      <c r="I150" s="241">
        <f>Dat_02!G149</f>
        <v>0</v>
      </c>
      <c r="J150" s="251" t="str">
        <f>IF(Dat_02!H149=0,"",Dat_02!H149)</f>
        <v/>
      </c>
    </row>
    <row r="151" spans="2:10">
      <c r="B151" s="237"/>
      <c r="C151" s="238">
        <f>Dat_02!B150</f>
        <v>44344</v>
      </c>
      <c r="D151" s="237"/>
      <c r="E151" s="240">
        <f>Dat_02!C150</f>
        <v>51.348431629655636</v>
      </c>
      <c r="F151" s="240">
        <f>Dat_02!D150</f>
        <v>101.55332277089387</v>
      </c>
      <c r="G151" s="240">
        <f>Dat_02!E150</f>
        <v>51.348431629655636</v>
      </c>
      <c r="I151" s="241">
        <f>Dat_02!G150</f>
        <v>0</v>
      </c>
      <c r="J151" s="251" t="str">
        <f>IF(Dat_02!H150=0,"",Dat_02!H150)</f>
        <v/>
      </c>
    </row>
    <row r="152" spans="2:10">
      <c r="B152" s="237"/>
      <c r="C152" s="238">
        <f>Dat_02!B151</f>
        <v>44345</v>
      </c>
      <c r="D152" s="237"/>
      <c r="E152" s="240">
        <f>Dat_02!C151</f>
        <v>47.238694169655645</v>
      </c>
      <c r="F152" s="240">
        <f>Dat_02!D151</f>
        <v>101.55332277089387</v>
      </c>
      <c r="G152" s="240">
        <f>Dat_02!E151</f>
        <v>47.238694169655645</v>
      </c>
      <c r="I152" s="241">
        <f>Dat_02!G151</f>
        <v>0</v>
      </c>
      <c r="J152" s="251" t="str">
        <f>IF(Dat_02!H151=0,"",Dat_02!H151)</f>
        <v/>
      </c>
    </row>
    <row r="153" spans="2:10">
      <c r="B153" s="237"/>
      <c r="C153" s="238">
        <f>Dat_02!B152</f>
        <v>44346</v>
      </c>
      <c r="D153" s="237"/>
      <c r="E153" s="240">
        <f>Dat_02!C152</f>
        <v>30.961489121657504</v>
      </c>
      <c r="F153" s="240">
        <f>Dat_02!D152</f>
        <v>101.55332277089387</v>
      </c>
      <c r="G153" s="240">
        <f>Dat_02!E152</f>
        <v>30.961489121657504</v>
      </c>
      <c r="I153" s="241">
        <f>Dat_02!G152</f>
        <v>0</v>
      </c>
      <c r="J153" s="251" t="str">
        <f>IF(Dat_02!H152=0,"",Dat_02!H152)</f>
        <v/>
      </c>
    </row>
    <row r="154" spans="2:10">
      <c r="B154" s="237"/>
      <c r="C154" s="238">
        <f>Dat_02!B153</f>
        <v>44347</v>
      </c>
      <c r="D154" s="237"/>
      <c r="E154" s="240">
        <f>Dat_02!C153</f>
        <v>46.410529833651921</v>
      </c>
      <c r="F154" s="240">
        <f>Dat_02!D153</f>
        <v>101.55332277089387</v>
      </c>
      <c r="G154" s="240">
        <f>Dat_02!E153</f>
        <v>46.410529833651921</v>
      </c>
      <c r="I154" s="241">
        <f>Dat_02!G153</f>
        <v>0</v>
      </c>
      <c r="J154" s="251" t="str">
        <f>IF(Dat_02!H153=0,"",Dat_02!H153)</f>
        <v/>
      </c>
    </row>
    <row r="155" spans="2:10">
      <c r="B155" s="237" t="s">
        <v>236</v>
      </c>
      <c r="C155" s="238">
        <f>Dat_02!B154</f>
        <v>44348</v>
      </c>
      <c r="D155" s="237"/>
      <c r="E155" s="240">
        <f>Dat_02!C154</f>
        <v>49.7390358816575</v>
      </c>
      <c r="F155" s="240">
        <f>Dat_02!D154</f>
        <v>64.00894044961241</v>
      </c>
      <c r="G155" s="240">
        <f>Dat_02!E154</f>
        <v>49.7390358816575</v>
      </c>
      <c r="I155" s="241">
        <f>Dat_02!G154</f>
        <v>0</v>
      </c>
      <c r="J155" s="251" t="str">
        <f>IF(Dat_02!H154=0,"",Dat_02!H154)</f>
        <v/>
      </c>
    </row>
    <row r="156" spans="2:10">
      <c r="B156" s="239"/>
      <c r="C156" s="238">
        <f>Dat_02!B155</f>
        <v>44349</v>
      </c>
      <c r="D156" s="239"/>
      <c r="E156" s="240">
        <f>Dat_02!C155</f>
        <v>59.622137735076741</v>
      </c>
      <c r="F156" s="240">
        <f>Dat_02!D155</f>
        <v>64.00894044961241</v>
      </c>
      <c r="G156" s="240">
        <f>Dat_02!E155</f>
        <v>59.622137735076741</v>
      </c>
      <c r="I156" s="241">
        <f>Dat_02!G155</f>
        <v>0</v>
      </c>
      <c r="J156" s="251" t="str">
        <f>IF(Dat_02!H155=0,"",Dat_02!H155)</f>
        <v/>
      </c>
    </row>
    <row r="157" spans="2:10">
      <c r="B157" s="239"/>
      <c r="C157" s="238">
        <f>Dat_02!B156</f>
        <v>44350</v>
      </c>
      <c r="D157" s="239"/>
      <c r="E157" s="240">
        <f>Dat_02!C156</f>
        <v>43.383433879082332</v>
      </c>
      <c r="F157" s="240">
        <f>Dat_02!D156</f>
        <v>64.00894044961241</v>
      </c>
      <c r="G157" s="240">
        <f>Dat_02!E156</f>
        <v>43.383433879082332</v>
      </c>
      <c r="I157" s="241">
        <f>Dat_02!G156</f>
        <v>0</v>
      </c>
      <c r="J157" s="251" t="str">
        <f>IF(Dat_02!H156=0,"",Dat_02!H156)</f>
        <v/>
      </c>
    </row>
    <row r="158" spans="2:10">
      <c r="B158" s="239"/>
      <c r="C158" s="238">
        <f>Dat_02!B157</f>
        <v>44351</v>
      </c>
      <c r="D158" s="239"/>
      <c r="E158" s="240">
        <f>Dat_02!C157</f>
        <v>51.377849187080471</v>
      </c>
      <c r="F158" s="240">
        <f>Dat_02!D157</f>
        <v>64.00894044961241</v>
      </c>
      <c r="G158" s="240">
        <f>Dat_02!E157</f>
        <v>51.377849187080471</v>
      </c>
      <c r="I158" s="241">
        <f>Dat_02!G157</f>
        <v>0</v>
      </c>
      <c r="J158" s="251" t="str">
        <f>IF(Dat_02!H157=0,"",Dat_02!H157)</f>
        <v/>
      </c>
    </row>
    <row r="159" spans="2:10">
      <c r="B159" s="237"/>
      <c r="C159" s="238">
        <f>Dat_02!B158</f>
        <v>44352</v>
      </c>
      <c r="D159" s="237"/>
      <c r="E159" s="240">
        <f>Dat_02!C158</f>
        <v>46.978688771082325</v>
      </c>
      <c r="F159" s="240">
        <f>Dat_02!D158</f>
        <v>64.00894044961241</v>
      </c>
      <c r="G159" s="240">
        <f>Dat_02!E158</f>
        <v>46.978688771082325</v>
      </c>
      <c r="I159" s="241">
        <f>Dat_02!G158</f>
        <v>0</v>
      </c>
      <c r="J159" s="251" t="str">
        <f>IF(Dat_02!H158=0,"",Dat_02!H158)</f>
        <v/>
      </c>
    </row>
    <row r="160" spans="2:10">
      <c r="B160" s="237"/>
      <c r="C160" s="238">
        <f>Dat_02!B159</f>
        <v>44353</v>
      </c>
      <c r="D160" s="237"/>
      <c r="E160" s="240">
        <f>Dat_02!C159</f>
        <v>38.849053715080466</v>
      </c>
      <c r="F160" s="240">
        <f>Dat_02!D159</f>
        <v>64.00894044961241</v>
      </c>
      <c r="G160" s="240">
        <f>Dat_02!E159</f>
        <v>38.849053715080466</v>
      </c>
      <c r="I160" s="241">
        <f>Dat_02!G159</f>
        <v>0</v>
      </c>
      <c r="J160" s="251" t="str">
        <f>IF(Dat_02!H159=0,"",Dat_02!H159)</f>
        <v/>
      </c>
    </row>
    <row r="161" spans="2:10">
      <c r="B161" s="237"/>
      <c r="C161" s="238">
        <f>Dat_02!B160</f>
        <v>44354</v>
      </c>
      <c r="D161" s="237"/>
      <c r="E161" s="240">
        <f>Dat_02!C160</f>
        <v>42.251729895078604</v>
      </c>
      <c r="F161" s="240">
        <f>Dat_02!D160</f>
        <v>64.00894044961241</v>
      </c>
      <c r="G161" s="240">
        <f>Dat_02!E160</f>
        <v>42.251729895078604</v>
      </c>
      <c r="I161" s="241">
        <f>Dat_02!G160</f>
        <v>0</v>
      </c>
      <c r="J161" s="251" t="str">
        <f>IF(Dat_02!H160=0,"",Dat_02!H160)</f>
        <v/>
      </c>
    </row>
    <row r="162" spans="2:10">
      <c r="B162" s="237"/>
      <c r="C162" s="238">
        <f>Dat_02!B161</f>
        <v>44355</v>
      </c>
      <c r="D162" s="237"/>
      <c r="E162" s="240">
        <f>Dat_02!C161</f>
        <v>48.831029183082336</v>
      </c>
      <c r="F162" s="240">
        <f>Dat_02!D161</f>
        <v>64.00894044961241</v>
      </c>
      <c r="G162" s="240">
        <f>Dat_02!E161</f>
        <v>48.831029183082336</v>
      </c>
      <c r="I162" s="241">
        <f>Dat_02!G161</f>
        <v>0</v>
      </c>
      <c r="J162" s="251" t="str">
        <f>IF(Dat_02!H161=0,"",Dat_02!H161)</f>
        <v/>
      </c>
    </row>
    <row r="163" spans="2:10">
      <c r="B163" s="237"/>
      <c r="C163" s="238">
        <f>Dat_02!B162</f>
        <v>44356</v>
      </c>
      <c r="D163" s="237"/>
      <c r="E163" s="240">
        <f>Dat_02!C162</f>
        <v>39.655213428078106</v>
      </c>
      <c r="F163" s="240">
        <f>Dat_02!D162</f>
        <v>64.00894044961241</v>
      </c>
      <c r="G163" s="240">
        <f>Dat_02!E162</f>
        <v>39.655213428078106</v>
      </c>
      <c r="I163" s="241">
        <f>Dat_02!G162</f>
        <v>0</v>
      </c>
      <c r="J163" s="251" t="str">
        <f>IF(Dat_02!H162=0,"",Dat_02!H162)</f>
        <v/>
      </c>
    </row>
    <row r="164" spans="2:10">
      <c r="B164" s="237"/>
      <c r="C164" s="238">
        <f>Dat_02!B163</f>
        <v>44357</v>
      </c>
      <c r="D164" s="237"/>
      <c r="E164" s="240">
        <f>Dat_02!C163</f>
        <v>56.533653168078104</v>
      </c>
      <c r="F164" s="240">
        <f>Dat_02!D163</f>
        <v>64.00894044961241</v>
      </c>
      <c r="G164" s="240">
        <f>Dat_02!E163</f>
        <v>56.533653168078104</v>
      </c>
      <c r="I164" s="241">
        <f>Dat_02!G163</f>
        <v>0</v>
      </c>
      <c r="J164" s="251" t="str">
        <f>IF(Dat_02!H163=0,"",Dat_02!H163)</f>
        <v/>
      </c>
    </row>
    <row r="165" spans="2:10">
      <c r="B165" s="237"/>
      <c r="C165" s="238">
        <f>Dat_02!B164</f>
        <v>44358</v>
      </c>
      <c r="D165" s="237"/>
      <c r="E165" s="240">
        <f>Dat_02!C164</f>
        <v>35.848084328079977</v>
      </c>
      <c r="F165" s="240">
        <f>Dat_02!D164</f>
        <v>64.00894044961241</v>
      </c>
      <c r="G165" s="240">
        <f>Dat_02!E164</f>
        <v>35.848084328079977</v>
      </c>
      <c r="I165" s="241">
        <f>Dat_02!G164</f>
        <v>0</v>
      </c>
      <c r="J165" s="251" t="str">
        <f>IF(Dat_02!H164=0,"",Dat_02!H164)</f>
        <v/>
      </c>
    </row>
    <row r="166" spans="2:10">
      <c r="B166" s="237"/>
      <c r="C166" s="238">
        <f>Dat_02!B165</f>
        <v>44359</v>
      </c>
      <c r="D166" s="237"/>
      <c r="E166" s="240">
        <f>Dat_02!C165</f>
        <v>39.187553216074392</v>
      </c>
      <c r="F166" s="240">
        <f>Dat_02!D165</f>
        <v>64.00894044961241</v>
      </c>
      <c r="G166" s="240">
        <f>Dat_02!E165</f>
        <v>39.187553216074392</v>
      </c>
      <c r="I166" s="241">
        <f>Dat_02!G165</f>
        <v>0</v>
      </c>
      <c r="J166" s="251" t="str">
        <f>IF(Dat_02!H165=0,"",Dat_02!H165)</f>
        <v/>
      </c>
    </row>
    <row r="167" spans="2:10">
      <c r="B167" s="237"/>
      <c r="C167" s="238">
        <f>Dat_02!B166</f>
        <v>44360</v>
      </c>
      <c r="D167" s="237"/>
      <c r="E167" s="240">
        <f>Dat_02!C166</f>
        <v>34.758196140078105</v>
      </c>
      <c r="F167" s="240">
        <f>Dat_02!D166</f>
        <v>64.00894044961241</v>
      </c>
      <c r="G167" s="240">
        <f>Dat_02!E166</f>
        <v>34.758196140078105</v>
      </c>
      <c r="I167" s="241">
        <f>Dat_02!G166</f>
        <v>0</v>
      </c>
      <c r="J167" s="251" t="str">
        <f>IF(Dat_02!H166=0,"",Dat_02!H166)</f>
        <v/>
      </c>
    </row>
    <row r="168" spans="2:10">
      <c r="B168" s="237"/>
      <c r="C168" s="238">
        <f>Dat_02!B167</f>
        <v>44361</v>
      </c>
      <c r="D168" s="237"/>
      <c r="E168" s="240">
        <f>Dat_02!C167</f>
        <v>71.697258952078101</v>
      </c>
      <c r="F168" s="240">
        <f>Dat_02!D167</f>
        <v>64.00894044961241</v>
      </c>
      <c r="G168" s="240">
        <f>Dat_02!E167</f>
        <v>64.00894044961241</v>
      </c>
      <c r="I168" s="241">
        <f>Dat_02!G167</f>
        <v>0</v>
      </c>
      <c r="J168" s="251" t="str">
        <f>IF(Dat_02!H167=0,"",Dat_02!H167)</f>
        <v/>
      </c>
    </row>
    <row r="169" spans="2:10">
      <c r="B169" s="237"/>
      <c r="C169" s="238">
        <f>Dat_02!B168</f>
        <v>44362</v>
      </c>
      <c r="D169" s="237"/>
      <c r="E169" s="240">
        <f>Dat_02!C168</f>
        <v>67.650048800076235</v>
      </c>
      <c r="F169" s="240">
        <f>Dat_02!D168</f>
        <v>64.00894044961241</v>
      </c>
      <c r="G169" s="240">
        <f>Dat_02!E168</f>
        <v>64.00894044961241</v>
      </c>
      <c r="I169" s="241">
        <f>Dat_02!G168</f>
        <v>64.00894044961241</v>
      </c>
      <c r="J169" s="251" t="str">
        <f>IF(Dat_02!H168=0,"",Dat_02!H168)</f>
        <v/>
      </c>
    </row>
    <row r="170" spans="2:10">
      <c r="B170" s="237"/>
      <c r="C170" s="238">
        <f>Dat_02!B169</f>
        <v>44363</v>
      </c>
      <c r="D170" s="237"/>
      <c r="E170" s="240">
        <f>Dat_02!C169</f>
        <v>62.759781339110461</v>
      </c>
      <c r="F170" s="240">
        <f>Dat_02!D169</f>
        <v>64.00894044961241</v>
      </c>
      <c r="G170" s="240">
        <f>Dat_02!E169</f>
        <v>62.759781339110461</v>
      </c>
      <c r="I170" s="241">
        <f>Dat_02!G169</f>
        <v>0</v>
      </c>
      <c r="J170" s="251" t="str">
        <f>IF(Dat_02!H169=0,"",Dat_02!H169)</f>
        <v/>
      </c>
    </row>
    <row r="171" spans="2:10">
      <c r="B171" s="237"/>
      <c r="C171" s="238">
        <f>Dat_02!B170</f>
        <v>44364</v>
      </c>
      <c r="D171" s="237"/>
      <c r="E171" s="240">
        <f>Dat_02!C170</f>
        <v>64.330589743110465</v>
      </c>
      <c r="F171" s="240">
        <f>Dat_02!D170</f>
        <v>64.00894044961241</v>
      </c>
      <c r="G171" s="240">
        <f>Dat_02!E170</f>
        <v>64.00894044961241</v>
      </c>
      <c r="I171" s="241">
        <f>Dat_02!G170</f>
        <v>0</v>
      </c>
      <c r="J171" s="251" t="str">
        <f>IF(Dat_02!H170=0,"",Dat_02!H170)</f>
        <v/>
      </c>
    </row>
    <row r="172" spans="2:10">
      <c r="B172" s="237"/>
      <c r="C172" s="238">
        <f>Dat_02!B171</f>
        <v>44365</v>
      </c>
      <c r="D172" s="237"/>
      <c r="E172" s="240">
        <f>Dat_02!C171</f>
        <v>51.741532331110456</v>
      </c>
      <c r="F172" s="240">
        <f>Dat_02!D171</f>
        <v>64.00894044961241</v>
      </c>
      <c r="G172" s="240">
        <f>Dat_02!E171</f>
        <v>51.741532331110456</v>
      </c>
      <c r="I172" s="241">
        <f>Dat_02!G171</f>
        <v>0</v>
      </c>
      <c r="J172" s="251" t="str">
        <f>IF(Dat_02!H171=0,"",Dat_02!H171)</f>
        <v/>
      </c>
    </row>
    <row r="173" spans="2:10">
      <c r="B173" s="237"/>
      <c r="C173" s="238">
        <f>Dat_02!B172</f>
        <v>44366</v>
      </c>
      <c r="D173" s="237"/>
      <c r="E173" s="240">
        <f>Dat_02!C172</f>
        <v>42.602421635112314</v>
      </c>
      <c r="F173" s="240">
        <f>Dat_02!D172</f>
        <v>64.00894044961241</v>
      </c>
      <c r="G173" s="240">
        <f>Dat_02!E172</f>
        <v>42.602421635112314</v>
      </c>
      <c r="I173" s="241">
        <f>Dat_02!G172</f>
        <v>0</v>
      </c>
      <c r="J173" s="251" t="str">
        <f>IF(Dat_02!H172=0,"",Dat_02!H172)</f>
        <v/>
      </c>
    </row>
    <row r="174" spans="2:10">
      <c r="B174" s="237"/>
      <c r="C174" s="238">
        <f>Dat_02!B173</f>
        <v>44367</v>
      </c>
      <c r="D174" s="237"/>
      <c r="E174" s="240">
        <f>Dat_02!C173</f>
        <v>30.117633127108594</v>
      </c>
      <c r="F174" s="240">
        <f>Dat_02!D173</f>
        <v>64.00894044961241</v>
      </c>
      <c r="G174" s="240">
        <f>Dat_02!E173</f>
        <v>30.117633127108594</v>
      </c>
      <c r="I174" s="241">
        <f>Dat_02!G173</f>
        <v>0</v>
      </c>
      <c r="J174" s="251" t="str">
        <f>IF(Dat_02!H173=0,"",Dat_02!H173)</f>
        <v/>
      </c>
    </row>
    <row r="175" spans="2:10">
      <c r="B175" s="237"/>
      <c r="C175" s="238">
        <f>Dat_02!B174</f>
        <v>44368</v>
      </c>
      <c r="D175" s="237"/>
      <c r="E175" s="240">
        <f>Dat_02!C174</f>
        <v>41.492384483112325</v>
      </c>
      <c r="F175" s="240">
        <f>Dat_02!D174</f>
        <v>64.00894044961241</v>
      </c>
      <c r="G175" s="240">
        <f>Dat_02!E174</f>
        <v>41.492384483112325</v>
      </c>
      <c r="I175" s="241">
        <f>Dat_02!G174</f>
        <v>0</v>
      </c>
      <c r="J175" s="251" t="str">
        <f>IF(Dat_02!H174=0,"",Dat_02!H174)</f>
        <v/>
      </c>
    </row>
    <row r="176" spans="2:10">
      <c r="B176" s="237"/>
      <c r="C176" s="238">
        <f>Dat_02!B175</f>
        <v>44369</v>
      </c>
      <c r="D176" s="237"/>
      <c r="E176" s="240">
        <f>Dat_02!C175</f>
        <v>51.60537784311046</v>
      </c>
      <c r="F176" s="240">
        <f>Dat_02!D175</f>
        <v>64.00894044961241</v>
      </c>
      <c r="G176" s="240">
        <f>Dat_02!E175</f>
        <v>51.60537784311046</v>
      </c>
      <c r="I176" s="241">
        <f>Dat_02!G175</f>
        <v>0</v>
      </c>
      <c r="J176" s="251" t="str">
        <f>IF(Dat_02!H175=0,"",Dat_02!H175)</f>
        <v/>
      </c>
    </row>
    <row r="177" spans="2:10">
      <c r="B177" s="237"/>
      <c r="C177" s="238">
        <f>Dat_02!B176</f>
        <v>44370</v>
      </c>
      <c r="D177" s="237"/>
      <c r="E177" s="240">
        <f>Dat_02!C176</f>
        <v>56.123723707417419</v>
      </c>
      <c r="F177" s="240">
        <f>Dat_02!D176</f>
        <v>64.00894044961241</v>
      </c>
      <c r="G177" s="240">
        <f>Dat_02!E176</f>
        <v>56.123723707417419</v>
      </c>
      <c r="I177" s="241">
        <f>Dat_02!G176</f>
        <v>0</v>
      </c>
      <c r="J177" s="251" t="str">
        <f>IF(Dat_02!H176=0,"",Dat_02!H176)</f>
        <v/>
      </c>
    </row>
    <row r="178" spans="2:10">
      <c r="B178" s="237"/>
      <c r="C178" s="238">
        <f>Dat_02!B177</f>
        <v>44371</v>
      </c>
      <c r="D178" s="237"/>
      <c r="E178" s="240">
        <f>Dat_02!C177</f>
        <v>62.085323663419288</v>
      </c>
      <c r="F178" s="240">
        <f>Dat_02!D177</f>
        <v>64.00894044961241</v>
      </c>
      <c r="G178" s="240">
        <f>Dat_02!E177</f>
        <v>62.085323663419288</v>
      </c>
      <c r="I178" s="241">
        <f>Dat_02!G177</f>
        <v>0</v>
      </c>
      <c r="J178" s="251" t="str">
        <f>IF(Dat_02!H177=0,"",Dat_02!H177)</f>
        <v/>
      </c>
    </row>
    <row r="179" spans="2:10">
      <c r="B179" s="237"/>
      <c r="C179" s="238">
        <f>Dat_02!B178</f>
        <v>44372</v>
      </c>
      <c r="D179" s="237"/>
      <c r="E179" s="240">
        <f>Dat_02!C178</f>
        <v>59.580692003419287</v>
      </c>
      <c r="F179" s="240">
        <f>Dat_02!D178</f>
        <v>64.00894044961241</v>
      </c>
      <c r="G179" s="240">
        <f>Dat_02!E178</f>
        <v>59.580692003419287</v>
      </c>
      <c r="I179" s="241">
        <f>Dat_02!G178</f>
        <v>0</v>
      </c>
      <c r="J179" s="251" t="str">
        <f>IF(Dat_02!H178=0,"",Dat_02!H178)</f>
        <v/>
      </c>
    </row>
    <row r="180" spans="2:10">
      <c r="B180" s="237"/>
      <c r="C180" s="238">
        <f>Dat_02!B179</f>
        <v>44373</v>
      </c>
      <c r="D180" s="237"/>
      <c r="E180" s="240">
        <f>Dat_02!C179</f>
        <v>44.02805007541928</v>
      </c>
      <c r="F180" s="240">
        <f>Dat_02!D179</f>
        <v>64.00894044961241</v>
      </c>
      <c r="G180" s="240">
        <f>Dat_02!E179</f>
        <v>44.02805007541928</v>
      </c>
      <c r="I180" s="241">
        <f>Dat_02!G179</f>
        <v>0</v>
      </c>
      <c r="J180" s="251" t="str">
        <f>IF(Dat_02!H179=0,"",Dat_02!H179)</f>
        <v/>
      </c>
    </row>
    <row r="181" spans="2:10">
      <c r="B181" s="237"/>
      <c r="C181" s="238">
        <f>Dat_02!B180</f>
        <v>44374</v>
      </c>
      <c r="D181" s="237"/>
      <c r="E181" s="240">
        <f>Dat_02!C180</f>
        <v>35.421572939419292</v>
      </c>
      <c r="F181" s="240">
        <f>Dat_02!D180</f>
        <v>64.00894044961241</v>
      </c>
      <c r="G181" s="240">
        <f>Dat_02!E180</f>
        <v>35.421572939419292</v>
      </c>
      <c r="I181" s="241">
        <f>Dat_02!G180</f>
        <v>0</v>
      </c>
      <c r="J181" s="251" t="str">
        <f>IF(Dat_02!H180=0,"",Dat_02!H180)</f>
        <v/>
      </c>
    </row>
    <row r="182" spans="2:10">
      <c r="B182" s="237"/>
      <c r="C182" s="238">
        <f>Dat_02!B181</f>
        <v>44375</v>
      </c>
      <c r="D182" s="237"/>
      <c r="E182" s="240">
        <f>Dat_02!C181</f>
        <v>57.747371875419283</v>
      </c>
      <c r="F182" s="240">
        <f>Dat_02!D181</f>
        <v>64.00894044961241</v>
      </c>
      <c r="G182" s="240">
        <f>Dat_02!E181</f>
        <v>57.747371875419283</v>
      </c>
      <c r="I182" s="241">
        <f>Dat_02!G181</f>
        <v>0</v>
      </c>
      <c r="J182" s="251" t="str">
        <f>IF(Dat_02!H181=0,"",Dat_02!H181)</f>
        <v/>
      </c>
    </row>
    <row r="183" spans="2:10">
      <c r="B183" s="237"/>
      <c r="C183" s="238">
        <f>Dat_02!B182</f>
        <v>44376</v>
      </c>
      <c r="D183" s="237"/>
      <c r="E183" s="240">
        <f>Dat_02!C182</f>
        <v>56.617720343419293</v>
      </c>
      <c r="F183" s="240">
        <f>Dat_02!D182</f>
        <v>64.00894044961241</v>
      </c>
      <c r="G183" s="240">
        <f>Dat_02!E182</f>
        <v>56.617720343419293</v>
      </c>
      <c r="I183" s="241">
        <f>Dat_02!G182</f>
        <v>0</v>
      </c>
      <c r="J183" s="251" t="str">
        <f>IF(Dat_02!H182=0,"",Dat_02!H182)</f>
        <v/>
      </c>
    </row>
    <row r="184" spans="2:10">
      <c r="B184" s="237"/>
      <c r="C184" s="238">
        <f>Dat_02!B183</f>
        <v>44377</v>
      </c>
      <c r="D184" s="237"/>
      <c r="E184" s="240">
        <f>Dat_02!C183</f>
        <v>38.670632130302387</v>
      </c>
      <c r="F184" s="240">
        <f>Dat_02!D183</f>
        <v>64.00894044961241</v>
      </c>
      <c r="G184" s="240">
        <f>Dat_02!E183</f>
        <v>38.670632130302387</v>
      </c>
      <c r="I184" s="241">
        <f>Dat_02!G183</f>
        <v>0</v>
      </c>
      <c r="J184" s="251" t="str">
        <f>IF(Dat_02!H183=0,"",Dat_02!H183)</f>
        <v/>
      </c>
    </row>
    <row r="185" spans="2:10">
      <c r="B185" s="237" t="s">
        <v>237</v>
      </c>
      <c r="C185" s="238">
        <f>Dat_02!B184</f>
        <v>44378</v>
      </c>
      <c r="D185" s="237"/>
      <c r="E185" s="240">
        <f>Dat_02!C184</f>
        <v>44.623334314304259</v>
      </c>
      <c r="F185" s="240">
        <f>Dat_02!D184</f>
        <v>28.26541708637771</v>
      </c>
      <c r="G185" s="240">
        <f>Dat_02!E184</f>
        <v>28.26541708637771</v>
      </c>
      <c r="I185" s="241">
        <f>Dat_02!G184</f>
        <v>0</v>
      </c>
      <c r="J185" s="251" t="str">
        <f>IF(Dat_02!H184=0,"",Dat_02!H184)</f>
        <v/>
      </c>
    </row>
    <row r="186" spans="2:10">
      <c r="B186" s="239"/>
      <c r="C186" s="238">
        <f>Dat_02!B185</f>
        <v>44379</v>
      </c>
      <c r="D186" s="237"/>
      <c r="E186" s="240">
        <f>Dat_02!C185</f>
        <v>42.427835178304257</v>
      </c>
      <c r="F186" s="240">
        <f>Dat_02!D185</f>
        <v>28.26541708637771</v>
      </c>
      <c r="G186" s="240">
        <f>Dat_02!E185</f>
        <v>28.26541708637771</v>
      </c>
      <c r="I186" s="241">
        <f>Dat_02!G185</f>
        <v>0</v>
      </c>
      <c r="J186" s="251" t="str">
        <f>IF(Dat_02!H185=0,"",Dat_02!H185)</f>
        <v/>
      </c>
    </row>
    <row r="187" spans="2:10">
      <c r="B187" s="239"/>
      <c r="C187" s="238">
        <f>Dat_02!B186</f>
        <v>44380</v>
      </c>
      <c r="D187" s="239"/>
      <c r="E187" s="240">
        <f>Dat_02!C186</f>
        <v>38.561034278302394</v>
      </c>
      <c r="F187" s="240">
        <f>Dat_02!D186</f>
        <v>28.26541708637771</v>
      </c>
      <c r="G187" s="240">
        <f>Dat_02!E186</f>
        <v>28.26541708637771</v>
      </c>
      <c r="I187" s="241">
        <f>Dat_02!G186</f>
        <v>0</v>
      </c>
      <c r="J187" s="251" t="str">
        <f>IF(Dat_02!H186=0,"",Dat_02!H186)</f>
        <v/>
      </c>
    </row>
    <row r="188" spans="2:10">
      <c r="B188" s="239"/>
      <c r="C188" s="238">
        <f>Dat_02!B187</f>
        <v>44381</v>
      </c>
      <c r="D188" s="239"/>
      <c r="E188" s="240">
        <f>Dat_02!C187</f>
        <v>4.5919972943023968</v>
      </c>
      <c r="F188" s="240">
        <f>Dat_02!D187</f>
        <v>28.26541708637771</v>
      </c>
      <c r="G188" s="240">
        <f>Dat_02!E187</f>
        <v>4.5919972943023968</v>
      </c>
      <c r="I188" s="241">
        <f>Dat_02!G187</f>
        <v>0</v>
      </c>
      <c r="J188" s="251" t="str">
        <f>IF(Dat_02!H187=0,"",Dat_02!H187)</f>
        <v/>
      </c>
    </row>
    <row r="189" spans="2:10">
      <c r="B189" s="239"/>
      <c r="C189" s="238">
        <f>Dat_02!B188</f>
        <v>44382</v>
      </c>
      <c r="D189" s="239"/>
      <c r="E189" s="240">
        <f>Dat_02!C188</f>
        <v>37.482896742304263</v>
      </c>
      <c r="F189" s="240">
        <f>Dat_02!D188</f>
        <v>28.26541708637771</v>
      </c>
      <c r="G189" s="240">
        <f>Dat_02!E188</f>
        <v>28.26541708637771</v>
      </c>
      <c r="I189" s="241">
        <f>Dat_02!G188</f>
        <v>0</v>
      </c>
      <c r="J189" s="251" t="str">
        <f>IF(Dat_02!H188=0,"",Dat_02!H188)</f>
        <v/>
      </c>
    </row>
    <row r="190" spans="2:10">
      <c r="B190" s="237"/>
      <c r="C190" s="238">
        <f>Dat_02!B189</f>
        <v>44383</v>
      </c>
      <c r="D190" s="237"/>
      <c r="E190" s="240">
        <f>Dat_02!C189</f>
        <v>40.491079394304251</v>
      </c>
      <c r="F190" s="240">
        <f>Dat_02!D189</f>
        <v>28.26541708637771</v>
      </c>
      <c r="G190" s="240">
        <f>Dat_02!E189</f>
        <v>28.26541708637771</v>
      </c>
      <c r="I190" s="241">
        <f>Dat_02!G189</f>
        <v>0</v>
      </c>
      <c r="J190" s="251" t="str">
        <f>IF(Dat_02!H189=0,"",Dat_02!H189)</f>
        <v/>
      </c>
    </row>
    <row r="191" spans="2:10">
      <c r="B191" s="237"/>
      <c r="C191" s="238">
        <f>Dat_02!B190</f>
        <v>44384</v>
      </c>
      <c r="D191" s="237"/>
      <c r="E191" s="240">
        <f>Dat_02!C190</f>
        <v>37.486758876303213</v>
      </c>
      <c r="F191" s="240">
        <f>Dat_02!D190</f>
        <v>28.26541708637771</v>
      </c>
      <c r="G191" s="240">
        <f>Dat_02!E190</f>
        <v>28.26541708637771</v>
      </c>
      <c r="I191" s="241">
        <f>Dat_02!G190</f>
        <v>0</v>
      </c>
      <c r="J191" s="251" t="str">
        <f>IF(Dat_02!H190=0,"",Dat_02!H190)</f>
        <v/>
      </c>
    </row>
    <row r="192" spans="2:10">
      <c r="B192" s="237"/>
      <c r="C192" s="238">
        <f>Dat_02!B191</f>
        <v>44385</v>
      </c>
      <c r="D192" s="237"/>
      <c r="E192" s="240">
        <f>Dat_02!C191</f>
        <v>25.244979888306947</v>
      </c>
      <c r="F192" s="240">
        <f>Dat_02!D191</f>
        <v>28.26541708637771</v>
      </c>
      <c r="G192" s="240">
        <f>Dat_02!E191</f>
        <v>25.244979888306947</v>
      </c>
      <c r="I192" s="241">
        <f>Dat_02!G191</f>
        <v>0</v>
      </c>
      <c r="J192" s="251" t="str">
        <f>IF(Dat_02!H191=0,"",Dat_02!H191)</f>
        <v/>
      </c>
    </row>
    <row r="193" spans="2:10">
      <c r="B193" s="237"/>
      <c r="C193" s="238">
        <f>Dat_02!B192</f>
        <v>44386</v>
      </c>
      <c r="D193" s="237"/>
      <c r="E193" s="240">
        <f>Dat_02!C192</f>
        <v>24.840714244305083</v>
      </c>
      <c r="F193" s="240">
        <f>Dat_02!D192</f>
        <v>28.26541708637771</v>
      </c>
      <c r="G193" s="240">
        <f>Dat_02!E192</f>
        <v>24.840714244305083</v>
      </c>
      <c r="I193" s="241">
        <f>Dat_02!G192</f>
        <v>0</v>
      </c>
      <c r="J193" s="251" t="str">
        <f>IF(Dat_02!H192=0,"",Dat_02!H192)</f>
        <v/>
      </c>
    </row>
    <row r="194" spans="2:10">
      <c r="B194" s="237"/>
      <c r="C194" s="238">
        <f>Dat_02!B193</f>
        <v>44387</v>
      </c>
      <c r="D194" s="237"/>
      <c r="E194" s="240">
        <f>Dat_02!C193</f>
        <v>24.870762528305072</v>
      </c>
      <c r="F194" s="240">
        <f>Dat_02!D193</f>
        <v>28.26541708637771</v>
      </c>
      <c r="G194" s="240">
        <f>Dat_02!E193</f>
        <v>24.870762528305072</v>
      </c>
      <c r="I194" s="241">
        <f>Dat_02!G193</f>
        <v>0</v>
      </c>
      <c r="J194" s="251" t="str">
        <f>IF(Dat_02!H193=0,"",Dat_02!H193)</f>
        <v/>
      </c>
    </row>
    <row r="195" spans="2:10">
      <c r="B195" s="237"/>
      <c r="C195" s="238">
        <f>Dat_02!B194</f>
        <v>44388</v>
      </c>
      <c r="D195" s="237"/>
      <c r="E195" s="240">
        <f>Dat_02!C194</f>
        <v>24.551447760305077</v>
      </c>
      <c r="F195" s="240">
        <f>Dat_02!D194</f>
        <v>28.26541708637771</v>
      </c>
      <c r="G195" s="240">
        <f>Dat_02!E194</f>
        <v>24.551447760305077</v>
      </c>
      <c r="I195" s="241">
        <f>Dat_02!G194</f>
        <v>0</v>
      </c>
      <c r="J195" s="251" t="str">
        <f>IF(Dat_02!H194=0,"",Dat_02!H194)</f>
        <v/>
      </c>
    </row>
    <row r="196" spans="2:10">
      <c r="B196" s="237"/>
      <c r="C196" s="238">
        <f>Dat_02!B195</f>
        <v>44389</v>
      </c>
      <c r="D196" s="237"/>
      <c r="E196" s="240">
        <f>Dat_02!C195</f>
        <v>14.562916316305083</v>
      </c>
      <c r="F196" s="240">
        <f>Dat_02!D195</f>
        <v>28.26541708637771</v>
      </c>
      <c r="G196" s="240">
        <f>Dat_02!E195</f>
        <v>14.562916316305083</v>
      </c>
      <c r="I196" s="241">
        <f>Dat_02!G195</f>
        <v>0</v>
      </c>
      <c r="J196" s="251" t="str">
        <f>IF(Dat_02!H195=0,"",Dat_02!H195)</f>
        <v/>
      </c>
    </row>
    <row r="197" spans="2:10">
      <c r="B197" s="237"/>
      <c r="C197" s="238">
        <f>Dat_02!B196</f>
        <v>44390</v>
      </c>
      <c r="D197" s="237"/>
      <c r="E197" s="240">
        <f>Dat_02!C196</f>
        <v>17.441116352305077</v>
      </c>
      <c r="F197" s="240">
        <f>Dat_02!D196</f>
        <v>28.26541708637771</v>
      </c>
      <c r="G197" s="240">
        <f>Dat_02!E196</f>
        <v>17.441116352305077</v>
      </c>
      <c r="I197" s="241">
        <f>Dat_02!G196</f>
        <v>0</v>
      </c>
      <c r="J197" s="251" t="str">
        <f>IF(Dat_02!H196=0,"",Dat_02!H196)</f>
        <v/>
      </c>
    </row>
    <row r="198" spans="2:10">
      <c r="B198" s="237"/>
      <c r="C198" s="238">
        <f>Dat_02!B197</f>
        <v>44391</v>
      </c>
      <c r="D198" s="237"/>
      <c r="E198" s="240">
        <f>Dat_02!C197</f>
        <v>3.2754083586414198</v>
      </c>
      <c r="F198" s="240">
        <f>Dat_02!D197</f>
        <v>28.26541708637771</v>
      </c>
      <c r="G198" s="240">
        <f>Dat_02!E197</f>
        <v>3.2754083586414198</v>
      </c>
      <c r="I198" s="241">
        <f>Dat_02!G197</f>
        <v>0</v>
      </c>
      <c r="J198" s="251" t="str">
        <f>IF(Dat_02!H197=0,"",Dat_02!H197)</f>
        <v/>
      </c>
    </row>
    <row r="199" spans="2:10">
      <c r="B199" s="237"/>
      <c r="C199" s="238">
        <f>Dat_02!B198</f>
        <v>44392</v>
      </c>
      <c r="D199" s="237"/>
      <c r="E199" s="240">
        <f>Dat_02!C198</f>
        <v>3.6945645986414166</v>
      </c>
      <c r="F199" s="240">
        <f>Dat_02!D198</f>
        <v>28.26541708637771</v>
      </c>
      <c r="G199" s="240">
        <f>Dat_02!E198</f>
        <v>3.6945645986414166</v>
      </c>
      <c r="I199" s="241">
        <f>Dat_02!G198</f>
        <v>28.26541708637771</v>
      </c>
      <c r="J199" s="251" t="str">
        <f>IF(Dat_02!H198=0,"",Dat_02!H198)</f>
        <v/>
      </c>
    </row>
    <row r="200" spans="2:10">
      <c r="B200" s="237"/>
      <c r="C200" s="238">
        <f>Dat_02!B199</f>
        <v>44393</v>
      </c>
      <c r="D200" s="237"/>
      <c r="E200" s="240">
        <f>Dat_02!C199</f>
        <v>3.4268584426414161</v>
      </c>
      <c r="F200" s="240">
        <f>Dat_02!D199</f>
        <v>28.26541708637771</v>
      </c>
      <c r="G200" s="240">
        <f>Dat_02!E199</f>
        <v>3.4268584426414161</v>
      </c>
      <c r="I200" s="241">
        <f>Dat_02!G199</f>
        <v>0</v>
      </c>
      <c r="J200" s="251" t="str">
        <f>IF(Dat_02!H199=0,"",Dat_02!H199)</f>
        <v/>
      </c>
    </row>
    <row r="201" spans="2:10">
      <c r="B201" s="237"/>
      <c r="C201" s="238">
        <f>Dat_02!B200</f>
        <v>44394</v>
      </c>
      <c r="D201" s="237"/>
      <c r="E201" s="240">
        <f>Dat_02!C200</f>
        <v>4.1824974026414132</v>
      </c>
      <c r="F201" s="240">
        <f>Dat_02!D200</f>
        <v>28.26541708637771</v>
      </c>
      <c r="G201" s="240">
        <f>Dat_02!E200</f>
        <v>4.1824974026414132</v>
      </c>
      <c r="I201" s="241">
        <f>Dat_02!G200</f>
        <v>0</v>
      </c>
      <c r="J201" s="251" t="str">
        <f>IF(Dat_02!H200=0,"",Dat_02!H200)</f>
        <v/>
      </c>
    </row>
    <row r="202" spans="2:10">
      <c r="B202" s="237"/>
      <c r="C202" s="238">
        <f>Dat_02!B201</f>
        <v>44395</v>
      </c>
      <c r="D202" s="237"/>
      <c r="E202" s="240">
        <f>Dat_02!C201</f>
        <v>4.8783048986432842</v>
      </c>
      <c r="F202" s="240">
        <f>Dat_02!D201</f>
        <v>28.26541708637771</v>
      </c>
      <c r="G202" s="240">
        <f>Dat_02!E201</f>
        <v>4.8783048986432842</v>
      </c>
      <c r="I202" s="241">
        <f>Dat_02!G201</f>
        <v>0</v>
      </c>
      <c r="J202" s="251" t="str">
        <f>IF(Dat_02!H201=0,"",Dat_02!H201)</f>
        <v/>
      </c>
    </row>
    <row r="203" spans="2:10">
      <c r="B203" s="237"/>
      <c r="C203" s="238">
        <f>Dat_02!B202</f>
        <v>44396</v>
      </c>
      <c r="D203" s="237"/>
      <c r="E203" s="240">
        <f>Dat_02!C202</f>
        <v>3.8029007226414251</v>
      </c>
      <c r="F203" s="240">
        <f>Dat_02!D202</f>
        <v>28.26541708637771</v>
      </c>
      <c r="G203" s="240">
        <f>Dat_02!E202</f>
        <v>3.8029007226414251</v>
      </c>
      <c r="I203" s="241">
        <f>Dat_02!G202</f>
        <v>0</v>
      </c>
      <c r="J203" s="251" t="str">
        <f>IF(Dat_02!H202=0,"",Dat_02!H202)</f>
        <v/>
      </c>
    </row>
    <row r="204" spans="2:10">
      <c r="B204" s="237"/>
      <c r="C204" s="238">
        <f>Dat_02!B203</f>
        <v>44397</v>
      </c>
      <c r="D204" s="237"/>
      <c r="E204" s="240">
        <f>Dat_02!C203</f>
        <v>0.74183819064328416</v>
      </c>
      <c r="F204" s="240">
        <f>Dat_02!D203</f>
        <v>28.26541708637771</v>
      </c>
      <c r="G204" s="240">
        <f>Dat_02!E203</f>
        <v>0.74183819064328416</v>
      </c>
      <c r="I204" s="241">
        <f>Dat_02!G203</f>
        <v>0</v>
      </c>
      <c r="J204" s="251" t="str">
        <f>IF(Dat_02!H203=0,"",Dat_02!H203)</f>
        <v/>
      </c>
    </row>
    <row r="205" spans="2:10">
      <c r="B205" s="237"/>
      <c r="C205" s="238">
        <f>Dat_02!B204</f>
        <v>44398</v>
      </c>
      <c r="D205" s="237"/>
      <c r="E205" s="240">
        <f>Dat_02!C204</f>
        <v>19.400675297499554</v>
      </c>
      <c r="F205" s="240">
        <f>Dat_02!D204</f>
        <v>28.26541708637771</v>
      </c>
      <c r="G205" s="240">
        <f>Dat_02!E204</f>
        <v>19.400675297499554</v>
      </c>
      <c r="I205" s="241">
        <f>Dat_02!G204</f>
        <v>0</v>
      </c>
      <c r="J205" s="251" t="str">
        <f>IF(Dat_02!H204=0,"",Dat_02!H204)</f>
        <v/>
      </c>
    </row>
    <row r="206" spans="2:10">
      <c r="B206" s="237"/>
      <c r="C206" s="238">
        <f>Dat_02!B205</f>
        <v>44399</v>
      </c>
      <c r="D206" s="237"/>
      <c r="E206" s="240">
        <f>Dat_02!C205</f>
        <v>16.547869301501422</v>
      </c>
      <c r="F206" s="240">
        <f>Dat_02!D205</f>
        <v>28.26541708637771</v>
      </c>
      <c r="G206" s="240">
        <f>Dat_02!E205</f>
        <v>16.547869301501422</v>
      </c>
      <c r="I206" s="241">
        <f>Dat_02!G205</f>
        <v>0</v>
      </c>
      <c r="J206" s="251" t="str">
        <f>IF(Dat_02!H205=0,"",Dat_02!H205)</f>
        <v/>
      </c>
    </row>
    <row r="207" spans="2:10">
      <c r="B207" s="237"/>
      <c r="C207" s="238">
        <f>Dat_02!B206</f>
        <v>44400</v>
      </c>
      <c r="D207" s="237"/>
      <c r="E207" s="240">
        <f>Dat_02!C206</f>
        <v>13.253901153499559</v>
      </c>
      <c r="F207" s="240">
        <f>Dat_02!D206</f>
        <v>28.26541708637771</v>
      </c>
      <c r="G207" s="240">
        <f>Dat_02!E206</f>
        <v>13.253901153499559</v>
      </c>
      <c r="I207" s="241">
        <f>Dat_02!G206</f>
        <v>0</v>
      </c>
      <c r="J207" s="251" t="str">
        <f>IF(Dat_02!H206=0,"",Dat_02!H206)</f>
        <v/>
      </c>
    </row>
    <row r="208" spans="2:10">
      <c r="B208" s="237"/>
      <c r="C208" s="238">
        <f>Dat_02!B207</f>
        <v>44401</v>
      </c>
      <c r="D208" s="237"/>
      <c r="E208" s="240">
        <f>Dat_02!C207</f>
        <v>11.600976877501417</v>
      </c>
      <c r="F208" s="240">
        <f>Dat_02!D207</f>
        <v>28.26541708637771</v>
      </c>
      <c r="G208" s="240">
        <f>Dat_02!E207</f>
        <v>11.600976877501417</v>
      </c>
      <c r="I208" s="241">
        <f>Dat_02!G207</f>
        <v>0</v>
      </c>
      <c r="J208" s="251" t="str">
        <f>IF(Dat_02!H207=0,"",Dat_02!H207)</f>
        <v/>
      </c>
    </row>
    <row r="209" spans="2:10">
      <c r="B209" s="237"/>
      <c r="C209" s="238">
        <f>Dat_02!B208</f>
        <v>44402</v>
      </c>
      <c r="D209" s="237"/>
      <c r="E209" s="240">
        <f>Dat_02!C208</f>
        <v>7.0930074214995544</v>
      </c>
      <c r="F209" s="240">
        <f>Dat_02!D208</f>
        <v>28.26541708637771</v>
      </c>
      <c r="G209" s="240">
        <f>Dat_02!E208</f>
        <v>7.0930074214995544</v>
      </c>
      <c r="I209" s="241">
        <f>Dat_02!G208</f>
        <v>0</v>
      </c>
      <c r="J209" s="251" t="str">
        <f>IF(Dat_02!H208=0,"",Dat_02!H208)</f>
        <v/>
      </c>
    </row>
    <row r="210" spans="2:10">
      <c r="B210" s="237"/>
      <c r="C210" s="238">
        <f>Dat_02!B209</f>
        <v>44403</v>
      </c>
      <c r="D210" s="237"/>
      <c r="E210" s="240">
        <f>Dat_02!C209</f>
        <v>10.135140933501418</v>
      </c>
      <c r="F210" s="240">
        <f>Dat_02!D209</f>
        <v>28.26541708637771</v>
      </c>
      <c r="G210" s="240">
        <f>Dat_02!E209</f>
        <v>10.135140933501418</v>
      </c>
      <c r="I210" s="241">
        <f>Dat_02!G209</f>
        <v>0</v>
      </c>
      <c r="J210" s="251" t="str">
        <f>IF(Dat_02!H209=0,"",Dat_02!H209)</f>
        <v/>
      </c>
    </row>
    <row r="211" spans="2:10">
      <c r="B211" s="237"/>
      <c r="C211" s="238">
        <f>Dat_02!B210</f>
        <v>44404</v>
      </c>
      <c r="D211" s="237"/>
      <c r="E211" s="240">
        <f>Dat_02!C210</f>
        <v>9.3445790974995546</v>
      </c>
      <c r="F211" s="240">
        <f>Dat_02!D210</f>
        <v>28.26541708637771</v>
      </c>
      <c r="G211" s="240">
        <f>Dat_02!E210</f>
        <v>9.3445790974995546</v>
      </c>
      <c r="I211" s="241">
        <f>Dat_02!G210</f>
        <v>0</v>
      </c>
      <c r="J211" s="251" t="str">
        <f>IF(Dat_02!H210=0,"",Dat_02!H210)</f>
        <v/>
      </c>
    </row>
    <row r="212" spans="2:10">
      <c r="B212" s="237"/>
      <c r="C212" s="238">
        <f>Dat_02!B211</f>
        <v>44405</v>
      </c>
      <c r="D212" s="237"/>
      <c r="E212" s="240">
        <f>Dat_02!C211</f>
        <v>6.3715039010995751</v>
      </c>
      <c r="F212" s="240">
        <f>Dat_02!D211</f>
        <v>28.26541708637771</v>
      </c>
      <c r="G212" s="240">
        <f>Dat_02!E211</f>
        <v>6.3715039010995751</v>
      </c>
      <c r="I212" s="241">
        <f>Dat_02!G211</f>
        <v>0</v>
      </c>
      <c r="J212" s="251" t="str">
        <f>IF(Dat_02!H211=0,"",Dat_02!H211)</f>
        <v/>
      </c>
    </row>
    <row r="213" spans="2:10">
      <c r="B213" s="237"/>
      <c r="C213" s="238">
        <f>Dat_02!B212</f>
        <v>44406</v>
      </c>
      <c r="D213" s="237"/>
      <c r="E213" s="240">
        <f>Dat_02!C212</f>
        <v>18.602762529097717</v>
      </c>
      <c r="F213" s="240">
        <f>Dat_02!D212</f>
        <v>28.26541708637771</v>
      </c>
      <c r="G213" s="240">
        <f>Dat_02!E212</f>
        <v>18.602762529097717</v>
      </c>
      <c r="I213" s="241">
        <f>Dat_02!G212</f>
        <v>0</v>
      </c>
      <c r="J213" s="251" t="str">
        <f>IF(Dat_02!H212=0,"",Dat_02!H212)</f>
        <v/>
      </c>
    </row>
    <row r="214" spans="2:10">
      <c r="B214" s="237"/>
      <c r="C214" s="238">
        <f>Dat_02!B213</f>
        <v>44407</v>
      </c>
      <c r="D214" s="237"/>
      <c r="E214" s="240">
        <f>Dat_02!C213</f>
        <v>18.106815577097716</v>
      </c>
      <c r="F214" s="240">
        <f>Dat_02!D213</f>
        <v>28.26541708637771</v>
      </c>
      <c r="G214" s="240">
        <f>Dat_02!E213</f>
        <v>18.106815577097716</v>
      </c>
      <c r="I214" s="241">
        <f>Dat_02!G213</f>
        <v>0</v>
      </c>
      <c r="J214" s="251" t="str">
        <f>IF(Dat_02!H213=0,"",Dat_02!H213)</f>
        <v/>
      </c>
    </row>
    <row r="215" spans="2:10">
      <c r="B215" s="237"/>
      <c r="C215" s="238">
        <f>Dat_02!B214</f>
        <v>44408</v>
      </c>
      <c r="D215" s="237"/>
      <c r="E215" s="240">
        <f>Dat_02!C214</f>
        <v>3.8845743750977126</v>
      </c>
      <c r="F215" s="240">
        <f>Dat_02!D214</f>
        <v>28.26541708637771</v>
      </c>
      <c r="G215" s="240">
        <f>Dat_02!E214</f>
        <v>3.8845743750977126</v>
      </c>
      <c r="I215" s="241">
        <f>Dat_02!G214</f>
        <v>0</v>
      </c>
      <c r="J215" s="251" t="str">
        <f>IF(Dat_02!H214=0,"",Dat_02!H214)</f>
        <v/>
      </c>
    </row>
    <row r="216" spans="2:10">
      <c r="B216" s="237" t="s">
        <v>238</v>
      </c>
      <c r="C216" s="238">
        <f>Dat_02!B215</f>
        <v>44409</v>
      </c>
      <c r="D216" s="237"/>
      <c r="E216" s="240">
        <f>Dat_02!C215</f>
        <v>4.4793895870995764</v>
      </c>
      <c r="F216" s="240">
        <f>Dat_02!D215</f>
        <v>17.065966880459293</v>
      </c>
      <c r="G216" s="240">
        <f>Dat_02!E215</f>
        <v>4.4793895870995764</v>
      </c>
      <c r="I216" s="241">
        <f>Dat_02!G215</f>
        <v>0</v>
      </c>
      <c r="J216" s="251" t="str">
        <f>IF(Dat_02!H215=0,"",Dat_02!H215)</f>
        <v/>
      </c>
    </row>
    <row r="217" spans="2:10">
      <c r="B217" s="239"/>
      <c r="C217" s="238">
        <f>Dat_02!B216</f>
        <v>44410</v>
      </c>
      <c r="D217" s="239"/>
      <c r="E217" s="240">
        <f>Dat_02!C216</f>
        <v>24.126066195101433</v>
      </c>
      <c r="F217" s="240">
        <f>Dat_02!D216</f>
        <v>17.065966880459293</v>
      </c>
      <c r="G217" s="240">
        <f>Dat_02!E216</f>
        <v>17.065966880459293</v>
      </c>
      <c r="I217" s="241">
        <f>Dat_02!G216</f>
        <v>0</v>
      </c>
      <c r="J217" s="251" t="str">
        <f>IF(Dat_02!H216=0,"",Dat_02!H216)</f>
        <v/>
      </c>
    </row>
    <row r="218" spans="2:10">
      <c r="B218" s="239"/>
      <c r="C218" s="238">
        <f>Dat_02!B217</f>
        <v>44411</v>
      </c>
      <c r="D218" s="239"/>
      <c r="E218" s="240">
        <f>Dat_02!C217</f>
        <v>22.844926373095849</v>
      </c>
      <c r="F218" s="240">
        <f>Dat_02!D217</f>
        <v>17.065966880459293</v>
      </c>
      <c r="G218" s="240">
        <f>Dat_02!E217</f>
        <v>17.065966880459293</v>
      </c>
      <c r="I218" s="241">
        <f>Dat_02!G217</f>
        <v>0</v>
      </c>
      <c r="J218" s="251" t="str">
        <f>IF(Dat_02!H217=0,"",Dat_02!H217)</f>
        <v/>
      </c>
    </row>
    <row r="219" spans="2:10">
      <c r="B219" s="239"/>
      <c r="C219" s="238">
        <f>Dat_02!B218</f>
        <v>44412</v>
      </c>
      <c r="D219" s="239"/>
      <c r="E219" s="240">
        <f>Dat_02!C218</f>
        <v>20.832162048340773</v>
      </c>
      <c r="F219" s="240">
        <f>Dat_02!D218</f>
        <v>17.065966880459293</v>
      </c>
      <c r="G219" s="240">
        <f>Dat_02!E218</f>
        <v>17.065966880459293</v>
      </c>
      <c r="I219" s="241">
        <f>Dat_02!G218</f>
        <v>0</v>
      </c>
      <c r="J219" s="251" t="str">
        <f>IF(Dat_02!H218=0,"",Dat_02!H218)</f>
        <v/>
      </c>
    </row>
    <row r="220" spans="2:10">
      <c r="B220" s="239"/>
      <c r="C220" s="238">
        <f>Dat_02!B219</f>
        <v>44413</v>
      </c>
      <c r="D220" s="239"/>
      <c r="E220" s="240">
        <f>Dat_02!C219</f>
        <v>20.410571116342631</v>
      </c>
      <c r="F220" s="240">
        <f>Dat_02!D219</f>
        <v>17.065966880459293</v>
      </c>
      <c r="G220" s="240">
        <f>Dat_02!E219</f>
        <v>17.065966880459293</v>
      </c>
      <c r="I220" s="241">
        <f>Dat_02!G219</f>
        <v>0</v>
      </c>
      <c r="J220" s="251" t="str">
        <f>IF(Dat_02!H219=0,"",Dat_02!H219)</f>
        <v/>
      </c>
    </row>
    <row r="221" spans="2:10">
      <c r="B221" s="237"/>
      <c r="C221" s="238">
        <f>Dat_02!B220</f>
        <v>44414</v>
      </c>
      <c r="D221" s="237"/>
      <c r="E221" s="240">
        <f>Dat_02!C220</f>
        <v>5.423779910340774</v>
      </c>
      <c r="F221" s="240">
        <f>Dat_02!D220</f>
        <v>17.065966880459293</v>
      </c>
      <c r="G221" s="240">
        <f>Dat_02!E220</f>
        <v>5.423779910340774</v>
      </c>
      <c r="I221" s="241">
        <f>Dat_02!G220</f>
        <v>0</v>
      </c>
      <c r="J221" s="251" t="str">
        <f>IF(Dat_02!H220=0,"",Dat_02!H220)</f>
        <v/>
      </c>
    </row>
    <row r="222" spans="2:10">
      <c r="B222" s="237"/>
      <c r="C222" s="238">
        <f>Dat_02!B221</f>
        <v>44415</v>
      </c>
      <c r="D222" s="237"/>
      <c r="E222" s="240">
        <f>Dat_02!C221</f>
        <v>3.9983903463426325</v>
      </c>
      <c r="F222" s="240">
        <f>Dat_02!D221</f>
        <v>17.065966880459293</v>
      </c>
      <c r="G222" s="240">
        <f>Dat_02!E221</f>
        <v>3.9983903463426325</v>
      </c>
      <c r="I222" s="241">
        <f>Dat_02!G221</f>
        <v>0</v>
      </c>
      <c r="J222" s="251" t="str">
        <f>IF(Dat_02!H221=0,"",Dat_02!H221)</f>
        <v/>
      </c>
    </row>
    <row r="223" spans="2:10">
      <c r="B223" s="237"/>
      <c r="C223" s="238">
        <f>Dat_02!B222</f>
        <v>44416</v>
      </c>
      <c r="D223" s="237"/>
      <c r="E223" s="240">
        <f>Dat_02!C222</f>
        <v>2.8788622423407721</v>
      </c>
      <c r="F223" s="240">
        <f>Dat_02!D222</f>
        <v>17.065966880459293</v>
      </c>
      <c r="G223" s="240">
        <f>Dat_02!E222</f>
        <v>2.8788622423407721</v>
      </c>
      <c r="I223" s="241">
        <f>Dat_02!G222</f>
        <v>0</v>
      </c>
      <c r="J223" s="251" t="str">
        <f>IF(Dat_02!H222=0,"",Dat_02!H222)</f>
        <v/>
      </c>
    </row>
    <row r="224" spans="2:10">
      <c r="B224" s="237"/>
      <c r="C224" s="238">
        <f>Dat_02!B223</f>
        <v>44417</v>
      </c>
      <c r="D224" s="237"/>
      <c r="E224" s="240">
        <f>Dat_02!C223</f>
        <v>16.043749728340771</v>
      </c>
      <c r="F224" s="240">
        <f>Dat_02!D223</f>
        <v>17.065966880459293</v>
      </c>
      <c r="G224" s="240">
        <f>Dat_02!E223</f>
        <v>16.043749728340771</v>
      </c>
      <c r="I224" s="241">
        <f>Dat_02!G223</f>
        <v>0</v>
      </c>
      <c r="J224" s="251" t="str">
        <f>IF(Dat_02!H223=0,"",Dat_02!H223)</f>
        <v/>
      </c>
    </row>
    <row r="225" spans="2:10">
      <c r="B225" s="237"/>
      <c r="C225" s="238">
        <f>Dat_02!B224</f>
        <v>44418</v>
      </c>
      <c r="D225" s="237"/>
      <c r="E225" s="240">
        <f>Dat_02!C224</f>
        <v>12.268163616340768</v>
      </c>
      <c r="F225" s="240">
        <f>Dat_02!D224</f>
        <v>17.065966880459293</v>
      </c>
      <c r="G225" s="240">
        <f>Dat_02!E224</f>
        <v>12.268163616340768</v>
      </c>
      <c r="I225" s="241">
        <f>Dat_02!G224</f>
        <v>0</v>
      </c>
      <c r="J225" s="251" t="str">
        <f>IF(Dat_02!H224=0,"",Dat_02!H224)</f>
        <v/>
      </c>
    </row>
    <row r="226" spans="2:10">
      <c r="B226" s="237"/>
      <c r="C226" s="238">
        <f>Dat_02!B225</f>
        <v>44419</v>
      </c>
      <c r="D226" s="237"/>
      <c r="E226" s="240">
        <f>Dat_02!C225</f>
        <v>12.80672435372902</v>
      </c>
      <c r="F226" s="240">
        <f>Dat_02!D225</f>
        <v>17.065966880459293</v>
      </c>
      <c r="G226" s="240">
        <f>Dat_02!E225</f>
        <v>12.80672435372902</v>
      </c>
      <c r="I226" s="241">
        <f>Dat_02!G225</f>
        <v>0</v>
      </c>
      <c r="J226" s="251" t="str">
        <f>IF(Dat_02!H225=0,"",Dat_02!H225)</f>
        <v/>
      </c>
    </row>
    <row r="227" spans="2:10">
      <c r="B227" s="237"/>
      <c r="C227" s="238">
        <f>Dat_02!B226</f>
        <v>44420</v>
      </c>
      <c r="D227" s="237"/>
      <c r="E227" s="240">
        <f>Dat_02!C226</f>
        <v>11.791758197727148</v>
      </c>
      <c r="F227" s="240">
        <f>Dat_02!D226</f>
        <v>17.065966880459293</v>
      </c>
      <c r="G227" s="240">
        <f>Dat_02!E226</f>
        <v>11.791758197727148</v>
      </c>
      <c r="I227" s="241">
        <f>Dat_02!G226</f>
        <v>0</v>
      </c>
      <c r="J227" s="251" t="str">
        <f>IF(Dat_02!H226=0,"",Dat_02!H226)</f>
        <v/>
      </c>
    </row>
    <row r="228" spans="2:10">
      <c r="B228" s="237"/>
      <c r="C228" s="238">
        <f>Dat_02!B227</f>
        <v>44421</v>
      </c>
      <c r="D228" s="237"/>
      <c r="E228" s="240">
        <f>Dat_02!C227</f>
        <v>10.618293341727156</v>
      </c>
      <c r="F228" s="240">
        <f>Dat_02!D227</f>
        <v>17.065966880459293</v>
      </c>
      <c r="G228" s="240">
        <f>Dat_02!E227</f>
        <v>10.618293341727156</v>
      </c>
      <c r="I228" s="241">
        <f>Dat_02!G227</f>
        <v>0</v>
      </c>
      <c r="J228" s="251" t="str">
        <f>IF(Dat_02!H227=0,"",Dat_02!H227)</f>
        <v/>
      </c>
    </row>
    <row r="229" spans="2:10">
      <c r="B229" s="237"/>
      <c r="C229" s="238">
        <f>Dat_02!B228</f>
        <v>44422</v>
      </c>
      <c r="D229" s="237"/>
      <c r="E229" s="240">
        <f>Dat_02!C228</f>
        <v>8.296624413727157</v>
      </c>
      <c r="F229" s="240">
        <f>Dat_02!D228</f>
        <v>17.065966880459293</v>
      </c>
      <c r="G229" s="240">
        <f>Dat_02!E228</f>
        <v>8.296624413727157</v>
      </c>
      <c r="I229" s="241">
        <f>Dat_02!G228</f>
        <v>0</v>
      </c>
      <c r="J229" s="251" t="str">
        <f>IF(Dat_02!H228=0,"",Dat_02!H228)</f>
        <v/>
      </c>
    </row>
    <row r="230" spans="2:10">
      <c r="B230" s="237"/>
      <c r="C230" s="238">
        <f>Dat_02!B229</f>
        <v>44423</v>
      </c>
      <c r="D230" s="237"/>
      <c r="E230" s="240">
        <f>Dat_02!C229</f>
        <v>2.8303781297280803</v>
      </c>
      <c r="F230" s="240">
        <f>Dat_02!D229</f>
        <v>17.065966880459293</v>
      </c>
      <c r="G230" s="240">
        <f>Dat_02!E229</f>
        <v>2.8303781297280803</v>
      </c>
      <c r="I230" s="241">
        <f>Dat_02!G229</f>
        <v>17.065966880459293</v>
      </c>
      <c r="J230" s="251" t="str">
        <f>IF(Dat_02!H229=0,"",Dat_02!H229)</f>
        <v/>
      </c>
    </row>
    <row r="231" spans="2:10">
      <c r="B231" s="237"/>
      <c r="C231" s="238">
        <f>Dat_02!B230</f>
        <v>44424</v>
      </c>
      <c r="D231" s="237"/>
      <c r="E231" s="240">
        <f>Dat_02!C230</f>
        <v>2.5184554617262185</v>
      </c>
      <c r="F231" s="240">
        <f>Dat_02!D230</f>
        <v>17.065966880459293</v>
      </c>
      <c r="G231" s="240">
        <f>Dat_02!E230</f>
        <v>2.5184554617262185</v>
      </c>
      <c r="I231" s="241">
        <f>Dat_02!G230</f>
        <v>0</v>
      </c>
      <c r="J231" s="251" t="str">
        <f>IF(Dat_02!H230=0,"",Dat_02!H230)</f>
        <v/>
      </c>
    </row>
    <row r="232" spans="2:10">
      <c r="B232" s="237"/>
      <c r="C232" s="238">
        <f>Dat_02!B231</f>
        <v>44425</v>
      </c>
      <c r="D232" s="237"/>
      <c r="E232" s="240">
        <f>Dat_02!C231</f>
        <v>1.6434941217280865</v>
      </c>
      <c r="F232" s="240">
        <f>Dat_02!D231</f>
        <v>17.065966880459293</v>
      </c>
      <c r="G232" s="240">
        <f>Dat_02!E231</f>
        <v>1.6434941217280865</v>
      </c>
      <c r="I232" s="241">
        <f>Dat_02!G231</f>
        <v>0</v>
      </c>
      <c r="J232" s="251" t="str">
        <f>IF(Dat_02!H231=0,"",Dat_02!H231)</f>
        <v/>
      </c>
    </row>
    <row r="233" spans="2:10">
      <c r="B233" s="237"/>
      <c r="C233" s="238">
        <f>Dat_02!B232</f>
        <v>44426</v>
      </c>
      <c r="D233" s="237"/>
      <c r="E233" s="240">
        <f>Dat_02!C232</f>
        <v>1.1219695109318855</v>
      </c>
      <c r="F233" s="240">
        <f>Dat_02!D232</f>
        <v>17.065966880459293</v>
      </c>
      <c r="G233" s="240">
        <f>Dat_02!E232</f>
        <v>1.1219695109318855</v>
      </c>
      <c r="I233" s="241">
        <f>Dat_02!G232</f>
        <v>0</v>
      </c>
      <c r="J233" s="251" t="str">
        <f>IF(Dat_02!H232=0,"",Dat_02!H232)</f>
        <v/>
      </c>
    </row>
    <row r="234" spans="2:10">
      <c r="B234" s="237"/>
      <c r="C234" s="238">
        <f>Dat_02!B233</f>
        <v>44427</v>
      </c>
      <c r="D234" s="237"/>
      <c r="E234" s="240">
        <f>Dat_02!C233</f>
        <v>12.315969820931882</v>
      </c>
      <c r="F234" s="240">
        <f>Dat_02!D233</f>
        <v>17.065966880459293</v>
      </c>
      <c r="G234" s="240">
        <f>Dat_02!E233</f>
        <v>12.315969820931882</v>
      </c>
      <c r="I234" s="241">
        <f>Dat_02!G233</f>
        <v>0</v>
      </c>
      <c r="J234" s="251" t="str">
        <f>IF(Dat_02!H233=0,"",Dat_02!H233)</f>
        <v/>
      </c>
    </row>
    <row r="235" spans="2:10">
      <c r="B235" s="237"/>
      <c r="C235" s="238">
        <f>Dat_02!B234</f>
        <v>44428</v>
      </c>
      <c r="D235" s="237"/>
      <c r="E235" s="240">
        <f>Dat_02!C234</f>
        <v>10.072871832931879</v>
      </c>
      <c r="F235" s="240">
        <f>Dat_02!D234</f>
        <v>17.065966880459293</v>
      </c>
      <c r="G235" s="240">
        <f>Dat_02!E234</f>
        <v>10.072871832931879</v>
      </c>
      <c r="I235" s="241">
        <f>Dat_02!G234</f>
        <v>0</v>
      </c>
      <c r="J235" s="251" t="str">
        <f>IF(Dat_02!H234=0,"",Dat_02!H234)</f>
        <v/>
      </c>
    </row>
    <row r="236" spans="2:10">
      <c r="B236" s="237"/>
      <c r="C236" s="238">
        <f>Dat_02!B235</f>
        <v>44429</v>
      </c>
      <c r="D236" s="237"/>
      <c r="E236" s="240">
        <f>Dat_02!C235</f>
        <v>3.852570796932814</v>
      </c>
      <c r="F236" s="240">
        <f>Dat_02!D235</f>
        <v>17.065966880459293</v>
      </c>
      <c r="G236" s="240">
        <f>Dat_02!E235</f>
        <v>3.852570796932814</v>
      </c>
      <c r="I236" s="241">
        <f>Dat_02!G235</f>
        <v>0</v>
      </c>
      <c r="J236" s="251" t="str">
        <f>IF(Dat_02!H235=0,"",Dat_02!H235)</f>
        <v/>
      </c>
    </row>
    <row r="237" spans="2:10">
      <c r="B237" s="237"/>
      <c r="C237" s="238">
        <f>Dat_02!B236</f>
        <v>44430</v>
      </c>
      <c r="D237" s="237"/>
      <c r="E237" s="240">
        <f>Dat_02!C236</f>
        <v>0.51405824493095131</v>
      </c>
      <c r="F237" s="240">
        <f>Dat_02!D236</f>
        <v>17.065966880459293</v>
      </c>
      <c r="G237" s="240">
        <f>Dat_02!E236</f>
        <v>0.51405824493095131</v>
      </c>
      <c r="I237" s="241">
        <f>Dat_02!G236</f>
        <v>0</v>
      </c>
      <c r="J237" s="251" t="str">
        <f>IF(Dat_02!H236=0,"",Dat_02!H236)</f>
        <v/>
      </c>
    </row>
    <row r="238" spans="2:10">
      <c r="B238" s="237"/>
      <c r="C238" s="238">
        <f>Dat_02!B237</f>
        <v>44431</v>
      </c>
      <c r="D238" s="237"/>
      <c r="E238" s="240">
        <f>Dat_02!C237</f>
        <v>1.0592070569318821</v>
      </c>
      <c r="F238" s="240">
        <f>Dat_02!D237</f>
        <v>17.065966880459293</v>
      </c>
      <c r="G238" s="240">
        <f>Dat_02!E237</f>
        <v>1.0592070569318821</v>
      </c>
      <c r="I238" s="241">
        <f>Dat_02!G237</f>
        <v>0</v>
      </c>
      <c r="J238" s="251" t="str">
        <f>IF(Dat_02!H237=0,"",Dat_02!H237)</f>
        <v/>
      </c>
    </row>
    <row r="239" spans="2:10">
      <c r="B239" s="237"/>
      <c r="C239" s="238">
        <f>Dat_02!B238</f>
        <v>44432</v>
      </c>
      <c r="D239" s="237"/>
      <c r="E239" s="240">
        <f>Dat_02!C238</f>
        <v>0.95501198293281053</v>
      </c>
      <c r="F239" s="240">
        <f>Dat_02!D238</f>
        <v>17.065966880459293</v>
      </c>
      <c r="G239" s="240">
        <f>Dat_02!E238</f>
        <v>0.95501198293281053</v>
      </c>
      <c r="I239" s="241">
        <f>Dat_02!G238</f>
        <v>0</v>
      </c>
      <c r="J239" s="251" t="str">
        <f>IF(Dat_02!H238=0,"",Dat_02!H238)</f>
        <v/>
      </c>
    </row>
    <row r="240" spans="2:10">
      <c r="B240" s="237"/>
      <c r="C240" s="238">
        <f>Dat_02!B239</f>
        <v>44433</v>
      </c>
      <c r="D240" s="237"/>
      <c r="E240" s="240">
        <f>Dat_02!C239</f>
        <v>7.152762117668142</v>
      </c>
      <c r="F240" s="240">
        <f>Dat_02!D239</f>
        <v>17.065966880459293</v>
      </c>
      <c r="G240" s="240">
        <f>Dat_02!E239</f>
        <v>7.152762117668142</v>
      </c>
      <c r="I240" s="241">
        <f>Dat_02!G239</f>
        <v>0</v>
      </c>
      <c r="J240" s="251" t="str">
        <f>IF(Dat_02!H239=0,"",Dat_02!H239)</f>
        <v/>
      </c>
    </row>
    <row r="241" spans="2:10">
      <c r="B241" s="237"/>
      <c r="C241" s="238">
        <f>Dat_02!B240</f>
        <v>44434</v>
      </c>
      <c r="D241" s="237"/>
      <c r="E241" s="240">
        <f>Dat_02!C240</f>
        <v>9.1935223616690713</v>
      </c>
      <c r="F241" s="240">
        <f>Dat_02!D240</f>
        <v>17.065966880459293</v>
      </c>
      <c r="G241" s="240">
        <f>Dat_02!E240</f>
        <v>9.1935223616690713</v>
      </c>
      <c r="I241" s="241">
        <f>Dat_02!G240</f>
        <v>0</v>
      </c>
      <c r="J241" s="251" t="str">
        <f>IF(Dat_02!H240=0,"",Dat_02!H240)</f>
        <v/>
      </c>
    </row>
    <row r="242" spans="2:10">
      <c r="B242" s="237"/>
      <c r="C242" s="238">
        <f>Dat_02!B241</f>
        <v>44435</v>
      </c>
      <c r="D242" s="237"/>
      <c r="E242" s="240">
        <f>Dat_02!C241</f>
        <v>4.1368342336709318</v>
      </c>
      <c r="F242" s="240">
        <f>Dat_02!D241</f>
        <v>17.065966880459293</v>
      </c>
      <c r="G242" s="240">
        <f>Dat_02!E241</f>
        <v>4.1368342336709318</v>
      </c>
      <c r="I242" s="241">
        <f>Dat_02!G241</f>
        <v>0</v>
      </c>
      <c r="J242" s="251" t="str">
        <f>IF(Dat_02!H241=0,"",Dat_02!H241)</f>
        <v/>
      </c>
    </row>
    <row r="243" spans="2:10">
      <c r="B243" s="237"/>
      <c r="C243" s="238">
        <f>Dat_02!B242</f>
        <v>44436</v>
      </c>
      <c r="D243" s="237"/>
      <c r="E243" s="240">
        <f>Dat_02!C242</f>
        <v>0.77167649366813562</v>
      </c>
      <c r="F243" s="240">
        <f>Dat_02!D242</f>
        <v>17.065966880459293</v>
      </c>
      <c r="G243" s="240">
        <f>Dat_02!E242</f>
        <v>0.77167649366813562</v>
      </c>
      <c r="I243" s="241">
        <f>Dat_02!G242</f>
        <v>0</v>
      </c>
      <c r="J243" s="251" t="str">
        <f>IF(Dat_02!H242=0,"",Dat_02!H242)</f>
        <v/>
      </c>
    </row>
    <row r="244" spans="2:10">
      <c r="B244" s="237"/>
      <c r="C244" s="238">
        <f>Dat_02!B243</f>
        <v>44437</v>
      </c>
      <c r="D244" s="237"/>
      <c r="E244" s="240">
        <f>Dat_02!C243</f>
        <v>1.0640124536700022</v>
      </c>
      <c r="F244" s="240">
        <f>Dat_02!D243</f>
        <v>17.065966880459293</v>
      </c>
      <c r="G244" s="240">
        <f>Dat_02!E243</f>
        <v>1.0640124536700022</v>
      </c>
      <c r="I244" s="241">
        <f>Dat_02!G243</f>
        <v>0</v>
      </c>
      <c r="J244" s="251" t="str">
        <f>IF(Dat_02!H243=0,"",Dat_02!H243)</f>
        <v/>
      </c>
    </row>
    <row r="245" spans="2:10">
      <c r="B245" s="237"/>
      <c r="C245" s="238">
        <f>Dat_02!B244</f>
        <v>44438</v>
      </c>
      <c r="D245" s="237"/>
      <c r="E245" s="240">
        <f>Dat_02!C244</f>
        <v>10.140156249667205</v>
      </c>
      <c r="F245" s="240">
        <f>Dat_02!D244</f>
        <v>17.065966880459293</v>
      </c>
      <c r="G245" s="240">
        <f>Dat_02!E244</f>
        <v>10.140156249667205</v>
      </c>
      <c r="I245" s="241">
        <f>Dat_02!G244</f>
        <v>0</v>
      </c>
      <c r="J245" s="251" t="str">
        <f>IF(Dat_02!H244=0,"",Dat_02!H244)</f>
        <v/>
      </c>
    </row>
    <row r="246" spans="2:10">
      <c r="B246" s="237"/>
      <c r="C246" s="238">
        <f>Dat_02!B245</f>
        <v>44439</v>
      </c>
      <c r="D246" s="237"/>
      <c r="E246" s="240">
        <f>Dat_02!C245</f>
        <v>13.884612205670935</v>
      </c>
      <c r="F246" s="240">
        <f>Dat_02!D245</f>
        <v>17.065966880459293</v>
      </c>
      <c r="G246" s="240">
        <f>Dat_02!E245</f>
        <v>13.884612205670935</v>
      </c>
      <c r="I246" s="241">
        <f>Dat_02!G245</f>
        <v>0</v>
      </c>
      <c r="J246" s="251" t="str">
        <f>IF(Dat_02!H245=0,"",Dat_02!H245)</f>
        <v/>
      </c>
    </row>
    <row r="247" spans="2:10">
      <c r="B247" s="237" t="s">
        <v>239</v>
      </c>
      <c r="C247" s="238">
        <f>Dat_02!B246</f>
        <v>44440</v>
      </c>
      <c r="D247" s="237"/>
      <c r="E247" s="240">
        <f>Dat_02!C246</f>
        <v>24.232942552924062</v>
      </c>
      <c r="F247" s="240">
        <f>Dat_02!D246</f>
        <v>21.014323006984561</v>
      </c>
      <c r="G247" s="240">
        <f>Dat_02!E246</f>
        <v>21.014323006984561</v>
      </c>
      <c r="I247" s="241">
        <f>Dat_02!G246</f>
        <v>0</v>
      </c>
      <c r="J247" s="251" t="str">
        <f>IF(Dat_02!H246=0,"",Dat_02!H246)</f>
        <v/>
      </c>
    </row>
    <row r="248" spans="2:10">
      <c r="B248" s="239"/>
      <c r="C248" s="238">
        <f>Dat_02!B247</f>
        <v>44441</v>
      </c>
      <c r="D248" s="239"/>
      <c r="E248" s="240">
        <f>Dat_02!C247</f>
        <v>23.923948540925927</v>
      </c>
      <c r="F248" s="240">
        <f>Dat_02!D247</f>
        <v>21.014323006984561</v>
      </c>
      <c r="G248" s="240">
        <f>Dat_02!E247</f>
        <v>21.014323006984561</v>
      </c>
      <c r="I248" s="241">
        <f>Dat_02!G247</f>
        <v>0</v>
      </c>
      <c r="J248" s="251" t="str">
        <f>IF(Dat_02!H247=0,"",Dat_02!H247)</f>
        <v/>
      </c>
    </row>
    <row r="249" spans="2:10">
      <c r="B249" s="237"/>
      <c r="C249" s="238">
        <f>Dat_02!B248</f>
        <v>44442</v>
      </c>
      <c r="D249" s="239"/>
      <c r="E249" s="240">
        <f>Dat_02!C248</f>
        <v>22.820461948923132</v>
      </c>
      <c r="F249" s="240">
        <f>Dat_02!D248</f>
        <v>21.014323006984561</v>
      </c>
      <c r="G249" s="240">
        <f>Dat_02!E248</f>
        <v>21.014323006984561</v>
      </c>
      <c r="I249" s="241">
        <f>Dat_02!G248</f>
        <v>0</v>
      </c>
      <c r="J249" s="251" t="str">
        <f>IF(Dat_02!H248=0,"",Dat_02!H248)</f>
        <v/>
      </c>
    </row>
    <row r="250" spans="2:10">
      <c r="B250" s="237"/>
      <c r="C250" s="238">
        <f>Dat_02!B249</f>
        <v>44443</v>
      </c>
      <c r="D250" s="239"/>
      <c r="E250" s="240">
        <f>Dat_02!C249</f>
        <v>16.785473316926858</v>
      </c>
      <c r="F250" s="240">
        <f>Dat_02!D249</f>
        <v>21.014323006984561</v>
      </c>
      <c r="G250" s="240">
        <f>Dat_02!E249</f>
        <v>16.785473316926858</v>
      </c>
      <c r="I250" s="241">
        <f>Dat_02!G249</f>
        <v>0</v>
      </c>
      <c r="J250" s="251" t="str">
        <f>IF(Dat_02!H249=0,"",Dat_02!H249)</f>
        <v/>
      </c>
    </row>
    <row r="251" spans="2:10">
      <c r="B251" s="237"/>
      <c r="C251" s="238">
        <f>Dat_02!B250</f>
        <v>44444</v>
      </c>
      <c r="D251" s="239"/>
      <c r="E251" s="240">
        <f>Dat_02!C250</f>
        <v>10.244637292924068</v>
      </c>
      <c r="F251" s="240">
        <f>Dat_02!D250</f>
        <v>21.014323006984561</v>
      </c>
      <c r="G251" s="240">
        <f>Dat_02!E250</f>
        <v>10.244637292924068</v>
      </c>
      <c r="I251" s="241">
        <f>Dat_02!G250</f>
        <v>0</v>
      </c>
      <c r="J251" s="251" t="str">
        <f>IF(Dat_02!H250=0,"",Dat_02!H250)</f>
        <v/>
      </c>
    </row>
    <row r="252" spans="2:10">
      <c r="B252" s="237"/>
      <c r="C252" s="238">
        <f>Dat_02!B251</f>
        <v>44445</v>
      </c>
      <c r="D252" s="237"/>
      <c r="E252" s="240">
        <f>Dat_02!C251</f>
        <v>15.825120408925926</v>
      </c>
      <c r="F252" s="240">
        <f>Dat_02!D251</f>
        <v>21.014323006984561</v>
      </c>
      <c r="G252" s="240">
        <f>Dat_02!E251</f>
        <v>15.825120408925926</v>
      </c>
      <c r="I252" s="241">
        <f>Dat_02!G251</f>
        <v>0</v>
      </c>
      <c r="J252" s="251" t="str">
        <f>IF(Dat_02!H251=0,"",Dat_02!H251)</f>
        <v/>
      </c>
    </row>
    <row r="253" spans="2:10">
      <c r="B253" s="237"/>
      <c r="C253" s="238">
        <f>Dat_02!B252</f>
        <v>44446</v>
      </c>
      <c r="D253" s="237"/>
      <c r="E253" s="240">
        <f>Dat_02!C252</f>
        <v>6.2947448249249938</v>
      </c>
      <c r="F253" s="240">
        <f>Dat_02!D252</f>
        <v>21.014323006984561</v>
      </c>
      <c r="G253" s="240">
        <f>Dat_02!E252</f>
        <v>6.2947448249249938</v>
      </c>
      <c r="I253" s="241">
        <f>Dat_02!G252</f>
        <v>0</v>
      </c>
      <c r="J253" s="251" t="str">
        <f>IF(Dat_02!H252=0,"",Dat_02!H252)</f>
        <v/>
      </c>
    </row>
    <row r="254" spans="2:10">
      <c r="B254" s="237"/>
      <c r="C254" s="238">
        <f>Dat_02!B253</f>
        <v>44447</v>
      </c>
      <c r="D254" s="237"/>
      <c r="E254" s="240">
        <f>Dat_02!C253</f>
        <v>20.115420491951163</v>
      </c>
      <c r="F254" s="240">
        <f>Dat_02!D253</f>
        <v>21.014323006984561</v>
      </c>
      <c r="G254" s="240">
        <f>Dat_02!E253</f>
        <v>20.115420491951163</v>
      </c>
      <c r="I254" s="241">
        <f>Dat_02!G253</f>
        <v>0</v>
      </c>
      <c r="J254" s="251" t="str">
        <f>IF(Dat_02!H253=0,"",Dat_02!H253)</f>
        <v/>
      </c>
    </row>
    <row r="255" spans="2:10">
      <c r="B255" s="237"/>
      <c r="C255" s="238">
        <f>Dat_02!B254</f>
        <v>44448</v>
      </c>
      <c r="D255" s="237"/>
      <c r="E255" s="240">
        <f>Dat_02!C254</f>
        <v>20.943244847952091</v>
      </c>
      <c r="F255" s="240">
        <f>Dat_02!D254</f>
        <v>21.014323006984561</v>
      </c>
      <c r="G255" s="240">
        <f>Dat_02!E254</f>
        <v>20.943244847952091</v>
      </c>
      <c r="I255" s="241">
        <f>Dat_02!G254</f>
        <v>0</v>
      </c>
      <c r="J255" s="251" t="str">
        <f>IF(Dat_02!H254=0,"",Dat_02!H254)</f>
        <v/>
      </c>
    </row>
    <row r="256" spans="2:10">
      <c r="B256" s="237"/>
      <c r="C256" s="238">
        <f>Dat_02!B255</f>
        <v>44449</v>
      </c>
      <c r="D256" s="237"/>
      <c r="E256" s="240">
        <f>Dat_02!C255</f>
        <v>20.22736524795209</v>
      </c>
      <c r="F256" s="240">
        <f>Dat_02!D255</f>
        <v>21.014323006984561</v>
      </c>
      <c r="G256" s="240">
        <f>Dat_02!E255</f>
        <v>20.22736524795209</v>
      </c>
      <c r="I256" s="241">
        <f>Dat_02!G255</f>
        <v>0</v>
      </c>
      <c r="J256" s="251" t="str">
        <f>IF(Dat_02!H255=0,"",Dat_02!H255)</f>
        <v/>
      </c>
    </row>
    <row r="257" spans="2:10">
      <c r="B257" s="237"/>
      <c r="C257" s="238">
        <f>Dat_02!B256</f>
        <v>44450</v>
      </c>
      <c r="D257" s="237"/>
      <c r="E257" s="240">
        <f>Dat_02!C256</f>
        <v>15.135667991953021</v>
      </c>
      <c r="F257" s="240">
        <f>Dat_02!D256</f>
        <v>21.014323006984561</v>
      </c>
      <c r="G257" s="240">
        <f>Dat_02!E256</f>
        <v>15.135667991953021</v>
      </c>
      <c r="I257" s="241">
        <f>Dat_02!G256</f>
        <v>0</v>
      </c>
      <c r="J257" s="251" t="str">
        <f>IF(Dat_02!H256=0,"",Dat_02!H256)</f>
        <v/>
      </c>
    </row>
    <row r="258" spans="2:10">
      <c r="B258" s="237"/>
      <c r="C258" s="238">
        <f>Dat_02!B257</f>
        <v>44451</v>
      </c>
      <c r="D258" s="237"/>
      <c r="E258" s="240">
        <f>Dat_02!C257</f>
        <v>20.061154527952095</v>
      </c>
      <c r="F258" s="240">
        <f>Dat_02!D257</f>
        <v>21.014323006984561</v>
      </c>
      <c r="G258" s="240">
        <f>Dat_02!E257</f>
        <v>20.061154527952095</v>
      </c>
      <c r="I258" s="241">
        <f>Dat_02!G257</f>
        <v>0</v>
      </c>
      <c r="J258" s="251" t="str">
        <f>IF(Dat_02!H257=0,"",Dat_02!H257)</f>
        <v/>
      </c>
    </row>
    <row r="259" spans="2:10">
      <c r="B259" s="237"/>
      <c r="C259" s="238">
        <f>Dat_02!B258</f>
        <v>44452</v>
      </c>
      <c r="D259" s="237"/>
      <c r="E259" s="240">
        <f>Dat_02!C258</f>
        <v>12.823799795953025</v>
      </c>
      <c r="F259" s="240">
        <f>Dat_02!D258</f>
        <v>21.014323006984561</v>
      </c>
      <c r="G259" s="240">
        <f>Dat_02!E258</f>
        <v>12.823799795953025</v>
      </c>
      <c r="I259" s="241">
        <f>Dat_02!G258</f>
        <v>0</v>
      </c>
      <c r="J259" s="251" t="str">
        <f>IF(Dat_02!H258=0,"",Dat_02!H258)</f>
        <v/>
      </c>
    </row>
    <row r="260" spans="2:10">
      <c r="B260" s="237"/>
      <c r="C260" s="238">
        <f>Dat_02!B259</f>
        <v>44453</v>
      </c>
      <c r="D260" s="237"/>
      <c r="E260" s="240">
        <f>Dat_02!C259</f>
        <v>25.974186331951163</v>
      </c>
      <c r="F260" s="240">
        <f>Dat_02!D259</f>
        <v>21.014323006984561</v>
      </c>
      <c r="G260" s="240">
        <f>Dat_02!E259</f>
        <v>21.014323006984561</v>
      </c>
      <c r="I260" s="241">
        <f>Dat_02!G259</f>
        <v>0</v>
      </c>
      <c r="J260" s="251" t="str">
        <f>IF(Dat_02!H259=0,"",Dat_02!H259)</f>
        <v/>
      </c>
    </row>
    <row r="261" spans="2:10">
      <c r="B261" s="237"/>
      <c r="C261" s="238">
        <f>Dat_02!B260</f>
        <v>44454</v>
      </c>
      <c r="D261" s="237"/>
      <c r="E261" s="240">
        <f>Dat_02!C260</f>
        <v>38.31835680787313</v>
      </c>
      <c r="F261" s="240">
        <f>Dat_02!D260</f>
        <v>21.014323006984561</v>
      </c>
      <c r="G261" s="240">
        <f>Dat_02!E260</f>
        <v>21.014323006984561</v>
      </c>
      <c r="I261" s="241">
        <f>Dat_02!G260</f>
        <v>21.014323006984561</v>
      </c>
      <c r="J261" s="251" t="str">
        <f>IF(Dat_02!H260=0,"",Dat_02!H260)</f>
        <v/>
      </c>
    </row>
    <row r="262" spans="2:10">
      <c r="B262" s="237"/>
      <c r="C262" s="238">
        <f>Dat_02!B261</f>
        <v>44455</v>
      </c>
      <c r="D262" s="237"/>
      <c r="E262" s="240">
        <f>Dat_02!C261</f>
        <v>21.487675855873132</v>
      </c>
      <c r="F262" s="240">
        <f>Dat_02!D261</f>
        <v>21.014323006984561</v>
      </c>
      <c r="G262" s="240">
        <f>Dat_02!E261</f>
        <v>21.014323006984561</v>
      </c>
      <c r="I262" s="241">
        <f>Dat_02!G261</f>
        <v>0</v>
      </c>
      <c r="J262" s="251" t="str">
        <f>IF(Dat_02!H261=0,"",Dat_02!H261)</f>
        <v/>
      </c>
    </row>
    <row r="263" spans="2:10">
      <c r="B263" s="237"/>
      <c r="C263" s="238">
        <f>Dat_02!B262</f>
        <v>44456</v>
      </c>
      <c r="D263" s="237"/>
      <c r="E263" s="240">
        <f>Dat_02!C262</f>
        <v>16.394569441872203</v>
      </c>
      <c r="F263" s="240">
        <f>Dat_02!D262</f>
        <v>21.014323006984561</v>
      </c>
      <c r="G263" s="240">
        <f>Dat_02!E262</f>
        <v>16.394569441872203</v>
      </c>
      <c r="I263" s="241">
        <f>Dat_02!G262</f>
        <v>0</v>
      </c>
      <c r="J263" s="251" t="str">
        <f>IF(Dat_02!H262=0,"",Dat_02!H262)</f>
        <v/>
      </c>
    </row>
    <row r="264" spans="2:10">
      <c r="B264" s="237"/>
      <c r="C264" s="238">
        <f>Dat_02!B263</f>
        <v>44457</v>
      </c>
      <c r="D264" s="237"/>
      <c r="E264" s="240">
        <f>Dat_02!C263</f>
        <v>11.821708425872202</v>
      </c>
      <c r="F264" s="240">
        <f>Dat_02!D263</f>
        <v>21.014323006984561</v>
      </c>
      <c r="G264" s="240">
        <f>Dat_02!E263</f>
        <v>11.821708425872202</v>
      </c>
      <c r="I264" s="241">
        <f>Dat_02!G263</f>
        <v>0</v>
      </c>
      <c r="J264" s="251" t="str">
        <f>IF(Dat_02!H263=0,"",Dat_02!H263)</f>
        <v/>
      </c>
    </row>
    <row r="265" spans="2:10">
      <c r="B265" s="237"/>
      <c r="C265" s="238">
        <f>Dat_02!B264</f>
        <v>44458</v>
      </c>
      <c r="D265" s="237"/>
      <c r="E265" s="240">
        <f>Dat_02!C264</f>
        <v>11.033212529874065</v>
      </c>
      <c r="F265" s="240">
        <f>Dat_02!D264</f>
        <v>21.014323006984561</v>
      </c>
      <c r="G265" s="240">
        <f>Dat_02!E264</f>
        <v>11.033212529874065</v>
      </c>
      <c r="I265" s="241">
        <f>Dat_02!G264</f>
        <v>0</v>
      </c>
      <c r="J265" s="251" t="str">
        <f>IF(Dat_02!H264=0,"",Dat_02!H264)</f>
        <v/>
      </c>
    </row>
    <row r="266" spans="2:10">
      <c r="B266" s="237"/>
      <c r="C266" s="238">
        <f>Dat_02!B265</f>
        <v>44459</v>
      </c>
      <c r="D266" s="237"/>
      <c r="E266" s="240">
        <f>Dat_02!C265</f>
        <v>12.408188627872201</v>
      </c>
      <c r="F266" s="240">
        <f>Dat_02!D265</f>
        <v>21.014323006984561</v>
      </c>
      <c r="G266" s="240">
        <f>Dat_02!E265</f>
        <v>12.408188627872201</v>
      </c>
      <c r="I266" s="241">
        <f>Dat_02!G265</f>
        <v>0</v>
      </c>
      <c r="J266" s="251" t="str">
        <f>IF(Dat_02!H265=0,"",Dat_02!H265)</f>
        <v/>
      </c>
    </row>
    <row r="267" spans="2:10">
      <c r="B267" s="237"/>
      <c r="C267" s="238">
        <f>Dat_02!B266</f>
        <v>44460</v>
      </c>
      <c r="D267" s="237"/>
      <c r="E267" s="240">
        <f>Dat_02!C266</f>
        <v>11.887315421872204</v>
      </c>
      <c r="F267" s="240">
        <f>Dat_02!D266</f>
        <v>21.014323006984561</v>
      </c>
      <c r="G267" s="240">
        <f>Dat_02!E266</f>
        <v>11.887315421872204</v>
      </c>
      <c r="I267" s="241">
        <f>Dat_02!G266</f>
        <v>0</v>
      </c>
      <c r="J267" s="251" t="str">
        <f>IF(Dat_02!H266=0,"",Dat_02!H266)</f>
        <v/>
      </c>
    </row>
    <row r="268" spans="2:10">
      <c r="B268" s="237"/>
      <c r="C268" s="238">
        <f>Dat_02!B267</f>
        <v>44461</v>
      </c>
      <c r="D268" s="237"/>
      <c r="E268" s="240">
        <f>Dat_02!C267</f>
        <v>24.565719547283638</v>
      </c>
      <c r="F268" s="240">
        <f>Dat_02!D267</f>
        <v>21.014323006984561</v>
      </c>
      <c r="G268" s="240">
        <f>Dat_02!E267</f>
        <v>21.014323006984561</v>
      </c>
      <c r="I268" s="241">
        <f>Dat_02!G267</f>
        <v>0</v>
      </c>
      <c r="J268" s="251" t="str">
        <f>IF(Dat_02!H267=0,"",Dat_02!H267)</f>
        <v/>
      </c>
    </row>
    <row r="269" spans="2:10">
      <c r="B269" s="237"/>
      <c r="C269" s="238">
        <f>Dat_02!B268</f>
        <v>44462</v>
      </c>
      <c r="D269" s="237"/>
      <c r="E269" s="240">
        <f>Dat_02!C268</f>
        <v>18.78037494927991</v>
      </c>
      <c r="F269" s="240">
        <f>Dat_02!D268</f>
        <v>21.014323006984561</v>
      </c>
      <c r="G269" s="240">
        <f>Dat_02!E268</f>
        <v>18.78037494927991</v>
      </c>
      <c r="I269" s="241">
        <f>Dat_02!G268</f>
        <v>0</v>
      </c>
      <c r="J269" s="251" t="str">
        <f>IF(Dat_02!H268=0,"",Dat_02!H268)</f>
        <v/>
      </c>
    </row>
    <row r="270" spans="2:10">
      <c r="B270" s="237"/>
      <c r="C270" s="238">
        <f>Dat_02!B269</f>
        <v>44463</v>
      </c>
      <c r="D270" s="237"/>
      <c r="E270" s="240">
        <f>Dat_02!C269</f>
        <v>28.647999827281776</v>
      </c>
      <c r="F270" s="240">
        <f>Dat_02!D269</f>
        <v>21.014323006984561</v>
      </c>
      <c r="G270" s="240">
        <f>Dat_02!E269</f>
        <v>21.014323006984561</v>
      </c>
      <c r="I270" s="241">
        <f>Dat_02!G269</f>
        <v>0</v>
      </c>
      <c r="J270" s="251" t="str">
        <f>IF(Dat_02!H269=0,"",Dat_02!H269)</f>
        <v/>
      </c>
    </row>
    <row r="271" spans="2:10">
      <c r="B271" s="237"/>
      <c r="C271" s="238">
        <f>Dat_02!B270</f>
        <v>44464</v>
      </c>
      <c r="D271" s="237"/>
      <c r="E271" s="240">
        <f>Dat_02!C270</f>
        <v>21.776072683282706</v>
      </c>
      <c r="F271" s="240">
        <f>Dat_02!D270</f>
        <v>21.014323006984561</v>
      </c>
      <c r="G271" s="240">
        <f>Dat_02!E270</f>
        <v>21.014323006984561</v>
      </c>
      <c r="I271" s="241">
        <f>Dat_02!G270</f>
        <v>0</v>
      </c>
      <c r="J271" s="251" t="str">
        <f>IF(Dat_02!H270=0,"",Dat_02!H270)</f>
        <v/>
      </c>
    </row>
    <row r="272" spans="2:10">
      <c r="B272" s="237"/>
      <c r="C272" s="238">
        <f>Dat_02!B271</f>
        <v>44465</v>
      </c>
      <c r="D272" s="237"/>
      <c r="E272" s="240">
        <f>Dat_02!C271</f>
        <v>15.501655585280846</v>
      </c>
      <c r="F272" s="240">
        <f>Dat_02!D271</f>
        <v>21.014323006984561</v>
      </c>
      <c r="G272" s="240">
        <f>Dat_02!E271</f>
        <v>15.501655585280846</v>
      </c>
      <c r="I272" s="241">
        <f>Dat_02!G271</f>
        <v>0</v>
      </c>
      <c r="J272" s="251" t="str">
        <f>IF(Dat_02!H271=0,"",Dat_02!H271)</f>
        <v/>
      </c>
    </row>
    <row r="273" spans="2:10">
      <c r="B273" s="237"/>
      <c r="C273" s="238">
        <f>Dat_02!B272</f>
        <v>44466</v>
      </c>
      <c r="D273" s="237"/>
      <c r="E273" s="240">
        <f>Dat_02!C272</f>
        <v>22.111520435282706</v>
      </c>
      <c r="F273" s="240">
        <f>Dat_02!D272</f>
        <v>21.014323006984561</v>
      </c>
      <c r="G273" s="240">
        <f>Dat_02!E272</f>
        <v>21.014323006984561</v>
      </c>
      <c r="I273" s="241">
        <f>Dat_02!G272</f>
        <v>0</v>
      </c>
      <c r="J273" s="251" t="str">
        <f>IF(Dat_02!H272=0,"",Dat_02!H272)</f>
        <v/>
      </c>
    </row>
    <row r="274" spans="2:10">
      <c r="B274" s="237"/>
      <c r="C274" s="238">
        <f>Dat_02!B273</f>
        <v>44467</v>
      </c>
      <c r="D274" s="237"/>
      <c r="E274" s="240">
        <f>Dat_02!C273</f>
        <v>31.315857271280844</v>
      </c>
      <c r="F274" s="240">
        <f>Dat_02!D273</f>
        <v>21.014323006984561</v>
      </c>
      <c r="G274" s="240">
        <f>Dat_02!E273</f>
        <v>21.014323006984561</v>
      </c>
      <c r="I274" s="241">
        <f>Dat_02!G273</f>
        <v>0</v>
      </c>
      <c r="J274" s="251" t="str">
        <f>IF(Dat_02!H273=0,"",Dat_02!H273)</f>
        <v/>
      </c>
    </row>
    <row r="275" spans="2:10">
      <c r="B275" s="237"/>
      <c r="C275" s="238">
        <f>Dat_02!B274</f>
        <v>44468</v>
      </c>
      <c r="D275" s="237"/>
      <c r="E275" s="240">
        <f>Dat_02!C274</f>
        <v>21.160280351840992</v>
      </c>
      <c r="F275" s="240">
        <f>Dat_02!D274</f>
        <v>21.014323006984561</v>
      </c>
      <c r="G275" s="240">
        <f>Dat_02!E274</f>
        <v>21.014323006984561</v>
      </c>
      <c r="I275" s="241">
        <f>Dat_02!G274</f>
        <v>0</v>
      </c>
      <c r="J275" s="251" t="str">
        <f>IF(Dat_02!H274=0,"",Dat_02!H274)</f>
        <v/>
      </c>
    </row>
    <row r="276" spans="2:10">
      <c r="B276" s="237"/>
      <c r="C276" s="238">
        <f>Dat_02!B275</f>
        <v>44469</v>
      </c>
      <c r="D276" s="237"/>
      <c r="E276" s="240">
        <f>Dat_02!C275</f>
        <v>20.742861095840059</v>
      </c>
      <c r="F276" s="240">
        <f>Dat_02!D275</f>
        <v>21.014323006984561</v>
      </c>
      <c r="G276" s="240">
        <f>Dat_02!E275</f>
        <v>20.742861095840059</v>
      </c>
      <c r="I276" s="241">
        <f>Dat_02!G275</f>
        <v>0</v>
      </c>
      <c r="J276" s="251" t="str">
        <f>IF(Dat_02!H275=0,"",Dat_02!H275)</f>
        <v/>
      </c>
    </row>
    <row r="277" spans="2:10">
      <c r="B277" s="237" t="s">
        <v>240</v>
      </c>
      <c r="C277" s="238">
        <f>Dat_02!B276</f>
        <v>44470</v>
      </c>
      <c r="D277" s="237"/>
      <c r="E277" s="240">
        <f>Dat_02!C276</f>
        <v>26.484012107839131</v>
      </c>
      <c r="F277" s="240">
        <f>Dat_02!D276</f>
        <v>42.895784539321873</v>
      </c>
      <c r="G277" s="240">
        <f>Dat_02!E276</f>
        <v>26.484012107839131</v>
      </c>
      <c r="I277" s="241">
        <f>Dat_02!G276</f>
        <v>0</v>
      </c>
      <c r="J277" s="251" t="str">
        <f>IF(Dat_02!H276=0,"",Dat_02!H276)</f>
        <v/>
      </c>
    </row>
    <row r="278" spans="2:10">
      <c r="B278" s="239"/>
      <c r="C278" s="238">
        <f>Dat_02!B277</f>
        <v>44471</v>
      </c>
      <c r="D278" s="239"/>
      <c r="E278" s="240">
        <f>Dat_02!C277</f>
        <v>11.422333385840993</v>
      </c>
      <c r="F278" s="240">
        <f>Dat_02!D277</f>
        <v>42.895784539321873</v>
      </c>
      <c r="G278" s="240">
        <f>Dat_02!E277</f>
        <v>11.422333385840993</v>
      </c>
      <c r="I278" s="241">
        <f>Dat_02!G277</f>
        <v>0</v>
      </c>
      <c r="J278" s="251" t="str">
        <f>IF(Dat_02!H277=0,"",Dat_02!H277)</f>
        <v/>
      </c>
    </row>
    <row r="279" spans="2:10">
      <c r="B279" s="239"/>
      <c r="C279" s="238">
        <f>Dat_02!B278</f>
        <v>44472</v>
      </c>
      <c r="D279" s="239"/>
      <c r="E279" s="240">
        <f>Dat_02!C278</f>
        <v>7.014401093840064</v>
      </c>
      <c r="F279" s="240">
        <f>Dat_02!D278</f>
        <v>42.895784539321873</v>
      </c>
      <c r="G279" s="240">
        <f>Dat_02!E278</f>
        <v>7.014401093840064</v>
      </c>
      <c r="I279" s="241">
        <f>Dat_02!G278</f>
        <v>0</v>
      </c>
      <c r="J279" s="251" t="str">
        <f>IF(Dat_02!H278=0,"",Dat_02!H278)</f>
        <v/>
      </c>
    </row>
    <row r="280" spans="2:10">
      <c r="B280" s="237"/>
      <c r="C280" s="238">
        <f>Dat_02!B279</f>
        <v>44473</v>
      </c>
      <c r="D280" s="237"/>
      <c r="E280" s="240">
        <f>Dat_02!C279</f>
        <v>20.050433471840066</v>
      </c>
      <c r="F280" s="240">
        <f>Dat_02!D279</f>
        <v>42.895784539321873</v>
      </c>
      <c r="G280" s="240">
        <f>Dat_02!E279</f>
        <v>20.050433471840066</v>
      </c>
      <c r="I280" s="241">
        <f>Dat_02!G279</f>
        <v>0</v>
      </c>
      <c r="J280" s="251" t="str">
        <f>IF(Dat_02!H279=0,"",Dat_02!H279)</f>
        <v/>
      </c>
    </row>
    <row r="281" spans="2:10">
      <c r="B281" s="237"/>
      <c r="C281" s="238">
        <f>Dat_02!B280</f>
        <v>44474</v>
      </c>
      <c r="D281" s="237"/>
      <c r="E281" s="240">
        <f>Dat_02!C280</f>
        <v>20.381699117839133</v>
      </c>
      <c r="F281" s="240">
        <f>Dat_02!D280</f>
        <v>42.895784539321873</v>
      </c>
      <c r="G281" s="240">
        <f>Dat_02!E280</f>
        <v>20.381699117839133</v>
      </c>
      <c r="I281" s="241">
        <f>Dat_02!G280</f>
        <v>0</v>
      </c>
      <c r="J281" s="251" t="str">
        <f>IF(Dat_02!H280=0,"",Dat_02!H280)</f>
        <v/>
      </c>
    </row>
    <row r="282" spans="2:10">
      <c r="B282" s="237"/>
      <c r="C282" s="238">
        <f>Dat_02!B281</f>
        <v>44475</v>
      </c>
      <c r="D282" s="237"/>
      <c r="E282" s="240">
        <f>Dat_02!C281</f>
        <v>34.52539895779509</v>
      </c>
      <c r="F282" s="240">
        <f>Dat_02!D281</f>
        <v>42.895784539321873</v>
      </c>
      <c r="G282" s="240">
        <f>Dat_02!E281</f>
        <v>34.52539895779509</v>
      </c>
      <c r="I282" s="241">
        <f>Dat_02!G281</f>
        <v>0</v>
      </c>
      <c r="J282" s="251" t="str">
        <f>IF(Dat_02!H281=0,"",Dat_02!H281)</f>
        <v/>
      </c>
    </row>
    <row r="283" spans="2:10">
      <c r="B283" s="237"/>
      <c r="C283" s="238">
        <f>Dat_02!B282</f>
        <v>44476</v>
      </c>
      <c r="D283" s="237"/>
      <c r="E283" s="240">
        <f>Dat_02!C282</f>
        <v>32.413288555796015</v>
      </c>
      <c r="F283" s="240">
        <f>Dat_02!D282</f>
        <v>42.895784539321873</v>
      </c>
      <c r="G283" s="240">
        <f>Dat_02!E282</f>
        <v>32.413288555796015</v>
      </c>
      <c r="I283" s="241">
        <f>Dat_02!G282</f>
        <v>0</v>
      </c>
      <c r="J283" s="251" t="str">
        <f>IF(Dat_02!H282=0,"",Dat_02!H282)</f>
        <v/>
      </c>
    </row>
    <row r="284" spans="2:10">
      <c r="B284" s="237"/>
      <c r="C284" s="238">
        <f>Dat_02!B283</f>
        <v>44477</v>
      </c>
      <c r="D284" s="237"/>
      <c r="E284" s="240">
        <f>Dat_02!C283</f>
        <v>28.821596095796021</v>
      </c>
      <c r="F284" s="240">
        <f>Dat_02!D283</f>
        <v>42.895784539321873</v>
      </c>
      <c r="G284" s="240">
        <f>Dat_02!E283</f>
        <v>28.821596095796021</v>
      </c>
      <c r="I284" s="241">
        <f>Dat_02!G283</f>
        <v>0</v>
      </c>
      <c r="J284" s="251" t="str">
        <f>IF(Dat_02!H283=0,"",Dat_02!H283)</f>
        <v/>
      </c>
    </row>
    <row r="285" spans="2:10">
      <c r="B285" s="237"/>
      <c r="C285" s="238">
        <f>Dat_02!B284</f>
        <v>44478</v>
      </c>
      <c r="D285" s="237"/>
      <c r="E285" s="240">
        <f>Dat_02!C284</f>
        <v>26.066840315795091</v>
      </c>
      <c r="F285" s="240">
        <f>Dat_02!D284</f>
        <v>42.895784539321873</v>
      </c>
      <c r="G285" s="240">
        <f>Dat_02!E284</f>
        <v>26.066840315795091</v>
      </c>
      <c r="I285" s="241">
        <f>Dat_02!G284</f>
        <v>0</v>
      </c>
      <c r="J285" s="251" t="str">
        <f>IF(Dat_02!H284=0,"",Dat_02!H284)</f>
        <v/>
      </c>
    </row>
    <row r="286" spans="2:10">
      <c r="B286" s="237"/>
      <c r="C286" s="238">
        <f>Dat_02!B285</f>
        <v>44479</v>
      </c>
      <c r="D286" s="237"/>
      <c r="E286" s="240">
        <f>Dat_02!C285</f>
        <v>14.96657990579509</v>
      </c>
      <c r="F286" s="240">
        <f>Dat_02!D285</f>
        <v>42.895784539321873</v>
      </c>
      <c r="G286" s="240">
        <f>Dat_02!E285</f>
        <v>14.96657990579509</v>
      </c>
      <c r="I286" s="241">
        <f>Dat_02!G285</f>
        <v>0</v>
      </c>
      <c r="J286" s="251" t="str">
        <f>IF(Dat_02!H285=0,"",Dat_02!H285)</f>
        <v/>
      </c>
    </row>
    <row r="287" spans="2:10">
      <c r="B287" s="237"/>
      <c r="C287" s="238">
        <f>Dat_02!B286</f>
        <v>44480</v>
      </c>
      <c r="D287" s="237"/>
      <c r="E287" s="240">
        <f>Dat_02!C286</f>
        <v>18.981357715795088</v>
      </c>
      <c r="F287" s="240">
        <f>Dat_02!D286</f>
        <v>42.895784539321873</v>
      </c>
      <c r="G287" s="240">
        <f>Dat_02!E286</f>
        <v>18.981357715795088</v>
      </c>
      <c r="I287" s="241">
        <f>Dat_02!G286</f>
        <v>0</v>
      </c>
      <c r="J287" s="251" t="str">
        <f>IF(Dat_02!H286=0,"",Dat_02!H286)</f>
        <v/>
      </c>
    </row>
    <row r="288" spans="2:10">
      <c r="B288" s="237"/>
      <c r="C288" s="238">
        <f>Dat_02!B287</f>
        <v>44481</v>
      </c>
      <c r="D288" s="237"/>
      <c r="E288" s="240">
        <f>Dat_02!C287</f>
        <v>16.802798215795089</v>
      </c>
      <c r="F288" s="240">
        <f>Dat_02!D287</f>
        <v>42.895784539321873</v>
      </c>
      <c r="G288" s="240">
        <f>Dat_02!E287</f>
        <v>16.802798215795089</v>
      </c>
      <c r="I288" s="241">
        <f>Dat_02!G287</f>
        <v>0</v>
      </c>
      <c r="J288" s="251" t="str">
        <f>IF(Dat_02!H287=0,"",Dat_02!H287)</f>
        <v/>
      </c>
    </row>
    <row r="289" spans="2:10">
      <c r="B289" s="237"/>
      <c r="C289" s="238">
        <f>Dat_02!B288</f>
        <v>44482</v>
      </c>
      <c r="D289" s="237"/>
      <c r="E289" s="240">
        <f>Dat_02!C288</f>
        <v>9.6846070946646687</v>
      </c>
      <c r="F289" s="240">
        <f>Dat_02!D288</f>
        <v>42.895784539321873</v>
      </c>
      <c r="G289" s="240">
        <f>Dat_02!E288</f>
        <v>9.6846070946646687</v>
      </c>
      <c r="I289" s="241">
        <f>Dat_02!G288</f>
        <v>0</v>
      </c>
      <c r="J289" s="251" t="str">
        <f>IF(Dat_02!H288=0,"",Dat_02!H288)</f>
        <v/>
      </c>
    </row>
    <row r="290" spans="2:10">
      <c r="B290" s="237"/>
      <c r="C290" s="238">
        <f>Dat_02!B289</f>
        <v>44483</v>
      </c>
      <c r="D290" s="237"/>
      <c r="E290" s="240">
        <f>Dat_02!C289</f>
        <v>21.032429324664669</v>
      </c>
      <c r="F290" s="240">
        <f>Dat_02!D289</f>
        <v>42.895784539321873</v>
      </c>
      <c r="G290" s="240">
        <f>Dat_02!E289</f>
        <v>21.032429324664669</v>
      </c>
      <c r="I290" s="241">
        <f>Dat_02!G289</f>
        <v>0</v>
      </c>
      <c r="J290" s="251" t="str">
        <f>IF(Dat_02!H289=0,"",Dat_02!H289)</f>
        <v/>
      </c>
    </row>
    <row r="291" spans="2:10">
      <c r="B291" s="237"/>
      <c r="C291" s="238">
        <f>Dat_02!B290</f>
        <v>44484</v>
      </c>
      <c r="D291" s="237"/>
      <c r="E291" s="240">
        <f>Dat_02!C290</f>
        <v>22.649003934664666</v>
      </c>
      <c r="F291" s="240">
        <f>Dat_02!D290</f>
        <v>42.895784539321873</v>
      </c>
      <c r="G291" s="240">
        <f>Dat_02!E290</f>
        <v>22.649003934664666</v>
      </c>
      <c r="I291" s="241">
        <f>Dat_02!G290</f>
        <v>42.895784539321873</v>
      </c>
      <c r="J291" s="251" t="str">
        <f>IF(Dat_02!H290=0,"",Dat_02!H290)</f>
        <v/>
      </c>
    </row>
    <row r="292" spans="2:10">
      <c r="B292" s="237"/>
      <c r="C292" s="238">
        <f>Dat_02!B291</f>
        <v>44485</v>
      </c>
      <c r="D292" s="237"/>
      <c r="E292" s="240">
        <f>Dat_02!C291</f>
        <v>22.74705282466374</v>
      </c>
      <c r="F292" s="240">
        <f>Dat_02!D291</f>
        <v>42.895784539321873</v>
      </c>
      <c r="G292" s="240">
        <f>Dat_02!E291</f>
        <v>22.74705282466374</v>
      </c>
      <c r="I292" s="241">
        <f>Dat_02!G291</f>
        <v>0</v>
      </c>
      <c r="J292" s="251" t="str">
        <f>IF(Dat_02!H291=0,"",Dat_02!H291)</f>
        <v/>
      </c>
    </row>
    <row r="293" spans="2:10">
      <c r="B293" s="237"/>
      <c r="C293" s="238">
        <f>Dat_02!B292</f>
        <v>44486</v>
      </c>
      <c r="D293" s="237"/>
      <c r="E293" s="240">
        <f>Dat_02!C292</f>
        <v>20.389109104664669</v>
      </c>
      <c r="F293" s="240">
        <f>Dat_02!D292</f>
        <v>42.895784539321873</v>
      </c>
      <c r="G293" s="240">
        <f>Dat_02!E292</f>
        <v>20.389109104664669</v>
      </c>
      <c r="I293" s="241">
        <f>Dat_02!G292</f>
        <v>0</v>
      </c>
      <c r="J293" s="251" t="str">
        <f>IF(Dat_02!H292=0,"",Dat_02!H292)</f>
        <v/>
      </c>
    </row>
    <row r="294" spans="2:10">
      <c r="B294" s="237"/>
      <c r="C294" s="238">
        <f>Dat_02!B293</f>
        <v>44487</v>
      </c>
      <c r="D294" s="237"/>
      <c r="E294" s="240">
        <f>Dat_02!C293</f>
        <v>19.91802019466374</v>
      </c>
      <c r="F294" s="240">
        <f>Dat_02!D293</f>
        <v>42.895784539321873</v>
      </c>
      <c r="G294" s="240">
        <f>Dat_02!E293</f>
        <v>19.91802019466374</v>
      </c>
      <c r="I294" s="241">
        <f>Dat_02!G293</f>
        <v>0</v>
      </c>
      <c r="J294" s="251" t="str">
        <f>IF(Dat_02!H293=0,"",Dat_02!H293)</f>
        <v/>
      </c>
    </row>
    <row r="295" spans="2:10">
      <c r="B295" s="237"/>
      <c r="C295" s="238">
        <f>Dat_02!B294</f>
        <v>44488</v>
      </c>
      <c r="D295" s="237"/>
      <c r="E295" s="240">
        <f>Dat_02!C294</f>
        <v>13.611966614663739</v>
      </c>
      <c r="F295" s="240">
        <f>Dat_02!D294</f>
        <v>42.895784539321873</v>
      </c>
      <c r="G295" s="240">
        <f>Dat_02!E294</f>
        <v>13.611966614663739</v>
      </c>
      <c r="I295" s="241">
        <f>Dat_02!G294</f>
        <v>0</v>
      </c>
      <c r="J295" s="251" t="str">
        <f>IF(Dat_02!H294=0,"",Dat_02!H294)</f>
        <v/>
      </c>
    </row>
    <row r="296" spans="2:10">
      <c r="B296" s="237"/>
      <c r="C296" s="238">
        <f>Dat_02!B295</f>
        <v>44489</v>
      </c>
      <c r="D296" s="237"/>
      <c r="E296" s="240">
        <f>Dat_02!C295</f>
        <v>15.358722254522178</v>
      </c>
      <c r="F296" s="240">
        <f>Dat_02!D295</f>
        <v>42.895784539321873</v>
      </c>
      <c r="G296" s="240">
        <f>Dat_02!E295</f>
        <v>15.358722254522178</v>
      </c>
      <c r="I296" s="241">
        <f>Dat_02!G295</f>
        <v>0</v>
      </c>
      <c r="J296" s="251" t="str">
        <f>IF(Dat_02!H295=0,"",Dat_02!H295)</f>
        <v/>
      </c>
    </row>
    <row r="297" spans="2:10">
      <c r="B297" s="237"/>
      <c r="C297" s="238">
        <f>Dat_02!B296</f>
        <v>44490</v>
      </c>
      <c r="D297" s="237"/>
      <c r="E297" s="240">
        <f>Dat_02!C296</f>
        <v>22.043631314521249</v>
      </c>
      <c r="F297" s="240">
        <f>Dat_02!D296</f>
        <v>42.895784539321873</v>
      </c>
      <c r="G297" s="240">
        <f>Dat_02!E296</f>
        <v>22.043631314521249</v>
      </c>
      <c r="I297" s="241">
        <f>Dat_02!G296</f>
        <v>0</v>
      </c>
      <c r="J297" s="251" t="str">
        <f>IF(Dat_02!H296=0,"",Dat_02!H296)</f>
        <v/>
      </c>
    </row>
    <row r="298" spans="2:10">
      <c r="B298" s="237"/>
      <c r="C298" s="238">
        <f>Dat_02!B297</f>
        <v>44491</v>
      </c>
      <c r="D298" s="237"/>
      <c r="E298" s="240">
        <f>Dat_02!C297</f>
        <v>15.948809024523111</v>
      </c>
      <c r="F298" s="240">
        <f>Dat_02!D297</f>
        <v>42.895784539321873</v>
      </c>
      <c r="G298" s="240">
        <f>Dat_02!E297</f>
        <v>15.948809024523111</v>
      </c>
      <c r="I298" s="241">
        <f>Dat_02!G297</f>
        <v>0</v>
      </c>
      <c r="J298" s="251" t="str">
        <f>IF(Dat_02!H297=0,"",Dat_02!H297)</f>
        <v/>
      </c>
    </row>
    <row r="299" spans="2:10">
      <c r="B299" s="237"/>
      <c r="C299" s="238">
        <f>Dat_02!B298</f>
        <v>44492</v>
      </c>
      <c r="D299" s="237"/>
      <c r="E299" s="240">
        <f>Dat_02!C298</f>
        <v>16.075023874521243</v>
      </c>
      <c r="F299" s="240">
        <f>Dat_02!D298</f>
        <v>42.895784539321873</v>
      </c>
      <c r="G299" s="240">
        <f>Dat_02!E298</f>
        <v>16.075023874521243</v>
      </c>
      <c r="I299" s="241">
        <f>Dat_02!G298</f>
        <v>0</v>
      </c>
      <c r="J299" s="251" t="str">
        <f>IF(Dat_02!H298=0,"",Dat_02!H298)</f>
        <v/>
      </c>
    </row>
    <row r="300" spans="2:10">
      <c r="B300" s="237"/>
      <c r="C300" s="238">
        <f>Dat_02!B299</f>
        <v>44493</v>
      </c>
      <c r="D300" s="237"/>
      <c r="E300" s="240">
        <f>Dat_02!C299</f>
        <v>16.832100644522178</v>
      </c>
      <c r="F300" s="240">
        <f>Dat_02!D299</f>
        <v>42.895784539321873</v>
      </c>
      <c r="G300" s="240">
        <f>Dat_02!E299</f>
        <v>16.832100644522178</v>
      </c>
      <c r="I300" s="241">
        <f>Dat_02!G299</f>
        <v>0</v>
      </c>
      <c r="J300" s="251" t="str">
        <f>IF(Dat_02!H299=0,"",Dat_02!H299)</f>
        <v/>
      </c>
    </row>
    <row r="301" spans="2:10">
      <c r="B301" s="237"/>
      <c r="C301" s="238">
        <f>Dat_02!B300</f>
        <v>44494</v>
      </c>
      <c r="D301" s="237"/>
      <c r="E301" s="240">
        <f>Dat_02!C300</f>
        <v>28.021523204521248</v>
      </c>
      <c r="F301" s="240">
        <f>Dat_02!D300</f>
        <v>42.895784539321873</v>
      </c>
      <c r="G301" s="240">
        <f>Dat_02!E300</f>
        <v>28.021523204521248</v>
      </c>
      <c r="I301" s="241">
        <f>Dat_02!G300</f>
        <v>0</v>
      </c>
      <c r="J301" s="251" t="str">
        <f>IF(Dat_02!H300=0,"",Dat_02!H300)</f>
        <v/>
      </c>
    </row>
    <row r="302" spans="2:10">
      <c r="B302" s="237"/>
      <c r="C302" s="238">
        <f>Dat_02!B301</f>
        <v>44495</v>
      </c>
      <c r="D302" s="237"/>
      <c r="E302" s="240">
        <f>Dat_02!C301</f>
        <v>20.54823370452311</v>
      </c>
      <c r="F302" s="240">
        <f>Dat_02!D301</f>
        <v>42.895784539321873</v>
      </c>
      <c r="G302" s="240">
        <f>Dat_02!E301</f>
        <v>20.54823370452311</v>
      </c>
      <c r="I302" s="241">
        <f>Dat_02!G301</f>
        <v>0</v>
      </c>
      <c r="J302" s="251" t="str">
        <f>IF(Dat_02!H301=0,"",Dat_02!H301)</f>
        <v/>
      </c>
    </row>
    <row r="303" spans="2:10">
      <c r="B303" s="237"/>
      <c r="C303" s="238">
        <f>Dat_02!B302</f>
        <v>44496</v>
      </c>
      <c r="D303" s="237"/>
      <c r="E303" s="240">
        <f>Dat_02!C302</f>
        <v>38.624622912769432</v>
      </c>
      <c r="F303" s="240">
        <f>Dat_02!D302</f>
        <v>42.895784539321873</v>
      </c>
      <c r="G303" s="240">
        <f>Dat_02!E302</f>
        <v>38.624622912769432</v>
      </c>
      <c r="I303" s="241">
        <f>Dat_02!G302</f>
        <v>0</v>
      </c>
      <c r="J303" s="251" t="str">
        <f>IF(Dat_02!H302=0,"",Dat_02!H302)</f>
        <v/>
      </c>
    </row>
    <row r="304" spans="2:10">
      <c r="B304" s="237"/>
      <c r="C304" s="238">
        <f>Dat_02!B303</f>
        <v>44497</v>
      </c>
      <c r="D304" s="237"/>
      <c r="E304" s="240">
        <f>Dat_02!C303</f>
        <v>29.89881810277129</v>
      </c>
      <c r="F304" s="240">
        <f>Dat_02!D303</f>
        <v>42.895784539321873</v>
      </c>
      <c r="G304" s="240">
        <f>Dat_02!E303</f>
        <v>29.89881810277129</v>
      </c>
      <c r="I304" s="241">
        <f>Dat_02!G303</f>
        <v>0</v>
      </c>
      <c r="J304" s="251" t="str">
        <f>IF(Dat_02!H303=0,"",Dat_02!H303)</f>
        <v/>
      </c>
    </row>
    <row r="305" spans="2:10">
      <c r="B305" s="237"/>
      <c r="C305" s="238">
        <f>Dat_02!B304</f>
        <v>44498</v>
      </c>
      <c r="D305" s="237"/>
      <c r="E305" s="240">
        <f>Dat_02!C304</f>
        <v>25.749093082769427</v>
      </c>
      <c r="F305" s="240">
        <f>Dat_02!D304</f>
        <v>42.895784539321873</v>
      </c>
      <c r="G305" s="240">
        <f>Dat_02!E304</f>
        <v>25.749093082769427</v>
      </c>
      <c r="I305" s="241">
        <f>Dat_02!G304</f>
        <v>0</v>
      </c>
      <c r="J305" s="251" t="str">
        <f>IF(Dat_02!H304=0,"",Dat_02!H304)</f>
        <v/>
      </c>
    </row>
    <row r="306" spans="2:10">
      <c r="B306" s="237"/>
      <c r="C306" s="238">
        <f>Dat_02!B305</f>
        <v>44499</v>
      </c>
      <c r="D306" s="237"/>
      <c r="E306" s="240">
        <f>Dat_02!C305</f>
        <v>27.014702642770359</v>
      </c>
      <c r="F306" s="240">
        <f>Dat_02!D305</f>
        <v>42.895784539321873</v>
      </c>
      <c r="G306" s="240">
        <f>Dat_02!E305</f>
        <v>27.014702642770359</v>
      </c>
      <c r="I306" s="241">
        <f>Dat_02!G305</f>
        <v>0</v>
      </c>
      <c r="J306" s="251" t="str">
        <f>IF(Dat_02!H305=0,"",Dat_02!H305)</f>
        <v/>
      </c>
    </row>
    <row r="307" spans="2:10">
      <c r="B307" s="237"/>
      <c r="C307" s="238">
        <f>Dat_02!B306</f>
        <v>44500</v>
      </c>
      <c r="D307" s="237"/>
      <c r="E307" s="240">
        <f>Dat_02!C306</f>
        <v>14.624562322768497</v>
      </c>
      <c r="F307" s="240">
        <f>Dat_02!D306</f>
        <v>42.895784539321873</v>
      </c>
      <c r="G307" s="240">
        <f>Dat_02!E306</f>
        <v>14.624562322768497</v>
      </c>
      <c r="I307" s="241">
        <f>Dat_02!G306</f>
        <v>0</v>
      </c>
      <c r="J307" s="251" t="str">
        <f>IF(Dat_02!H306=0,"",Dat_02!H306)</f>
        <v/>
      </c>
    </row>
    <row r="308" spans="2:10">
      <c r="B308" s="237" t="s">
        <v>241</v>
      </c>
      <c r="C308" s="238">
        <f>Dat_02!B307</f>
        <v>44501</v>
      </c>
      <c r="D308" s="237"/>
      <c r="E308" s="240">
        <f>Dat_02!C307</f>
        <v>22.308230842770357</v>
      </c>
      <c r="F308" s="240">
        <f>Dat_02!D307</f>
        <v>83.114057360768328</v>
      </c>
      <c r="G308" s="240">
        <f>Dat_02!E307</f>
        <v>22.308230842770357</v>
      </c>
      <c r="I308" s="241">
        <f>Dat_02!G307</f>
        <v>0</v>
      </c>
      <c r="J308" s="251" t="str">
        <f>IF(Dat_02!H307=0,"",Dat_02!H307)</f>
        <v/>
      </c>
    </row>
    <row r="309" spans="2:10">
      <c r="B309" s="237"/>
      <c r="C309" s="238">
        <f>Dat_02!B308</f>
        <v>44502</v>
      </c>
      <c r="D309" s="239"/>
      <c r="E309" s="240">
        <f>Dat_02!C308</f>
        <v>28.861979306771289</v>
      </c>
      <c r="F309" s="240">
        <f>Dat_02!D308</f>
        <v>83.114057360768328</v>
      </c>
      <c r="G309" s="240">
        <f>Dat_02!E308</f>
        <v>28.861979306771289</v>
      </c>
      <c r="I309" s="241">
        <f>Dat_02!G308</f>
        <v>0</v>
      </c>
      <c r="J309" s="251" t="str">
        <f>IF(Dat_02!H308=0,"",Dat_02!H308)</f>
        <v/>
      </c>
    </row>
    <row r="310" spans="2:10">
      <c r="B310" s="239"/>
      <c r="C310" s="238">
        <f>Dat_02!B309</f>
        <v>44503</v>
      </c>
      <c r="D310" s="239"/>
      <c r="E310" s="240">
        <f>Dat_02!C309</f>
        <v>55.962576198660777</v>
      </c>
      <c r="F310" s="240">
        <f>Dat_02!D309</f>
        <v>83.114057360768328</v>
      </c>
      <c r="G310" s="240">
        <f>Dat_02!E309</f>
        <v>55.962576198660777</v>
      </c>
      <c r="I310" s="241">
        <f>Dat_02!G309</f>
        <v>0</v>
      </c>
      <c r="J310" s="251" t="str">
        <f>IF(Dat_02!H309=0,"",Dat_02!H309)</f>
        <v/>
      </c>
    </row>
    <row r="311" spans="2:10">
      <c r="B311" s="237"/>
      <c r="C311" s="238">
        <f>Dat_02!B310</f>
        <v>44504</v>
      </c>
      <c r="D311" s="237"/>
      <c r="E311" s="240">
        <f>Dat_02!C310</f>
        <v>53.423324498659845</v>
      </c>
      <c r="F311" s="240">
        <f>Dat_02!D310</f>
        <v>83.114057360768328</v>
      </c>
      <c r="G311" s="240">
        <f>Dat_02!E310</f>
        <v>53.423324498659845</v>
      </c>
      <c r="I311" s="241">
        <f>Dat_02!G310</f>
        <v>0</v>
      </c>
      <c r="J311" s="251" t="str">
        <f>IF(Dat_02!H310=0,"",Dat_02!H310)</f>
        <v/>
      </c>
    </row>
    <row r="312" spans="2:10">
      <c r="B312" s="237"/>
      <c r="C312" s="238">
        <f>Dat_02!B311</f>
        <v>44505</v>
      </c>
      <c r="D312" s="237"/>
      <c r="E312" s="240">
        <f>Dat_02!C311</f>
        <v>54.768987696662641</v>
      </c>
      <c r="F312" s="240">
        <f>Dat_02!D311</f>
        <v>83.114057360768328</v>
      </c>
      <c r="G312" s="240">
        <f>Dat_02!E311</f>
        <v>54.768987696662641</v>
      </c>
      <c r="I312" s="241">
        <f>Dat_02!G311</f>
        <v>0</v>
      </c>
      <c r="J312" s="251" t="str">
        <f>IF(Dat_02!H311=0,"",Dat_02!H311)</f>
        <v/>
      </c>
    </row>
    <row r="313" spans="2:10">
      <c r="B313" s="237"/>
      <c r="C313" s="238">
        <f>Dat_02!B312</f>
        <v>44506</v>
      </c>
      <c r="D313" s="237"/>
      <c r="E313" s="240">
        <f>Dat_02!C312</f>
        <v>51.567977068661712</v>
      </c>
      <c r="F313" s="240">
        <f>Dat_02!D312</f>
        <v>83.114057360768328</v>
      </c>
      <c r="G313" s="240">
        <f>Dat_02!E312</f>
        <v>51.567977068661712</v>
      </c>
      <c r="I313" s="241">
        <f>Dat_02!G312</f>
        <v>0</v>
      </c>
      <c r="J313" s="251" t="str">
        <f>IF(Dat_02!H312=0,"",Dat_02!H312)</f>
        <v/>
      </c>
    </row>
    <row r="314" spans="2:10">
      <c r="B314" s="237"/>
      <c r="C314" s="238">
        <f>Dat_02!B313</f>
        <v>44507</v>
      </c>
      <c r="D314" s="237"/>
      <c r="E314" s="240">
        <f>Dat_02!C313</f>
        <v>44.701077378660777</v>
      </c>
      <c r="F314" s="240">
        <f>Dat_02!D313</f>
        <v>83.114057360768328</v>
      </c>
      <c r="G314" s="240">
        <f>Dat_02!E313</f>
        <v>44.701077378660777</v>
      </c>
      <c r="I314" s="241">
        <f>Dat_02!G313</f>
        <v>0</v>
      </c>
      <c r="J314" s="251" t="str">
        <f>IF(Dat_02!H313=0,"",Dat_02!H313)</f>
        <v/>
      </c>
    </row>
    <row r="315" spans="2:10">
      <c r="B315" s="237"/>
      <c r="C315" s="238">
        <f>Dat_02!B314</f>
        <v>44508</v>
      </c>
      <c r="D315" s="237"/>
      <c r="E315" s="240">
        <f>Dat_02!C314</f>
        <v>58.140543336660777</v>
      </c>
      <c r="F315" s="240">
        <f>Dat_02!D314</f>
        <v>83.114057360768328</v>
      </c>
      <c r="G315" s="240">
        <f>Dat_02!E314</f>
        <v>58.140543336660777</v>
      </c>
      <c r="I315" s="241">
        <f>Dat_02!G314</f>
        <v>0</v>
      </c>
      <c r="J315" s="251" t="str">
        <f>IF(Dat_02!H314=0,"",Dat_02!H314)</f>
        <v/>
      </c>
    </row>
    <row r="316" spans="2:10">
      <c r="B316" s="237"/>
      <c r="C316" s="238">
        <f>Dat_02!B315</f>
        <v>44509</v>
      </c>
      <c r="D316" s="237"/>
      <c r="E316" s="240">
        <f>Dat_02!C315</f>
        <v>60.352147998661714</v>
      </c>
      <c r="F316" s="240">
        <f>Dat_02!D315</f>
        <v>83.114057360768328</v>
      </c>
      <c r="G316" s="240">
        <f>Dat_02!E315</f>
        <v>60.352147998661714</v>
      </c>
      <c r="I316" s="241">
        <f>Dat_02!G315</f>
        <v>0</v>
      </c>
      <c r="J316" s="251" t="str">
        <f>IF(Dat_02!H315=0,"",Dat_02!H315)</f>
        <v/>
      </c>
    </row>
    <row r="317" spans="2:10">
      <c r="B317" s="237"/>
      <c r="C317" s="238">
        <f>Dat_02!B316</f>
        <v>44510</v>
      </c>
      <c r="D317" s="237"/>
      <c r="E317" s="240">
        <f>Dat_02!C316</f>
        <v>40.642748824205341</v>
      </c>
      <c r="F317" s="240">
        <f>Dat_02!D316</f>
        <v>83.114057360768328</v>
      </c>
      <c r="G317" s="240">
        <f>Dat_02!E316</f>
        <v>40.642748824205341</v>
      </c>
      <c r="I317" s="241">
        <f>Dat_02!G316</f>
        <v>0</v>
      </c>
      <c r="J317" s="251" t="str">
        <f>IF(Dat_02!H316=0,"",Dat_02!H316)</f>
        <v/>
      </c>
    </row>
    <row r="318" spans="2:10">
      <c r="B318" s="237"/>
      <c r="C318" s="238">
        <f>Dat_02!B317</f>
        <v>44511</v>
      </c>
      <c r="D318" s="237"/>
      <c r="E318" s="240">
        <f>Dat_02!C317</f>
        <v>42.387206774205346</v>
      </c>
      <c r="F318" s="240">
        <f>Dat_02!D317</f>
        <v>83.114057360768328</v>
      </c>
      <c r="G318" s="240">
        <f>Dat_02!E317</f>
        <v>42.387206774205346</v>
      </c>
      <c r="I318" s="241">
        <f>Dat_02!G317</f>
        <v>0</v>
      </c>
      <c r="J318" s="251" t="str">
        <f>IF(Dat_02!H317=0,"",Dat_02!H317)</f>
        <v/>
      </c>
    </row>
    <row r="319" spans="2:10">
      <c r="B319" s="237"/>
      <c r="C319" s="238">
        <f>Dat_02!B318</f>
        <v>44512</v>
      </c>
      <c r="D319" s="237"/>
      <c r="E319" s="240">
        <f>Dat_02!C318</f>
        <v>41.148877884206271</v>
      </c>
      <c r="F319" s="240">
        <f>Dat_02!D318</f>
        <v>83.114057360768328</v>
      </c>
      <c r="G319" s="240">
        <f>Dat_02!E318</f>
        <v>41.148877884206271</v>
      </c>
      <c r="I319" s="241">
        <f>Dat_02!G318</f>
        <v>0</v>
      </c>
      <c r="J319" s="251" t="str">
        <f>IF(Dat_02!H318=0,"",Dat_02!H318)</f>
        <v/>
      </c>
    </row>
    <row r="320" spans="2:10">
      <c r="B320" s="237"/>
      <c r="C320" s="238">
        <f>Dat_02!B319</f>
        <v>44513</v>
      </c>
      <c r="D320" s="237"/>
      <c r="E320" s="240">
        <f>Dat_02!C319</f>
        <v>23.362326284206276</v>
      </c>
      <c r="F320" s="240">
        <f>Dat_02!D319</f>
        <v>83.114057360768328</v>
      </c>
      <c r="G320" s="240">
        <f>Dat_02!E319</f>
        <v>23.362326284206276</v>
      </c>
      <c r="I320" s="241">
        <f>Dat_02!G319</f>
        <v>0</v>
      </c>
      <c r="J320" s="251" t="str">
        <f>IF(Dat_02!H319=0,"",Dat_02!H319)</f>
        <v/>
      </c>
    </row>
    <row r="321" spans="2:10">
      <c r="B321" s="237"/>
      <c r="C321" s="238">
        <f>Dat_02!B320</f>
        <v>44514</v>
      </c>
      <c r="D321" s="237"/>
      <c r="E321" s="240">
        <f>Dat_02!C320</f>
        <v>24.407600184204412</v>
      </c>
      <c r="F321" s="240">
        <f>Dat_02!D320</f>
        <v>83.114057360768328</v>
      </c>
      <c r="G321" s="240">
        <f>Dat_02!E320</f>
        <v>24.407600184204412</v>
      </c>
      <c r="I321" s="241">
        <f>Dat_02!G320</f>
        <v>0</v>
      </c>
      <c r="J321" s="251" t="str">
        <f>IF(Dat_02!H320=0,"",Dat_02!H320)</f>
        <v/>
      </c>
    </row>
    <row r="322" spans="2:10">
      <c r="B322" s="237"/>
      <c r="C322" s="238">
        <f>Dat_02!B321</f>
        <v>44515</v>
      </c>
      <c r="D322" s="237"/>
      <c r="E322" s="240">
        <f>Dat_02!C321</f>
        <v>34.030043696206278</v>
      </c>
      <c r="F322" s="240">
        <f>Dat_02!D321</f>
        <v>83.114057360768328</v>
      </c>
      <c r="G322" s="240">
        <f>Dat_02!E321</f>
        <v>34.030043696206278</v>
      </c>
      <c r="I322" s="241">
        <f>Dat_02!G321</f>
        <v>83.114057360768328</v>
      </c>
      <c r="J322" s="251" t="str">
        <f>IF(Dat_02!H321=0,"",Dat_02!H321)</f>
        <v/>
      </c>
    </row>
    <row r="323" spans="2:10">
      <c r="B323" s="237"/>
      <c r="C323" s="238">
        <f>Dat_02!B322</f>
        <v>44516</v>
      </c>
      <c r="D323" s="237"/>
      <c r="E323" s="240">
        <f>Dat_02!C322</f>
        <v>28.109943584206274</v>
      </c>
      <c r="F323" s="240">
        <f>Dat_02!D322</f>
        <v>83.114057360768328</v>
      </c>
      <c r="G323" s="240">
        <f>Dat_02!E322</f>
        <v>28.109943584206274</v>
      </c>
      <c r="I323" s="241">
        <f>Dat_02!G322</f>
        <v>0</v>
      </c>
      <c r="J323" s="251" t="str">
        <f>IF(Dat_02!H322=0,"",Dat_02!H322)</f>
        <v/>
      </c>
    </row>
    <row r="324" spans="2:10">
      <c r="B324" s="237"/>
      <c r="C324" s="238">
        <f>Dat_02!B323</f>
        <v>44517</v>
      </c>
      <c r="D324" s="237"/>
      <c r="E324" s="240">
        <f>Dat_02!C323</f>
        <v>16.007058459577522</v>
      </c>
      <c r="F324" s="240">
        <f>Dat_02!D323</f>
        <v>83.114057360768328</v>
      </c>
      <c r="G324" s="240">
        <f>Dat_02!E323</f>
        <v>16.007058459577522</v>
      </c>
      <c r="I324" s="241">
        <f>Dat_02!G323</f>
        <v>0</v>
      </c>
      <c r="J324" s="251" t="str">
        <f>IF(Dat_02!H323=0,"",Dat_02!H323)</f>
        <v/>
      </c>
    </row>
    <row r="325" spans="2:10">
      <c r="B325" s="237"/>
      <c r="C325" s="238">
        <f>Dat_02!B324</f>
        <v>44518</v>
      </c>
      <c r="D325" s="237"/>
      <c r="E325" s="240">
        <f>Dat_02!C324</f>
        <v>19.80991207957566</v>
      </c>
      <c r="F325" s="240">
        <f>Dat_02!D324</f>
        <v>83.114057360768328</v>
      </c>
      <c r="G325" s="240">
        <f>Dat_02!E324</f>
        <v>19.80991207957566</v>
      </c>
      <c r="I325" s="241">
        <f>Dat_02!G324</f>
        <v>0</v>
      </c>
      <c r="J325" s="251" t="str">
        <f>IF(Dat_02!H324=0,"",Dat_02!H324)</f>
        <v/>
      </c>
    </row>
    <row r="326" spans="2:10">
      <c r="B326" s="237"/>
      <c r="C326" s="238">
        <f>Dat_02!B325</f>
        <v>44519</v>
      </c>
      <c r="D326" s="237"/>
      <c r="E326" s="240">
        <f>Dat_02!C325</f>
        <v>29.004762949575657</v>
      </c>
      <c r="F326" s="240">
        <f>Dat_02!D325</f>
        <v>83.114057360768328</v>
      </c>
      <c r="G326" s="240">
        <f>Dat_02!E325</f>
        <v>29.004762949575657</v>
      </c>
      <c r="I326" s="241">
        <f>Dat_02!G325</f>
        <v>0</v>
      </c>
      <c r="J326" s="251" t="str">
        <f>IF(Dat_02!H325=0,"",Dat_02!H325)</f>
        <v/>
      </c>
    </row>
    <row r="327" spans="2:10">
      <c r="B327" s="237"/>
      <c r="C327" s="238">
        <f>Dat_02!B326</f>
        <v>44520</v>
      </c>
      <c r="D327" s="237"/>
      <c r="E327" s="240">
        <f>Dat_02!C326</f>
        <v>25.17667563157752</v>
      </c>
      <c r="F327" s="240">
        <f>Dat_02!D326</f>
        <v>83.114057360768328</v>
      </c>
      <c r="G327" s="240">
        <f>Dat_02!E326</f>
        <v>25.17667563157752</v>
      </c>
      <c r="I327" s="241">
        <f>Dat_02!G326</f>
        <v>0</v>
      </c>
      <c r="J327" s="251" t="str">
        <f>IF(Dat_02!H326=0,"",Dat_02!H326)</f>
        <v/>
      </c>
    </row>
    <row r="328" spans="2:10">
      <c r="B328" s="237"/>
      <c r="C328" s="238">
        <f>Dat_02!B327</f>
        <v>44521</v>
      </c>
      <c r="D328" s="237"/>
      <c r="E328" s="240">
        <f>Dat_02!C327</f>
        <v>27.447862815575661</v>
      </c>
      <c r="F328" s="240">
        <f>Dat_02!D327</f>
        <v>83.114057360768328</v>
      </c>
      <c r="G328" s="240">
        <f>Dat_02!E327</f>
        <v>27.447862815575661</v>
      </c>
      <c r="I328" s="241">
        <f>Dat_02!G327</f>
        <v>0</v>
      </c>
      <c r="J328" s="251" t="str">
        <f>IF(Dat_02!H327=0,"",Dat_02!H327)</f>
        <v/>
      </c>
    </row>
    <row r="329" spans="2:10">
      <c r="B329" s="237"/>
      <c r="C329" s="238">
        <f>Dat_02!B328</f>
        <v>44522</v>
      </c>
      <c r="D329" s="237"/>
      <c r="E329" s="240">
        <f>Dat_02!C328</f>
        <v>27.954714831577519</v>
      </c>
      <c r="F329" s="240">
        <f>Dat_02!D328</f>
        <v>83.114057360768328</v>
      </c>
      <c r="G329" s="240">
        <f>Dat_02!E328</f>
        <v>27.954714831577519</v>
      </c>
      <c r="I329" s="241">
        <f>Dat_02!G328</f>
        <v>0</v>
      </c>
      <c r="J329" s="251" t="str">
        <f>IF(Dat_02!H328=0,"",Dat_02!H328)</f>
        <v/>
      </c>
    </row>
    <row r="330" spans="2:10">
      <c r="B330" s="237"/>
      <c r="C330" s="238">
        <f>Dat_02!B329</f>
        <v>44523</v>
      </c>
      <c r="D330" s="237"/>
      <c r="E330" s="240">
        <f>Dat_02!C329</f>
        <v>26.71150298357659</v>
      </c>
      <c r="F330" s="240">
        <f>Dat_02!D329</f>
        <v>83.114057360768328</v>
      </c>
      <c r="G330" s="240">
        <f>Dat_02!E329</f>
        <v>26.71150298357659</v>
      </c>
      <c r="I330" s="241">
        <f>Dat_02!G329</f>
        <v>0</v>
      </c>
      <c r="J330" s="251" t="str">
        <f>IF(Dat_02!H329=0,"",Dat_02!H329)</f>
        <v/>
      </c>
    </row>
    <row r="331" spans="2:10">
      <c r="B331" s="237"/>
      <c r="C331" s="238">
        <f>Dat_02!B330</f>
        <v>44524</v>
      </c>
      <c r="D331" s="237"/>
      <c r="E331" s="240">
        <f>Dat_02!C330</f>
        <v>45.498446717377334</v>
      </c>
      <c r="F331" s="240">
        <f>Dat_02!D330</f>
        <v>83.114057360768328</v>
      </c>
      <c r="G331" s="240">
        <f>Dat_02!E330</f>
        <v>45.498446717377334</v>
      </c>
      <c r="I331" s="241">
        <f>Dat_02!G330</f>
        <v>0</v>
      </c>
      <c r="J331" s="251" t="str">
        <f>IF(Dat_02!H330=0,"",Dat_02!H330)</f>
        <v/>
      </c>
    </row>
    <row r="332" spans="2:10">
      <c r="B332" s="237"/>
      <c r="C332" s="238">
        <f>Dat_02!B331</f>
        <v>44525</v>
      </c>
      <c r="D332" s="237"/>
      <c r="E332" s="240">
        <f>Dat_02!C331</f>
        <v>47.59839343537827</v>
      </c>
      <c r="F332" s="240">
        <f>Dat_02!D331</f>
        <v>83.114057360768328</v>
      </c>
      <c r="G332" s="240">
        <f>Dat_02!E331</f>
        <v>47.59839343537827</v>
      </c>
      <c r="I332" s="241">
        <f>Dat_02!G331</f>
        <v>0</v>
      </c>
      <c r="J332" s="251" t="str">
        <f>IF(Dat_02!H331=0,"",Dat_02!H331)</f>
        <v/>
      </c>
    </row>
    <row r="333" spans="2:10">
      <c r="B333" s="237"/>
      <c r="C333" s="238">
        <f>Dat_02!B332</f>
        <v>44526</v>
      </c>
      <c r="D333" s="237"/>
      <c r="E333" s="240">
        <f>Dat_02!C332</f>
        <v>47.584021095378269</v>
      </c>
      <c r="F333" s="240">
        <f>Dat_02!D332</f>
        <v>83.114057360768328</v>
      </c>
      <c r="G333" s="240">
        <f>Dat_02!E332</f>
        <v>47.584021095378269</v>
      </c>
      <c r="I333" s="241">
        <f>Dat_02!G332</f>
        <v>0</v>
      </c>
      <c r="J333" s="251" t="str">
        <f>IF(Dat_02!H332=0,"",Dat_02!H332)</f>
        <v/>
      </c>
    </row>
    <row r="334" spans="2:10">
      <c r="B334" s="237"/>
      <c r="C334" s="238">
        <f>Dat_02!B333</f>
        <v>44527</v>
      </c>
      <c r="D334" s="237"/>
      <c r="E334" s="240">
        <f>Dat_02!C333</f>
        <v>51.494670423378267</v>
      </c>
      <c r="F334" s="240">
        <f>Dat_02!D333</f>
        <v>83.114057360768328</v>
      </c>
      <c r="G334" s="240">
        <f>Dat_02!E333</f>
        <v>51.494670423378267</v>
      </c>
      <c r="I334" s="241">
        <f>Dat_02!G333</f>
        <v>0</v>
      </c>
      <c r="J334" s="251" t="str">
        <f>IF(Dat_02!H333=0,"",Dat_02!H333)</f>
        <v/>
      </c>
    </row>
    <row r="335" spans="2:10">
      <c r="B335" s="237"/>
      <c r="C335" s="238">
        <f>Dat_02!B334</f>
        <v>44528</v>
      </c>
      <c r="D335" s="237"/>
      <c r="E335" s="240">
        <f>Dat_02!C334</f>
        <v>44.40616921137827</v>
      </c>
      <c r="F335" s="240">
        <f>Dat_02!D334</f>
        <v>83.114057360768328</v>
      </c>
      <c r="G335" s="240">
        <f>Dat_02!E334</f>
        <v>44.40616921137827</v>
      </c>
      <c r="I335" s="241">
        <f>Dat_02!G334</f>
        <v>0</v>
      </c>
      <c r="J335" s="251" t="str">
        <f>IF(Dat_02!H334=0,"",Dat_02!H334)</f>
        <v/>
      </c>
    </row>
    <row r="336" spans="2:10">
      <c r="B336" s="237"/>
      <c r="C336" s="238">
        <f>Dat_02!B335</f>
        <v>44529</v>
      </c>
      <c r="D336" s="237"/>
      <c r="E336" s="240">
        <f>Dat_02!C335</f>
        <v>53.894276795377337</v>
      </c>
      <c r="F336" s="240">
        <f>Dat_02!D335</f>
        <v>83.114057360768328</v>
      </c>
      <c r="G336" s="240">
        <f>Dat_02!E335</f>
        <v>53.894276795377337</v>
      </c>
      <c r="I336" s="241">
        <f>Dat_02!G335</f>
        <v>0</v>
      </c>
      <c r="J336" s="251" t="str">
        <f>IF(Dat_02!H335=0,"",Dat_02!H335)</f>
        <v/>
      </c>
    </row>
    <row r="337" spans="2:10">
      <c r="B337" s="237"/>
      <c r="C337" s="238">
        <f>Dat_02!B336</f>
        <v>44530</v>
      </c>
      <c r="D337" s="237"/>
      <c r="E337" s="240">
        <f>Dat_02!C336</f>
        <v>68.752722995378264</v>
      </c>
      <c r="F337" s="240">
        <f>Dat_02!D336</f>
        <v>83.114057360768328</v>
      </c>
      <c r="G337" s="240">
        <f>Dat_02!E336</f>
        <v>68.752722995378264</v>
      </c>
      <c r="I337" s="241">
        <f>Dat_02!G336</f>
        <v>0</v>
      </c>
      <c r="J337" s="251" t="str">
        <f>IF(Dat_02!H336=0,"",Dat_02!H336)</f>
        <v/>
      </c>
    </row>
    <row r="338" spans="2:10">
      <c r="B338" s="237" t="s">
        <v>242</v>
      </c>
      <c r="C338" s="238">
        <f>Dat_02!B337</f>
        <v>44531</v>
      </c>
      <c r="D338" s="237"/>
      <c r="E338" s="240">
        <f>Dat_02!C337</f>
        <v>67.821475788547204</v>
      </c>
      <c r="F338" s="240">
        <f>Dat_02!D337</f>
        <v>104.11073943778104</v>
      </c>
      <c r="G338" s="240">
        <f>Dat_02!E337</f>
        <v>67.821475788547204</v>
      </c>
      <c r="I338" s="241">
        <f>Dat_02!G337</f>
        <v>0</v>
      </c>
      <c r="J338" s="251" t="str">
        <f>IF(Dat_02!H337=0,"",Dat_02!H337)</f>
        <v/>
      </c>
    </row>
    <row r="339" spans="2:10">
      <c r="B339" s="237"/>
      <c r="C339" s="238">
        <f>Dat_02!B338</f>
        <v>44532</v>
      </c>
      <c r="D339" s="239"/>
      <c r="E339" s="240">
        <f>Dat_02!C338</f>
        <v>67.541189772550936</v>
      </c>
      <c r="F339" s="240">
        <f>Dat_02!D338</f>
        <v>104.11073943778104</v>
      </c>
      <c r="G339" s="240">
        <f>Dat_02!E338</f>
        <v>67.541189772550936</v>
      </c>
      <c r="I339" s="241">
        <f>Dat_02!G338</f>
        <v>0</v>
      </c>
      <c r="J339" s="251" t="str">
        <f>IF(Dat_02!H338=0,"",Dat_02!H338)</f>
        <v/>
      </c>
    </row>
    <row r="340" spans="2:10">
      <c r="B340" s="237"/>
      <c r="C340" s="238">
        <f>Dat_02!B339</f>
        <v>44533</v>
      </c>
      <c r="D340" s="239"/>
      <c r="E340" s="240">
        <f>Dat_02!C339</f>
        <v>79.672016052547221</v>
      </c>
      <c r="F340" s="240">
        <f>Dat_02!D339</f>
        <v>104.11073943778104</v>
      </c>
      <c r="G340" s="240">
        <f>Dat_02!E339</f>
        <v>79.672016052547221</v>
      </c>
      <c r="I340" s="241">
        <f>Dat_02!G339</f>
        <v>0</v>
      </c>
      <c r="J340" s="251" t="str">
        <f>IF(Dat_02!H339=0,"",Dat_02!H339)</f>
        <v/>
      </c>
    </row>
    <row r="341" spans="2:10">
      <c r="B341" s="237"/>
      <c r="C341" s="238">
        <f>Dat_02!B340</f>
        <v>44534</v>
      </c>
      <c r="D341" s="237"/>
      <c r="E341" s="240">
        <f>Dat_02!C340</f>
        <v>73.734586612549066</v>
      </c>
      <c r="F341" s="240">
        <f>Dat_02!D340</f>
        <v>104.11073943778104</v>
      </c>
      <c r="G341" s="240">
        <f>Dat_02!E340</f>
        <v>73.734586612549066</v>
      </c>
      <c r="I341" s="241">
        <f>Dat_02!G340</f>
        <v>0</v>
      </c>
      <c r="J341" s="251" t="str">
        <f>IF(Dat_02!H340=0,"",Dat_02!H340)</f>
        <v/>
      </c>
    </row>
    <row r="342" spans="2:10">
      <c r="B342" s="237"/>
      <c r="C342" s="238">
        <f>Dat_02!B341</f>
        <v>44535</v>
      </c>
      <c r="D342" s="237"/>
      <c r="E342" s="240">
        <f>Dat_02!C341</f>
        <v>67.759518322548132</v>
      </c>
      <c r="F342" s="240">
        <f>Dat_02!D341</f>
        <v>104.11073943778104</v>
      </c>
      <c r="G342" s="240">
        <f>Dat_02!E341</f>
        <v>67.759518322548132</v>
      </c>
      <c r="I342" s="241">
        <f>Dat_02!G341</f>
        <v>0</v>
      </c>
      <c r="J342" s="251" t="str">
        <f>IF(Dat_02!H341=0,"",Dat_02!H341)</f>
        <v/>
      </c>
    </row>
    <row r="343" spans="2:10">
      <c r="B343" s="237"/>
      <c r="C343" s="238">
        <f>Dat_02!B342</f>
        <v>44536</v>
      </c>
      <c r="D343" s="237"/>
      <c r="E343" s="240">
        <f>Dat_02!C342</f>
        <v>75.270274524549066</v>
      </c>
      <c r="F343" s="240">
        <f>Dat_02!D342</f>
        <v>104.11073943778104</v>
      </c>
      <c r="G343" s="240">
        <f>Dat_02!E342</f>
        <v>75.270274524549066</v>
      </c>
      <c r="I343" s="241">
        <f>Dat_02!G342</f>
        <v>0</v>
      </c>
      <c r="J343" s="251" t="str">
        <f>IF(Dat_02!H342=0,"",Dat_02!H342)</f>
        <v/>
      </c>
    </row>
    <row r="344" spans="2:10">
      <c r="B344" s="237"/>
      <c r="C344" s="238">
        <f>Dat_02!B343</f>
        <v>44537</v>
      </c>
      <c r="D344" s="237"/>
      <c r="E344" s="240">
        <f>Dat_02!C343</f>
        <v>74.976928570549077</v>
      </c>
      <c r="F344" s="240">
        <f>Dat_02!D343</f>
        <v>104.11073943778104</v>
      </c>
      <c r="G344" s="240">
        <f>Dat_02!E343</f>
        <v>74.976928570549077</v>
      </c>
      <c r="I344" s="241">
        <f>Dat_02!G343</f>
        <v>0</v>
      </c>
      <c r="J344" s="251" t="str">
        <f>IF(Dat_02!H343=0,"",Dat_02!H343)</f>
        <v/>
      </c>
    </row>
    <row r="345" spans="2:10">
      <c r="B345" s="237"/>
      <c r="C345" s="238">
        <f>Dat_02!B344</f>
        <v>44538</v>
      </c>
      <c r="D345" s="237"/>
      <c r="E345" s="240">
        <f>Dat_02!C344</f>
        <v>133.73023399479681</v>
      </c>
      <c r="F345" s="240">
        <f>Dat_02!D344</f>
        <v>104.11073943778104</v>
      </c>
      <c r="G345" s="240">
        <f>Dat_02!E344</f>
        <v>104.11073943778104</v>
      </c>
      <c r="I345" s="241">
        <f>Dat_02!G344</f>
        <v>0</v>
      </c>
      <c r="J345" s="251" t="str">
        <f>IF(Dat_02!H344=0,"",Dat_02!H344)</f>
        <v/>
      </c>
    </row>
    <row r="346" spans="2:10">
      <c r="B346" s="237"/>
      <c r="C346" s="238">
        <f>Dat_02!B345</f>
        <v>44539</v>
      </c>
      <c r="D346" s="237"/>
      <c r="E346" s="240">
        <f>Dat_02!C345</f>
        <v>149.43799316679775</v>
      </c>
      <c r="F346" s="240">
        <f>Dat_02!D345</f>
        <v>104.11073943778104</v>
      </c>
      <c r="G346" s="240">
        <f>Dat_02!E345</f>
        <v>104.11073943778104</v>
      </c>
      <c r="I346" s="241">
        <f>Dat_02!G345</f>
        <v>0</v>
      </c>
      <c r="J346" s="251" t="str">
        <f>IF(Dat_02!H345=0,"",Dat_02!H345)</f>
        <v/>
      </c>
    </row>
    <row r="347" spans="2:10">
      <c r="B347" s="237"/>
      <c r="C347" s="238">
        <f>Dat_02!B346</f>
        <v>44540</v>
      </c>
      <c r="D347" s="237"/>
      <c r="E347" s="240">
        <f>Dat_02!C346</f>
        <v>150.48674337479682</v>
      </c>
      <c r="F347" s="240">
        <f>Dat_02!D346</f>
        <v>104.11073943778104</v>
      </c>
      <c r="G347" s="240">
        <f>Dat_02!E346</f>
        <v>104.11073943778104</v>
      </c>
      <c r="I347" s="241">
        <f>Dat_02!G346</f>
        <v>0</v>
      </c>
      <c r="J347" s="251" t="str">
        <f>IF(Dat_02!H346=0,"",Dat_02!H346)</f>
        <v/>
      </c>
    </row>
    <row r="348" spans="2:10">
      <c r="B348" s="237"/>
      <c r="C348" s="238">
        <f>Dat_02!B347</f>
        <v>44541</v>
      </c>
      <c r="D348" s="237"/>
      <c r="E348" s="240">
        <f>Dat_02!C347</f>
        <v>155.61882204879871</v>
      </c>
      <c r="F348" s="240">
        <f>Dat_02!D347</f>
        <v>104.11073943778104</v>
      </c>
      <c r="G348" s="240">
        <f>Dat_02!E347</f>
        <v>104.11073943778104</v>
      </c>
      <c r="I348" s="241">
        <f>Dat_02!G347</f>
        <v>0</v>
      </c>
      <c r="J348" s="251" t="str">
        <f>IF(Dat_02!H347=0,"",Dat_02!H347)</f>
        <v/>
      </c>
    </row>
    <row r="349" spans="2:10">
      <c r="B349" s="237"/>
      <c r="C349" s="238">
        <f>Dat_02!B348</f>
        <v>44542</v>
      </c>
      <c r="D349" s="237"/>
      <c r="E349" s="240">
        <f>Dat_02!C348</f>
        <v>165.63521909679775</v>
      </c>
      <c r="F349" s="240">
        <f>Dat_02!D348</f>
        <v>104.11073943778104</v>
      </c>
      <c r="G349" s="240">
        <f>Dat_02!E348</f>
        <v>104.11073943778104</v>
      </c>
      <c r="I349" s="241">
        <f>Dat_02!G348</f>
        <v>0</v>
      </c>
      <c r="J349" s="251" t="str">
        <f>IF(Dat_02!H348=0,"",Dat_02!H348)</f>
        <v/>
      </c>
    </row>
    <row r="350" spans="2:10">
      <c r="B350" s="237"/>
      <c r="C350" s="238">
        <f>Dat_02!B349</f>
        <v>44543</v>
      </c>
      <c r="D350" s="237"/>
      <c r="E350" s="240">
        <f>Dat_02!C349</f>
        <v>168.57384704479682</v>
      </c>
      <c r="F350" s="240">
        <f>Dat_02!D349</f>
        <v>104.11073943778104</v>
      </c>
      <c r="G350" s="240">
        <f>Dat_02!E349</f>
        <v>104.11073943778104</v>
      </c>
      <c r="I350" s="241">
        <f>Dat_02!G349</f>
        <v>0</v>
      </c>
      <c r="J350" s="251" t="str">
        <f>IF(Dat_02!H349=0,"",Dat_02!H349)</f>
        <v/>
      </c>
    </row>
    <row r="351" spans="2:10">
      <c r="B351" s="237"/>
      <c r="C351" s="238">
        <f>Dat_02!B350</f>
        <v>44544</v>
      </c>
      <c r="D351" s="237"/>
      <c r="E351" s="240">
        <f>Dat_02!C350</f>
        <v>163.20609151079776</v>
      </c>
      <c r="F351" s="240">
        <f>Dat_02!D350</f>
        <v>104.11073943778104</v>
      </c>
      <c r="G351" s="240">
        <f>Dat_02!E350</f>
        <v>104.11073943778104</v>
      </c>
      <c r="I351" s="241">
        <f>Dat_02!G350</f>
        <v>0</v>
      </c>
      <c r="J351" s="251" t="str">
        <f>IF(Dat_02!H350=0,"",Dat_02!H350)</f>
        <v/>
      </c>
    </row>
    <row r="352" spans="2:10">
      <c r="B352" s="237"/>
      <c r="C352" s="238">
        <f>Dat_02!B351</f>
        <v>44545</v>
      </c>
      <c r="D352" s="237"/>
      <c r="E352" s="240">
        <f>Dat_02!C351</f>
        <v>99.13559776305857</v>
      </c>
      <c r="F352" s="240">
        <f>Dat_02!D351</f>
        <v>104.11073943778104</v>
      </c>
      <c r="G352" s="240">
        <f>Dat_02!E351</f>
        <v>99.13559776305857</v>
      </c>
      <c r="I352" s="241">
        <f>Dat_02!G351</f>
        <v>104.11073943778104</v>
      </c>
      <c r="J352" s="251" t="str">
        <f>IF(Dat_02!H351=0,"",Dat_02!H351)</f>
        <v/>
      </c>
    </row>
    <row r="353" spans="2:10">
      <c r="B353" s="237"/>
      <c r="C353" s="238">
        <f>Dat_02!B352</f>
        <v>44546</v>
      </c>
      <c r="D353" s="237"/>
      <c r="E353" s="240">
        <f>Dat_02!C352</f>
        <v>94.248035811056724</v>
      </c>
      <c r="F353" s="240">
        <f>Dat_02!D352</f>
        <v>104.11073943778104</v>
      </c>
      <c r="G353" s="240">
        <f>Dat_02!E352</f>
        <v>94.248035811056724</v>
      </c>
      <c r="I353" s="241">
        <f>Dat_02!G352</f>
        <v>0</v>
      </c>
      <c r="J353" s="251" t="str">
        <f>IF(Dat_02!H352=0,"",Dat_02!H352)</f>
        <v/>
      </c>
    </row>
    <row r="354" spans="2:10">
      <c r="B354" s="237"/>
      <c r="C354" s="238">
        <f>Dat_02!B353</f>
        <v>44547</v>
      </c>
      <c r="D354" s="237"/>
      <c r="E354" s="240">
        <f>Dat_02!C353</f>
        <v>100.64211291105764</v>
      </c>
      <c r="F354" s="240">
        <f>Dat_02!D353</f>
        <v>104.11073943778104</v>
      </c>
      <c r="G354" s="240">
        <f>Dat_02!E353</f>
        <v>100.64211291105764</v>
      </c>
      <c r="I354" s="241">
        <f>Dat_02!G353</f>
        <v>0</v>
      </c>
      <c r="J354" s="251" t="str">
        <f>IF(Dat_02!H353=0,"",Dat_02!H353)</f>
        <v/>
      </c>
    </row>
    <row r="355" spans="2:10">
      <c r="B355" s="237"/>
      <c r="C355" s="238">
        <f>Dat_02!B354</f>
        <v>44548</v>
      </c>
      <c r="D355" s="237"/>
      <c r="E355" s="240">
        <f>Dat_02!C354</f>
        <v>107.58767906705765</v>
      </c>
      <c r="F355" s="240">
        <f>Dat_02!D354</f>
        <v>104.11073943778104</v>
      </c>
      <c r="G355" s="240">
        <f>Dat_02!E354</f>
        <v>104.11073943778104</v>
      </c>
      <c r="I355" s="241">
        <f>Dat_02!G354</f>
        <v>0</v>
      </c>
      <c r="J355" s="251" t="str">
        <f>IF(Dat_02!H354=0,"",Dat_02!H354)</f>
        <v/>
      </c>
    </row>
    <row r="356" spans="2:10">
      <c r="B356" s="237"/>
      <c r="C356" s="238">
        <f>Dat_02!B355</f>
        <v>44549</v>
      </c>
      <c r="D356" s="237"/>
      <c r="E356" s="240">
        <f>Dat_02!C355</f>
        <v>94.093302843058567</v>
      </c>
      <c r="F356" s="240">
        <f>Dat_02!D355</f>
        <v>104.11073943778104</v>
      </c>
      <c r="G356" s="240">
        <f>Dat_02!E355</f>
        <v>94.093302843058567</v>
      </c>
      <c r="I356" s="241">
        <f>Dat_02!G355</f>
        <v>0</v>
      </c>
      <c r="J356" s="251" t="str">
        <f>IF(Dat_02!H355=0,"",Dat_02!H355)</f>
        <v/>
      </c>
    </row>
    <row r="357" spans="2:10">
      <c r="B357" s="237"/>
      <c r="C357" s="238">
        <f>Dat_02!B356</f>
        <v>44550</v>
      </c>
      <c r="D357" s="237"/>
      <c r="E357" s="240">
        <f>Dat_02!C356</f>
        <v>108.89402023105858</v>
      </c>
      <c r="F357" s="240">
        <f>Dat_02!D356</f>
        <v>104.11073943778104</v>
      </c>
      <c r="G357" s="240">
        <f>Dat_02!E356</f>
        <v>104.11073943778104</v>
      </c>
      <c r="I357" s="241">
        <f>Dat_02!G356</f>
        <v>0</v>
      </c>
      <c r="J357" s="251" t="str">
        <f>IF(Dat_02!H356=0,"",Dat_02!H356)</f>
        <v/>
      </c>
    </row>
    <row r="358" spans="2:10">
      <c r="B358" s="237"/>
      <c r="C358" s="238">
        <f>Dat_02!B357</f>
        <v>44551</v>
      </c>
      <c r="D358" s="237"/>
      <c r="E358" s="240">
        <f>Dat_02!C357</f>
        <v>115.81913627105858</v>
      </c>
      <c r="F358" s="240">
        <f>Dat_02!D357</f>
        <v>104.11073943778104</v>
      </c>
      <c r="G358" s="240">
        <f>Dat_02!E357</f>
        <v>104.11073943778104</v>
      </c>
      <c r="I358" s="241">
        <f>Dat_02!G357</f>
        <v>0</v>
      </c>
      <c r="J358" s="251" t="str">
        <f>IF(Dat_02!H357=0,"",Dat_02!H357)</f>
        <v/>
      </c>
    </row>
    <row r="359" spans="2:10">
      <c r="B359" s="237"/>
      <c r="C359" s="238">
        <f>Dat_02!B358</f>
        <v>44552</v>
      </c>
      <c r="D359" s="237"/>
      <c r="E359" s="240">
        <f>Dat_02!C358</f>
        <v>109.44060140971068</v>
      </c>
      <c r="F359" s="240">
        <f>Dat_02!D358</f>
        <v>104.11073943778104</v>
      </c>
      <c r="G359" s="240">
        <f>Dat_02!E358</f>
        <v>104.11073943778104</v>
      </c>
      <c r="I359" s="241">
        <f>Dat_02!G358</f>
        <v>0</v>
      </c>
      <c r="J359" s="251" t="str">
        <f>IF(Dat_02!H358=0,"",Dat_02!H358)</f>
        <v/>
      </c>
    </row>
    <row r="360" spans="2:10">
      <c r="B360" s="237"/>
      <c r="C360" s="238">
        <f>Dat_02!B359</f>
        <v>44553</v>
      </c>
      <c r="D360" s="237"/>
      <c r="E360" s="240">
        <f>Dat_02!C359</f>
        <v>100.41240194570881</v>
      </c>
      <c r="F360" s="240">
        <f>Dat_02!D359</f>
        <v>104.11073943778104</v>
      </c>
      <c r="G360" s="240">
        <f>Dat_02!E359</f>
        <v>100.41240194570881</v>
      </c>
      <c r="I360" s="241">
        <f>Dat_02!G359</f>
        <v>0</v>
      </c>
      <c r="J360" s="251" t="str">
        <f>IF(Dat_02!H359=0,"",Dat_02!H359)</f>
        <v/>
      </c>
    </row>
    <row r="361" spans="2:10">
      <c r="B361" s="237"/>
      <c r="C361" s="238">
        <f>Dat_02!B360</f>
        <v>44554</v>
      </c>
      <c r="D361" s="237"/>
      <c r="E361" s="240">
        <f>Dat_02!C360</f>
        <v>73.025348019711615</v>
      </c>
      <c r="F361" s="240">
        <f>Dat_02!D360</f>
        <v>104.11073943778104</v>
      </c>
      <c r="G361" s="240">
        <f>Dat_02!E360</f>
        <v>73.025348019711615</v>
      </c>
      <c r="I361" s="241">
        <f>Dat_02!G360</f>
        <v>0</v>
      </c>
      <c r="J361" s="251" t="str">
        <f>IF(Dat_02!H360=0,"",Dat_02!H360)</f>
        <v/>
      </c>
    </row>
    <row r="362" spans="2:10">
      <c r="B362" s="237"/>
      <c r="C362" s="238">
        <f>Dat_02!B361</f>
        <v>44555</v>
      </c>
      <c r="D362" s="237"/>
      <c r="E362" s="240">
        <f>Dat_02!C361</f>
        <v>62.822974397708819</v>
      </c>
      <c r="F362" s="240">
        <f>Dat_02!D361</f>
        <v>104.11073943778104</v>
      </c>
      <c r="G362" s="240">
        <f>Dat_02!E361</f>
        <v>62.822974397708819</v>
      </c>
      <c r="I362" s="241">
        <f>Dat_02!G361</f>
        <v>0</v>
      </c>
      <c r="J362" s="251" t="str">
        <f>IF(Dat_02!H361=0,"",Dat_02!H361)</f>
        <v/>
      </c>
    </row>
    <row r="363" spans="2:10">
      <c r="B363" s="237"/>
      <c r="C363" s="238">
        <f>Dat_02!B362</f>
        <v>44556</v>
      </c>
      <c r="D363" s="237"/>
      <c r="E363" s="240">
        <f>Dat_02!C362</f>
        <v>66.78294229771069</v>
      </c>
      <c r="F363" s="240">
        <f>Dat_02!D362</f>
        <v>104.11073943778104</v>
      </c>
      <c r="G363" s="240">
        <f>Dat_02!E362</f>
        <v>66.78294229771069</v>
      </c>
      <c r="I363" s="241">
        <f>Dat_02!G362</f>
        <v>0</v>
      </c>
      <c r="J363" s="251" t="str">
        <f>IF(Dat_02!H362=0,"",Dat_02!H362)</f>
        <v/>
      </c>
    </row>
    <row r="364" spans="2:10">
      <c r="B364" s="237"/>
      <c r="C364" s="238">
        <f>Dat_02!B363</f>
        <v>44557</v>
      </c>
      <c r="D364" s="237"/>
      <c r="E364" s="240">
        <f>Dat_02!C363</f>
        <v>70.057535739709749</v>
      </c>
      <c r="F364" s="240">
        <f>Dat_02!D363</f>
        <v>104.11073943778104</v>
      </c>
      <c r="G364" s="240">
        <f>Dat_02!E363</f>
        <v>70.057535739709749</v>
      </c>
      <c r="I364" s="241">
        <f>Dat_02!G363</f>
        <v>0</v>
      </c>
      <c r="J364" s="251" t="str">
        <f>IF(Dat_02!H363=0,"",Dat_02!H363)</f>
        <v/>
      </c>
    </row>
    <row r="365" spans="2:10">
      <c r="B365" s="237"/>
      <c r="C365" s="238">
        <f>Dat_02!B364</f>
        <v>44558</v>
      </c>
      <c r="D365" s="237"/>
      <c r="E365" s="240">
        <f>Dat_02!C364</f>
        <v>73.891913097710685</v>
      </c>
      <c r="F365" s="240">
        <f>Dat_02!D364</f>
        <v>104.11073943778104</v>
      </c>
      <c r="G365" s="240">
        <f>Dat_02!E364</f>
        <v>73.891913097710685</v>
      </c>
      <c r="I365" s="241">
        <f>Dat_02!G364</f>
        <v>0</v>
      </c>
      <c r="J365" s="251" t="str">
        <f>IF(Dat_02!H364=0,"",Dat_02!H364)</f>
        <v/>
      </c>
    </row>
    <row r="366" spans="2:10">
      <c r="B366" s="237"/>
      <c r="C366" s="238">
        <f>Dat_02!B365</f>
        <v>44559</v>
      </c>
      <c r="D366" s="237"/>
      <c r="E366" s="240">
        <f>Dat_02!C365</f>
        <v>126.16605471740441</v>
      </c>
      <c r="F366" s="240">
        <f>Dat_02!D365</f>
        <v>104.11073943778104</v>
      </c>
      <c r="G366" s="240">
        <f>Dat_02!E365</f>
        <v>104.11073943778104</v>
      </c>
      <c r="I366" s="241">
        <f>Dat_02!G365</f>
        <v>0</v>
      </c>
      <c r="J366" s="251" t="str">
        <f>IF(Dat_02!H365=0,"",Dat_02!H365)</f>
        <v/>
      </c>
    </row>
    <row r="367" spans="2:10">
      <c r="B367" s="237"/>
      <c r="C367" s="238">
        <f>Dat_02!B366</f>
        <v>44560</v>
      </c>
      <c r="D367" s="237"/>
      <c r="E367" s="240">
        <f>Dat_02!C366</f>
        <v>127.13486850740441</v>
      </c>
      <c r="F367" s="240">
        <f>Dat_02!D366</f>
        <v>104.11073943778104</v>
      </c>
      <c r="G367" s="240">
        <f>Dat_02!E366</f>
        <v>104.11073943778104</v>
      </c>
      <c r="I367" s="241">
        <f>Dat_02!G366</f>
        <v>0</v>
      </c>
      <c r="J367" s="251" t="str">
        <f>IF(Dat_02!H366=0,"",Dat_02!H366)</f>
        <v/>
      </c>
    </row>
    <row r="368" spans="2:10">
      <c r="B368" s="237"/>
      <c r="C368" s="238">
        <f>Dat_02!B367</f>
        <v>44561</v>
      </c>
      <c r="D368" s="237"/>
      <c r="E368" s="240">
        <f>Dat_02!C367</f>
        <v>118.23414151740441</v>
      </c>
      <c r="F368" s="240">
        <f>Dat_02!D367</f>
        <v>104.11073943778104</v>
      </c>
      <c r="G368" s="240">
        <f>Dat_02!E367</f>
        <v>104.11073943778104</v>
      </c>
      <c r="I368" s="241">
        <f>Dat_02!G367</f>
        <v>0</v>
      </c>
      <c r="J368" s="251" t="str">
        <f>IF(Dat_02!H367=0,"",Dat_02!H367)</f>
        <v/>
      </c>
    </row>
    <row r="369" spans="2:10">
      <c r="B369" s="239" t="s">
        <v>227</v>
      </c>
      <c r="C369" s="238">
        <f>Dat_02!B368</f>
        <v>44562</v>
      </c>
      <c r="D369" s="239"/>
      <c r="E369" s="240">
        <f>Dat_02!C368</f>
        <v>100.42625551940533</v>
      </c>
      <c r="F369" s="240">
        <f>Dat_02!D368</f>
        <v>117.91214619510544</v>
      </c>
      <c r="G369" s="240">
        <f>Dat_02!E368</f>
        <v>100.42625551940533</v>
      </c>
      <c r="I369" s="241">
        <f>Dat_02!G368</f>
        <v>0</v>
      </c>
      <c r="J369" s="251" t="str">
        <f>IF(Dat_02!H368=0,"",Dat_02!H368)</f>
        <v/>
      </c>
    </row>
    <row r="370" spans="2:10">
      <c r="B370" s="237"/>
      <c r="C370" s="238">
        <f>Dat_02!B369</f>
        <v>44563</v>
      </c>
      <c r="D370" s="239"/>
      <c r="E370" s="240">
        <f>Dat_02!C369</f>
        <v>103.12638681740533</v>
      </c>
      <c r="F370" s="240">
        <f>Dat_02!D369</f>
        <v>117.91214619510544</v>
      </c>
      <c r="G370" s="240">
        <f>Dat_02!E369</f>
        <v>103.12638681740533</v>
      </c>
      <c r="I370" s="241">
        <f>Dat_02!G369</f>
        <v>0</v>
      </c>
      <c r="J370" s="251" t="str">
        <f>IF(Dat_02!H369=0,"",Dat_02!H369)</f>
        <v/>
      </c>
    </row>
    <row r="371" spans="2:10">
      <c r="B371" s="237"/>
      <c r="C371" s="238">
        <f>Dat_02!B370</f>
        <v>44564</v>
      </c>
      <c r="D371" s="237"/>
      <c r="E371" s="240">
        <f>Dat_02!C370</f>
        <v>103.40858254740439</v>
      </c>
      <c r="F371" s="240">
        <f>Dat_02!D370</f>
        <v>117.91214619510544</v>
      </c>
      <c r="G371" s="240">
        <f>Dat_02!E370</f>
        <v>103.40858254740439</v>
      </c>
      <c r="I371" s="241">
        <f>Dat_02!G370</f>
        <v>0</v>
      </c>
      <c r="J371" s="251" t="str">
        <f>IF(Dat_02!H370=0,"",Dat_02!H370)</f>
        <v/>
      </c>
    </row>
    <row r="372" spans="2:10">
      <c r="B372" s="237"/>
      <c r="C372" s="238">
        <f>Dat_02!B371</f>
        <v>44565</v>
      </c>
      <c r="D372" s="237"/>
      <c r="E372" s="240">
        <f>Dat_02!C371</f>
        <v>101.8772165114044</v>
      </c>
      <c r="F372" s="240">
        <f>Dat_02!D371</f>
        <v>117.91214619510544</v>
      </c>
      <c r="G372" s="240">
        <f>Dat_02!E371</f>
        <v>101.8772165114044</v>
      </c>
      <c r="I372" s="241">
        <f>Dat_02!G371</f>
        <v>0</v>
      </c>
      <c r="J372" s="251" t="str">
        <f>IF(Dat_02!H371=0,"",Dat_02!H371)</f>
        <v/>
      </c>
    </row>
    <row r="373" spans="2:10">
      <c r="B373" s="237"/>
      <c r="C373" s="238">
        <f>Dat_02!B372</f>
        <v>44566</v>
      </c>
      <c r="D373" s="237"/>
      <c r="E373" s="240">
        <f>Dat_02!C372</f>
        <v>90.682511495153449</v>
      </c>
      <c r="F373" s="240">
        <f>Dat_02!D372</f>
        <v>117.91214619510544</v>
      </c>
      <c r="G373" s="240">
        <f>Dat_02!E372</f>
        <v>90.682511495153449</v>
      </c>
      <c r="I373" s="241">
        <f>Dat_02!G372</f>
        <v>0</v>
      </c>
      <c r="J373" s="251" t="str">
        <f>IF(Dat_02!H372=0,"",Dat_02!H372)</f>
        <v/>
      </c>
    </row>
    <row r="374" spans="2:10">
      <c r="B374" s="237"/>
      <c r="C374" s="238">
        <f>Dat_02!B373</f>
        <v>44567</v>
      </c>
      <c r="D374" s="237"/>
      <c r="E374" s="240">
        <f>Dat_02!C373</f>
        <v>94.195708353151588</v>
      </c>
      <c r="F374" s="240">
        <f>Dat_02!D373</f>
        <v>117.91214619510544</v>
      </c>
      <c r="G374" s="240">
        <f>Dat_02!E373</f>
        <v>94.195708353151588</v>
      </c>
      <c r="I374" s="241">
        <f>Dat_02!G373</f>
        <v>0</v>
      </c>
      <c r="J374" s="251" t="str">
        <f>IF(Dat_02!H373=0,"",Dat_02!H373)</f>
        <v/>
      </c>
    </row>
    <row r="375" spans="2:10">
      <c r="B375" s="237"/>
      <c r="C375" s="238">
        <f>Dat_02!B374</f>
        <v>44568</v>
      </c>
      <c r="D375" s="237"/>
      <c r="E375" s="240">
        <f>Dat_02!C374</f>
        <v>95.23217975915253</v>
      </c>
      <c r="F375" s="240">
        <f>Dat_02!D374</f>
        <v>117.91214619510544</v>
      </c>
      <c r="G375" s="240">
        <f>Dat_02!E374</f>
        <v>95.23217975915253</v>
      </c>
      <c r="I375" s="241">
        <f>Dat_02!G374</f>
        <v>0</v>
      </c>
      <c r="J375" s="251" t="str">
        <f>IF(Dat_02!H374=0,"",Dat_02!H374)</f>
        <v/>
      </c>
    </row>
    <row r="376" spans="2:10">
      <c r="B376" s="237"/>
      <c r="C376" s="238">
        <f>Dat_02!B375</f>
        <v>44569</v>
      </c>
      <c r="D376" s="237"/>
      <c r="E376" s="240">
        <f>Dat_02!C375</f>
        <v>89.885470789151583</v>
      </c>
      <c r="F376" s="240">
        <f>Dat_02!D375</f>
        <v>117.91214619510544</v>
      </c>
      <c r="G376" s="240">
        <f>Dat_02!E375</f>
        <v>89.885470789151583</v>
      </c>
      <c r="I376" s="241">
        <f>Dat_02!G375</f>
        <v>0</v>
      </c>
      <c r="J376" s="251" t="str">
        <f>IF(Dat_02!H375=0,"",Dat_02!H375)</f>
        <v/>
      </c>
    </row>
    <row r="377" spans="2:10">
      <c r="B377" s="237"/>
      <c r="C377" s="238">
        <f>Dat_02!B376</f>
        <v>44570</v>
      </c>
      <c r="D377" s="237"/>
      <c r="E377" s="240">
        <f>Dat_02!C376</f>
        <v>81.45797707315252</v>
      </c>
      <c r="F377" s="240">
        <f>Dat_02!D376</f>
        <v>117.91214619510544</v>
      </c>
      <c r="G377" s="240">
        <f>Dat_02!E376</f>
        <v>81.45797707315252</v>
      </c>
      <c r="I377" s="241">
        <f>Dat_02!G376</f>
        <v>0</v>
      </c>
      <c r="J377" s="251" t="str">
        <f>IF(Dat_02!H376=0,"",Dat_02!H376)</f>
        <v/>
      </c>
    </row>
    <row r="378" spans="2:10">
      <c r="B378" s="237"/>
      <c r="C378" s="238">
        <f>Dat_02!B377</f>
        <v>44571</v>
      </c>
      <c r="D378" s="237"/>
      <c r="E378" s="240">
        <f>Dat_02!C377</f>
        <v>104.94837715515158</v>
      </c>
      <c r="F378" s="240">
        <f>Dat_02!D377</f>
        <v>117.91214619510544</v>
      </c>
      <c r="G378" s="240">
        <f>Dat_02!E377</f>
        <v>104.94837715515158</v>
      </c>
      <c r="I378" s="241">
        <f>Dat_02!G377</f>
        <v>0</v>
      </c>
      <c r="J378" s="251" t="str">
        <f>IF(Dat_02!H377=0,"",Dat_02!H377)</f>
        <v/>
      </c>
    </row>
    <row r="379" spans="2:10">
      <c r="B379" s="237"/>
      <c r="C379" s="238">
        <f>Dat_02!B378</f>
        <v>44572</v>
      </c>
      <c r="D379" s="237"/>
      <c r="E379" s="240">
        <f>Dat_02!C378</f>
        <v>105.82474258715251</v>
      </c>
      <c r="F379" s="240">
        <f>Dat_02!D378</f>
        <v>117.91214619510544</v>
      </c>
      <c r="G379" s="240">
        <f>Dat_02!E378</f>
        <v>105.82474258715251</v>
      </c>
      <c r="I379" s="241">
        <f>Dat_02!G378</f>
        <v>0</v>
      </c>
      <c r="J379" s="251" t="str">
        <f>IF(Dat_02!H378=0,"",Dat_02!H378)</f>
        <v/>
      </c>
    </row>
    <row r="380" spans="2:10">
      <c r="B380" s="237"/>
      <c r="C380" s="238">
        <f>Dat_02!B379</f>
        <v>44573</v>
      </c>
      <c r="D380" s="237"/>
      <c r="E380" s="240">
        <f>Dat_02!C379</f>
        <v>79.67926047363234</v>
      </c>
      <c r="F380" s="240">
        <f>Dat_02!D379</f>
        <v>117.91214619510544</v>
      </c>
      <c r="G380" s="240">
        <f>Dat_02!E379</f>
        <v>79.67926047363234</v>
      </c>
      <c r="I380" s="241">
        <f>Dat_02!G379</f>
        <v>0</v>
      </c>
      <c r="J380" s="251" t="str">
        <f>IF(Dat_02!H379=0,"",Dat_02!H379)</f>
        <v/>
      </c>
    </row>
    <row r="381" spans="2:10">
      <c r="B381" s="237"/>
      <c r="C381" s="238">
        <f>Dat_02!B380</f>
        <v>44574</v>
      </c>
      <c r="D381" s="237"/>
      <c r="E381" s="240">
        <f>Dat_02!C380</f>
        <v>108.68345302363421</v>
      </c>
      <c r="F381" s="240">
        <f>Dat_02!D380</f>
        <v>117.91214619510544</v>
      </c>
      <c r="G381" s="240">
        <f>Dat_02!E380</f>
        <v>108.68345302363421</v>
      </c>
      <c r="I381" s="241">
        <f>Dat_02!G380</f>
        <v>0</v>
      </c>
      <c r="J381" s="251" t="str">
        <f>IF(Dat_02!H380=0,"",Dat_02!H380)</f>
        <v/>
      </c>
    </row>
    <row r="382" spans="2:10">
      <c r="B382" s="237"/>
      <c r="C382" s="238">
        <f>Dat_02!B381</f>
        <v>44575</v>
      </c>
      <c r="D382" s="237"/>
      <c r="E382" s="240">
        <f>Dat_02!C381</f>
        <v>109.89147631363421</v>
      </c>
      <c r="F382" s="240">
        <f>Dat_02!D381</f>
        <v>117.91214619510544</v>
      </c>
      <c r="G382" s="240">
        <f>Dat_02!E381</f>
        <v>109.89147631363421</v>
      </c>
      <c r="I382" s="241">
        <f>Dat_02!G381</f>
        <v>0</v>
      </c>
      <c r="J382" s="251" t="str">
        <f>IF(Dat_02!H381=0,"",Dat_02!H381)</f>
        <v/>
      </c>
    </row>
    <row r="383" spans="2:10">
      <c r="B383" s="237"/>
      <c r="C383" s="238">
        <f>Dat_02!B382</f>
        <v>44576</v>
      </c>
      <c r="D383" s="237"/>
      <c r="E383" s="240">
        <f>Dat_02!C382</f>
        <v>107.80683500363328</v>
      </c>
      <c r="F383" s="240">
        <f>Dat_02!D382</f>
        <v>117.91214619510544</v>
      </c>
      <c r="G383" s="240">
        <f>Dat_02!E382</f>
        <v>107.80683500363328</v>
      </c>
      <c r="I383" s="241">
        <f>Dat_02!G382</f>
        <v>117.91214619510544</v>
      </c>
      <c r="J383" s="251" t="str">
        <f>IF(Dat_02!H382=0,"",Dat_02!H382)</f>
        <v/>
      </c>
    </row>
    <row r="384" spans="2:10">
      <c r="B384" s="237"/>
      <c r="C384" s="238">
        <f>Dat_02!B383</f>
        <v>44577</v>
      </c>
      <c r="D384" s="237"/>
      <c r="E384" s="240">
        <f>Dat_02!C383</f>
        <v>93.87015517163421</v>
      </c>
      <c r="F384" s="240">
        <f>Dat_02!D383</f>
        <v>117.91214619510544</v>
      </c>
      <c r="G384" s="240">
        <f>Dat_02!E383</f>
        <v>93.87015517163421</v>
      </c>
      <c r="I384" s="241">
        <f>Dat_02!G383</f>
        <v>0</v>
      </c>
      <c r="J384" s="251" t="str">
        <f>IF(Dat_02!H383=0,"",Dat_02!H383)</f>
        <v/>
      </c>
    </row>
    <row r="385" spans="2:10">
      <c r="B385" s="237"/>
      <c r="C385" s="238">
        <f>Dat_02!B384</f>
        <v>44578</v>
      </c>
      <c r="D385" s="237"/>
      <c r="E385" s="240">
        <f>Dat_02!C384</f>
        <v>102.60832404363421</v>
      </c>
      <c r="F385" s="240">
        <f>Dat_02!D384</f>
        <v>117.91214619510544</v>
      </c>
      <c r="G385" s="240">
        <f>Dat_02!E384</f>
        <v>102.60832404363421</v>
      </c>
      <c r="I385" s="241">
        <f>Dat_02!G384</f>
        <v>0</v>
      </c>
      <c r="J385" s="251" t="str">
        <f>IF(Dat_02!H384=0,"",Dat_02!H384)</f>
        <v/>
      </c>
    </row>
    <row r="386" spans="2:10">
      <c r="B386" s="237"/>
      <c r="C386" s="238">
        <f>Dat_02!B385</f>
        <v>44579</v>
      </c>
      <c r="D386" s="237"/>
      <c r="E386" s="240">
        <f>Dat_02!C385</f>
        <v>104.11270260363328</v>
      </c>
      <c r="F386" s="240">
        <f>Dat_02!D385</f>
        <v>117.91214619510544</v>
      </c>
      <c r="G386" s="240">
        <f>Dat_02!E385</f>
        <v>104.11270260363328</v>
      </c>
      <c r="I386" s="241">
        <f>Dat_02!G385</f>
        <v>0</v>
      </c>
      <c r="J386" s="251" t="str">
        <f>IF(Dat_02!H385=0,"",Dat_02!H385)</f>
        <v/>
      </c>
    </row>
    <row r="387" spans="2:10">
      <c r="B387" s="237"/>
      <c r="C387" s="238">
        <f>Dat_02!B386</f>
        <v>44580</v>
      </c>
      <c r="D387" s="237"/>
      <c r="E387" s="240">
        <f>Dat_02!C386</f>
        <v>68.637734574516927</v>
      </c>
      <c r="F387" s="240">
        <f>Dat_02!D386</f>
        <v>117.91214619510544</v>
      </c>
      <c r="G387" s="240">
        <f>Dat_02!E386</f>
        <v>68.637734574516927</v>
      </c>
      <c r="I387" s="241">
        <f>Dat_02!G386</f>
        <v>0</v>
      </c>
      <c r="J387" s="251" t="str">
        <f>IF(Dat_02!H386=0,"",Dat_02!H386)</f>
        <v/>
      </c>
    </row>
    <row r="388" spans="2:10">
      <c r="B388" s="237"/>
      <c r="C388" s="238">
        <f>Dat_02!B387</f>
        <v>44581</v>
      </c>
      <c r="D388" s="237"/>
      <c r="E388" s="240">
        <f>Dat_02!C387</f>
        <v>58.737492274517862</v>
      </c>
      <c r="F388" s="240">
        <f>Dat_02!D387</f>
        <v>117.91214619510544</v>
      </c>
      <c r="G388" s="240">
        <f>Dat_02!E387</f>
        <v>58.737492274517862</v>
      </c>
      <c r="I388" s="241">
        <f>Dat_02!G387</f>
        <v>0</v>
      </c>
      <c r="J388" s="251" t="str">
        <f>IF(Dat_02!H387=0,"",Dat_02!H387)</f>
        <v/>
      </c>
    </row>
    <row r="389" spans="2:10">
      <c r="B389" s="237"/>
      <c r="C389" s="238">
        <f>Dat_02!B388</f>
        <v>44582</v>
      </c>
      <c r="D389" s="237"/>
      <c r="E389" s="240">
        <f>Dat_02!C388</f>
        <v>44.506729246516002</v>
      </c>
      <c r="F389" s="240">
        <f>Dat_02!D388</f>
        <v>117.91214619510544</v>
      </c>
      <c r="G389" s="240">
        <f>Dat_02!E388</f>
        <v>44.506729246516002</v>
      </c>
      <c r="I389" s="241">
        <f>Dat_02!G388</f>
        <v>0</v>
      </c>
      <c r="J389" s="251" t="str">
        <f>IF(Dat_02!H388=0,"",Dat_02!H388)</f>
        <v/>
      </c>
    </row>
    <row r="390" spans="2:10">
      <c r="B390" s="237"/>
      <c r="C390" s="238">
        <f>Dat_02!B389</f>
        <v>44583</v>
      </c>
      <c r="D390" s="237"/>
      <c r="E390" s="240">
        <f>Dat_02!C389</f>
        <v>42.409446336516936</v>
      </c>
      <c r="F390" s="240">
        <f>Dat_02!D389</f>
        <v>117.91214619510544</v>
      </c>
      <c r="G390" s="240">
        <f>Dat_02!E389</f>
        <v>42.409446336516936</v>
      </c>
      <c r="I390" s="241">
        <f>Dat_02!G389</f>
        <v>0</v>
      </c>
      <c r="J390" s="251" t="str">
        <f>IF(Dat_02!H389=0,"",Dat_02!H389)</f>
        <v/>
      </c>
    </row>
    <row r="391" spans="2:10">
      <c r="B391" s="237"/>
      <c r="C391" s="238">
        <f>Dat_02!B390</f>
        <v>44584</v>
      </c>
      <c r="D391" s="237"/>
      <c r="E391" s="240">
        <f>Dat_02!C390</f>
        <v>55.31095297451693</v>
      </c>
      <c r="F391" s="240">
        <f>Dat_02!D390</f>
        <v>117.91214619510544</v>
      </c>
      <c r="G391" s="240">
        <f>Dat_02!E390</f>
        <v>55.31095297451693</v>
      </c>
      <c r="I391" s="241">
        <f>Dat_02!G390</f>
        <v>0</v>
      </c>
      <c r="J391" s="251" t="str">
        <f>IF(Dat_02!H390=0,"",Dat_02!H390)</f>
        <v/>
      </c>
    </row>
    <row r="392" spans="2:10">
      <c r="B392" s="237"/>
      <c r="C392" s="238">
        <f>Dat_02!B391</f>
        <v>44585</v>
      </c>
      <c r="D392" s="237"/>
      <c r="E392" s="240">
        <f>Dat_02!C391</f>
        <v>82.659946634515066</v>
      </c>
      <c r="F392" s="240">
        <f>Dat_02!D391</f>
        <v>117.91214619510544</v>
      </c>
      <c r="G392" s="240">
        <f>Dat_02!E391</f>
        <v>82.659946634515066</v>
      </c>
      <c r="I392" s="241">
        <f>Dat_02!G391</f>
        <v>0</v>
      </c>
      <c r="J392" s="251" t="str">
        <f>IF(Dat_02!H391=0,"",Dat_02!H391)</f>
        <v/>
      </c>
    </row>
    <row r="393" spans="2:10">
      <c r="B393" s="237"/>
      <c r="C393" s="238">
        <f>Dat_02!B392</f>
        <v>44586</v>
      </c>
      <c r="D393" s="237"/>
      <c r="E393" s="240">
        <f>Dat_02!C392</f>
        <v>64.998238462519737</v>
      </c>
      <c r="F393" s="240">
        <f>Dat_02!D392</f>
        <v>117.91214619510544</v>
      </c>
      <c r="G393" s="240">
        <f>Dat_02!E392</f>
        <v>64.998238462519737</v>
      </c>
      <c r="I393" s="241">
        <f>Dat_02!G392</f>
        <v>0</v>
      </c>
      <c r="J393" s="251" t="str">
        <f>IF(Dat_02!H392=0,"",Dat_02!H392)</f>
        <v/>
      </c>
    </row>
    <row r="394" spans="2:10">
      <c r="B394" s="237"/>
      <c r="C394" s="238">
        <f>Dat_02!B393</f>
        <v>44587</v>
      </c>
      <c r="D394" s="237"/>
      <c r="E394" s="240">
        <f>Dat_02!C393</f>
        <v>60.119786710062165</v>
      </c>
      <c r="F394" s="240">
        <f>Dat_02!D393</f>
        <v>117.91214619510544</v>
      </c>
      <c r="G394" s="240">
        <f>Dat_02!E393</f>
        <v>60.119786710062165</v>
      </c>
      <c r="I394" s="241">
        <f>Dat_02!G393</f>
        <v>0</v>
      </c>
      <c r="J394" s="251" t="str">
        <f>IF(Dat_02!H393=0,"",Dat_02!H393)</f>
        <v/>
      </c>
    </row>
    <row r="395" spans="2:10">
      <c r="B395" s="237"/>
      <c r="C395" s="238">
        <f>Dat_02!B394</f>
        <v>44588</v>
      </c>
      <c r="D395" s="237"/>
      <c r="E395" s="240">
        <f>Dat_02!C394</f>
        <v>44.462734002061232</v>
      </c>
      <c r="F395" s="240">
        <f>Dat_02!D394</f>
        <v>117.91214619510544</v>
      </c>
      <c r="G395" s="240">
        <f>Dat_02!E394</f>
        <v>44.462734002061232</v>
      </c>
      <c r="I395" s="241">
        <f>Dat_02!G394</f>
        <v>0</v>
      </c>
      <c r="J395" s="251" t="str">
        <f>IF(Dat_02!H394=0,"",Dat_02!H394)</f>
        <v/>
      </c>
    </row>
    <row r="396" spans="2:10">
      <c r="B396" s="237"/>
      <c r="C396" s="238">
        <f>Dat_02!B395</f>
        <v>44589</v>
      </c>
      <c r="D396" s="237"/>
      <c r="E396" s="240">
        <f>Dat_02!C395</f>
        <v>32.407838530062165</v>
      </c>
      <c r="F396" s="240">
        <f>Dat_02!D395</f>
        <v>117.91214619510544</v>
      </c>
      <c r="G396" s="240">
        <f>Dat_02!E395</f>
        <v>32.407838530062165</v>
      </c>
      <c r="I396" s="241">
        <f>Dat_02!G395</f>
        <v>0</v>
      </c>
      <c r="J396" s="251" t="str">
        <f>IF(Dat_02!H395=0,"",Dat_02!H395)</f>
        <v/>
      </c>
    </row>
    <row r="397" spans="2:10">
      <c r="B397" s="237"/>
      <c r="C397" s="238">
        <f>Dat_02!B396</f>
        <v>44590</v>
      </c>
      <c r="D397" s="237"/>
      <c r="E397" s="240">
        <f>Dat_02!C396</f>
        <v>31.709124514064964</v>
      </c>
      <c r="F397" s="240">
        <f>Dat_02!D396</f>
        <v>117.91214619510544</v>
      </c>
      <c r="G397" s="240">
        <f>Dat_02!E396</f>
        <v>31.709124514064964</v>
      </c>
      <c r="I397" s="241">
        <f>Dat_02!G396</f>
        <v>0</v>
      </c>
      <c r="J397" s="251" t="str">
        <f>IF(Dat_02!H396=0,"",Dat_02!H396)</f>
        <v/>
      </c>
    </row>
    <row r="398" spans="2:10">
      <c r="B398" s="237"/>
      <c r="C398" s="238">
        <f>Dat_02!B397</f>
        <v>44591</v>
      </c>
      <c r="D398" s="237"/>
      <c r="E398" s="240">
        <f>Dat_02!C397</f>
        <v>30.548921818062169</v>
      </c>
      <c r="F398" s="240">
        <f>Dat_02!D397</f>
        <v>117.91214619510544</v>
      </c>
      <c r="G398" s="240">
        <f>Dat_02!E397</f>
        <v>30.548921818062169</v>
      </c>
      <c r="I398" s="241">
        <f>Dat_02!G397</f>
        <v>0</v>
      </c>
      <c r="J398" s="251" t="str">
        <f>IF(Dat_02!H397=0,"",Dat_02!H397)</f>
        <v/>
      </c>
    </row>
    <row r="399" spans="2:10">
      <c r="B399" s="237"/>
      <c r="C399" s="238">
        <f>Dat_02!B398</f>
        <v>44592</v>
      </c>
      <c r="D399" s="237"/>
      <c r="E399" s="240">
        <f>Dat_02!C398</f>
        <v>27.763922656061236</v>
      </c>
      <c r="F399" s="240">
        <f>Dat_02!D398</f>
        <v>117.91214619510544</v>
      </c>
      <c r="G399" s="240">
        <f>Dat_02!E398</f>
        <v>27.763922656061236</v>
      </c>
      <c r="I399" s="241">
        <f>Dat_02!G398</f>
        <v>0</v>
      </c>
      <c r="J399" s="251" t="str">
        <f>IF(Dat_02!H398=0,"",Dat_02!H398)</f>
        <v/>
      </c>
    </row>
    <row r="400" spans="2:10">
      <c r="B400" s="244"/>
      <c r="C400" s="245"/>
      <c r="D400" s="246"/>
      <c r="E400" s="246"/>
      <c r="F400" s="246"/>
      <c r="G400" s="246"/>
      <c r="I400" s="241">
        <f>Dat_02!G399</f>
        <v>0</v>
      </c>
      <c r="J400" s="236"/>
    </row>
    <row r="401" spans="2:10">
      <c r="B401" s="243"/>
      <c r="C401" s="243"/>
      <c r="D401" s="243"/>
      <c r="E401" s="247"/>
      <c r="F401" s="247"/>
      <c r="G401" s="248"/>
      <c r="H401" s="243"/>
      <c r="I401" s="242"/>
      <c r="J401" s="236"/>
    </row>
    <row r="402" spans="2:10">
      <c r="B402" s="243"/>
      <c r="C402" s="243"/>
      <c r="D402" s="243"/>
      <c r="E402" s="247"/>
      <c r="F402" s="247"/>
      <c r="G402" s="248"/>
      <c r="H402" s="243"/>
      <c r="I402" s="242"/>
      <c r="J402" s="236"/>
    </row>
    <row r="403" spans="2:10">
      <c r="B403" s="154"/>
      <c r="C403" s="243"/>
      <c r="D403" s="243"/>
      <c r="E403" s="247"/>
      <c r="F403" s="247"/>
      <c r="G403" s="248"/>
      <c r="H403" s="154"/>
      <c r="I403" s="249"/>
      <c r="J403" s="250"/>
    </row>
    <row r="404" spans="2:10">
      <c r="B404" s="154"/>
      <c r="C404" s="243"/>
      <c r="D404" s="243"/>
      <c r="E404" s="247"/>
      <c r="F404" s="247"/>
      <c r="G404" s="248"/>
      <c r="H404" s="154"/>
      <c r="I404" s="249"/>
      <c r="J404" s="250"/>
    </row>
    <row r="405" spans="2:10">
      <c r="B405" s="154"/>
      <c r="C405" s="243"/>
      <c r="D405" s="243"/>
      <c r="E405" s="247"/>
      <c r="F405" s="247"/>
      <c r="G405" s="248"/>
      <c r="H405" s="154"/>
      <c r="I405" s="249"/>
      <c r="J405" s="250"/>
    </row>
    <row r="406" spans="2:10">
      <c r="B406" s="154"/>
      <c r="C406" s="243"/>
      <c r="D406" s="243"/>
      <c r="E406" s="247"/>
      <c r="F406" s="247"/>
      <c r="G406" s="248"/>
      <c r="H406" s="154"/>
      <c r="I406" s="249"/>
      <c r="J406" s="250"/>
    </row>
    <row r="407" spans="2:10">
      <c r="B407" s="154"/>
      <c r="C407" s="243"/>
      <c r="D407" s="243"/>
      <c r="E407" s="247"/>
      <c r="F407" s="247"/>
      <c r="G407" s="248"/>
      <c r="H407" s="154"/>
      <c r="I407" s="249"/>
      <c r="J407" s="250"/>
    </row>
    <row r="408" spans="2:10">
      <c r="B408" s="154"/>
      <c r="C408" s="243"/>
      <c r="D408" s="243"/>
      <c r="E408" s="247"/>
      <c r="F408" s="247"/>
      <c r="G408" s="248"/>
      <c r="H408" s="154"/>
      <c r="I408" s="249"/>
      <c r="J408" s="250"/>
    </row>
    <row r="409" spans="2:10">
      <c r="B409" s="154"/>
      <c r="C409" s="243"/>
      <c r="D409" s="243"/>
      <c r="E409" s="247"/>
      <c r="F409" s="247"/>
      <c r="G409" s="248"/>
      <c r="H409" s="154"/>
      <c r="I409" s="249"/>
      <c r="J409" s="250"/>
    </row>
    <row r="410" spans="2:10">
      <c r="B410" s="154"/>
      <c r="C410" s="243"/>
      <c r="D410" s="243"/>
      <c r="E410" s="247"/>
      <c r="F410" s="247"/>
      <c r="G410" s="248"/>
      <c r="H410" s="154"/>
      <c r="I410" s="249"/>
      <c r="J410" s="250"/>
    </row>
    <row r="411" spans="2:10">
      <c r="B411" s="154"/>
      <c r="C411" s="243"/>
      <c r="D411" s="243"/>
      <c r="E411" s="247"/>
      <c r="F411" s="247"/>
      <c r="G411" s="248"/>
      <c r="H411" s="154"/>
      <c r="I411" s="249"/>
      <c r="J411" s="250"/>
    </row>
    <row r="412" spans="2:10">
      <c r="B412" s="154"/>
      <c r="C412" s="243"/>
      <c r="D412" s="243"/>
      <c r="E412" s="247"/>
      <c r="F412" s="247"/>
      <c r="G412" s="248"/>
      <c r="H412" s="154"/>
      <c r="I412" s="249"/>
      <c r="J412" s="250"/>
    </row>
    <row r="413" spans="2:10">
      <c r="B413" s="154"/>
      <c r="C413" s="243"/>
      <c r="D413" s="243"/>
      <c r="E413" s="247"/>
      <c r="F413" s="247"/>
      <c r="G413" s="248"/>
      <c r="H413" s="154"/>
      <c r="I413" s="249"/>
      <c r="J413" s="250"/>
    </row>
    <row r="414" spans="2:10">
      <c r="B414" s="154"/>
      <c r="C414" s="243"/>
      <c r="D414" s="243"/>
      <c r="E414" s="247"/>
      <c r="F414" s="247"/>
      <c r="G414" s="248"/>
      <c r="H414" s="154"/>
      <c r="I414" s="249"/>
      <c r="J414" s="250"/>
    </row>
    <row r="415" spans="2:10">
      <c r="B415" s="154"/>
      <c r="C415" s="243"/>
      <c r="D415" s="243"/>
      <c r="E415" s="247"/>
      <c r="F415" s="247"/>
      <c r="G415" s="248"/>
      <c r="H415" s="154"/>
      <c r="I415" s="242"/>
      <c r="J415" s="236"/>
    </row>
    <row r="416" spans="2:10">
      <c r="B416" s="154"/>
      <c r="C416" s="243"/>
      <c r="D416" s="243"/>
      <c r="E416" s="247"/>
      <c r="F416" s="247"/>
      <c r="G416" s="248"/>
      <c r="H416" s="154"/>
      <c r="I416" s="249"/>
      <c r="J416" s="250"/>
    </row>
    <row r="417" spans="2:10">
      <c r="B417" s="154"/>
      <c r="C417" s="243"/>
      <c r="D417" s="243"/>
      <c r="E417" s="247"/>
      <c r="F417" s="247"/>
      <c r="G417" s="248"/>
      <c r="H417" s="154"/>
      <c r="I417" s="249"/>
      <c r="J417" s="250"/>
    </row>
    <row r="418" spans="2:10">
      <c r="B418" s="154"/>
      <c r="C418" s="243"/>
      <c r="D418" s="243"/>
      <c r="E418" s="247"/>
      <c r="F418" s="247"/>
      <c r="G418" s="248"/>
      <c r="H418" s="154"/>
      <c r="I418" s="249"/>
      <c r="J418" s="250"/>
    </row>
    <row r="419" spans="2:10">
      <c r="B419" s="154"/>
      <c r="C419" s="243"/>
      <c r="D419" s="243"/>
      <c r="E419" s="247"/>
      <c r="F419" s="247"/>
      <c r="G419" s="248"/>
      <c r="H419" s="154"/>
      <c r="I419" s="249"/>
      <c r="J419" s="250"/>
    </row>
    <row r="420" spans="2:10">
      <c r="B420" s="154"/>
      <c r="C420" s="243"/>
      <c r="D420" s="243"/>
      <c r="E420" s="247"/>
      <c r="F420" s="247"/>
      <c r="G420" s="248"/>
      <c r="H420" s="154"/>
      <c r="I420" s="249"/>
      <c r="J420" s="250"/>
    </row>
    <row r="421" spans="2:10">
      <c r="B421" s="154"/>
      <c r="C421" s="243"/>
      <c r="D421" s="243"/>
      <c r="E421" s="247"/>
      <c r="F421" s="247"/>
      <c r="G421" s="248"/>
      <c r="H421" s="154"/>
      <c r="I421" s="249"/>
      <c r="J421" s="250"/>
    </row>
    <row r="422" spans="2:10">
      <c r="B422" s="154"/>
      <c r="C422" s="243"/>
      <c r="D422" s="243"/>
      <c r="E422" s="247"/>
      <c r="F422" s="247"/>
      <c r="G422" s="248"/>
      <c r="H422" s="154"/>
      <c r="I422" s="249"/>
      <c r="J422" s="250"/>
    </row>
    <row r="423" spans="2:10">
      <c r="B423" s="154"/>
      <c r="C423" s="243"/>
      <c r="D423" s="243"/>
      <c r="E423" s="247"/>
      <c r="F423" s="247"/>
      <c r="G423" s="248"/>
      <c r="H423" s="154"/>
      <c r="I423" s="249"/>
      <c r="J423" s="250"/>
    </row>
    <row r="424" spans="2:10">
      <c r="B424" s="154"/>
      <c r="C424" s="243"/>
      <c r="D424" s="243"/>
      <c r="E424" s="247"/>
      <c r="F424" s="247"/>
      <c r="G424" s="248"/>
      <c r="H424" s="154"/>
      <c r="I424" s="249"/>
      <c r="J424" s="250"/>
    </row>
    <row r="425" spans="2:10">
      <c r="B425" s="154"/>
      <c r="C425" s="243"/>
      <c r="D425" s="243"/>
      <c r="E425" s="247"/>
      <c r="F425" s="247"/>
      <c r="G425" s="248"/>
      <c r="H425" s="154"/>
      <c r="I425" s="249"/>
      <c r="J425" s="250"/>
    </row>
    <row r="426" spans="2:10">
      <c r="B426" s="154"/>
      <c r="C426" s="243"/>
      <c r="D426" s="243"/>
      <c r="E426" s="247"/>
      <c r="F426" s="247"/>
      <c r="G426" s="248"/>
      <c r="H426" s="243"/>
      <c r="I426" s="242"/>
      <c r="J426" s="250"/>
    </row>
    <row r="427" spans="2:10">
      <c r="B427" s="154"/>
      <c r="C427" s="243"/>
      <c r="D427" s="243"/>
      <c r="E427" s="247"/>
      <c r="F427" s="247"/>
      <c r="G427" s="248"/>
      <c r="H427" s="243"/>
      <c r="I427" s="242"/>
      <c r="J427" s="250"/>
    </row>
    <row r="428" spans="2:10">
      <c r="B428" s="154"/>
      <c r="C428" s="243"/>
      <c r="D428" s="243"/>
      <c r="E428" s="247"/>
      <c r="F428" s="247"/>
      <c r="G428" s="248"/>
      <c r="H428" s="243"/>
      <c r="I428" s="242"/>
      <c r="J428" s="250"/>
    </row>
    <row r="429" spans="2:10">
      <c r="B429" s="154"/>
      <c r="C429" s="243"/>
      <c r="D429" s="243"/>
      <c r="E429" s="247"/>
      <c r="F429" s="247"/>
      <c r="G429" s="248"/>
      <c r="H429" s="243"/>
      <c r="I429" s="242"/>
      <c r="J429" s="250"/>
    </row>
    <row r="430" spans="2:10">
      <c r="B430" s="154"/>
      <c r="C430" s="243"/>
      <c r="D430" s="243"/>
      <c r="E430" s="247"/>
      <c r="F430" s="247"/>
      <c r="G430" s="248"/>
      <c r="H430" s="243"/>
      <c r="I430" s="242"/>
      <c r="J430" s="250"/>
    </row>
    <row r="431" spans="2:10">
      <c r="B431" s="154"/>
      <c r="C431" s="243"/>
      <c r="D431" s="243"/>
      <c r="E431" s="247"/>
      <c r="F431" s="247"/>
      <c r="G431" s="248"/>
      <c r="H431" s="243"/>
      <c r="I431" s="242"/>
      <c r="J431" s="250"/>
    </row>
    <row r="432" spans="2:10">
      <c r="C432" s="243"/>
      <c r="D432" s="243"/>
      <c r="E432" s="247"/>
      <c r="F432" s="247"/>
      <c r="G432" s="248"/>
    </row>
    <row r="433" spans="3:7">
      <c r="C433" s="243"/>
      <c r="D433" s="243"/>
      <c r="E433" s="247"/>
      <c r="F433" s="247"/>
      <c r="G433" s="248"/>
    </row>
    <row r="434" spans="3:7">
      <c r="C434" s="243"/>
      <c r="D434" s="243"/>
      <c r="E434" s="247"/>
      <c r="F434" s="247"/>
      <c r="G434" s="248"/>
    </row>
    <row r="435" spans="3:7">
      <c r="C435" s="243"/>
      <c r="D435" s="243"/>
      <c r="E435" s="247"/>
      <c r="F435" s="247"/>
      <c r="G435" s="248"/>
    </row>
    <row r="436" spans="3:7">
      <c r="C436" s="243"/>
      <c r="D436" s="243"/>
      <c r="E436" s="247"/>
      <c r="F436" s="247"/>
      <c r="G436" s="248"/>
    </row>
    <row r="437" spans="3:7">
      <c r="C437" s="243"/>
      <c r="D437" s="243"/>
      <c r="E437" s="247"/>
      <c r="F437" s="247"/>
      <c r="G437" s="248"/>
    </row>
    <row r="438" spans="3:7">
      <c r="C438" s="243"/>
      <c r="D438" s="243"/>
      <c r="E438" s="247"/>
      <c r="F438" s="247"/>
      <c r="G438" s="248"/>
    </row>
    <row r="439" spans="3:7">
      <c r="C439" s="243"/>
      <c r="D439" s="243"/>
      <c r="E439" s="247"/>
      <c r="F439" s="247"/>
      <c r="G439" s="248"/>
    </row>
    <row r="440" spans="3:7">
      <c r="C440" s="243"/>
      <c r="D440" s="243"/>
      <c r="E440" s="247"/>
      <c r="F440" s="247"/>
      <c r="G440" s="248"/>
    </row>
    <row r="441" spans="3:7">
      <c r="C441" s="243"/>
      <c r="D441" s="243"/>
      <c r="E441" s="247"/>
      <c r="F441" s="247"/>
      <c r="G441" s="248"/>
    </row>
    <row r="442" spans="3:7">
      <c r="C442" s="243"/>
      <c r="D442" s="243"/>
      <c r="E442" s="247"/>
      <c r="F442" s="247"/>
      <c r="G442" s="248"/>
    </row>
    <row r="443" spans="3:7">
      <c r="C443" s="243"/>
      <c r="D443" s="243"/>
      <c r="E443" s="247"/>
      <c r="F443" s="247"/>
      <c r="G443" s="248"/>
    </row>
    <row r="444" spans="3:7">
      <c r="C444" s="243"/>
      <c r="D444" s="243"/>
      <c r="E444" s="247"/>
      <c r="F444" s="247"/>
      <c r="G444" s="248"/>
    </row>
    <row r="445" spans="3:7">
      <c r="C445" s="243"/>
      <c r="D445" s="243"/>
      <c r="E445" s="247"/>
      <c r="F445" s="247"/>
      <c r="G445" s="248"/>
    </row>
    <row r="446" spans="3:7">
      <c r="C446" s="243"/>
      <c r="D446" s="243"/>
      <c r="E446" s="247"/>
      <c r="F446" s="247"/>
      <c r="G446" s="248"/>
    </row>
    <row r="447" spans="3:7">
      <c r="C447" s="243"/>
      <c r="D447" s="243"/>
      <c r="E447" s="247"/>
      <c r="F447" s="247"/>
      <c r="G447" s="248"/>
    </row>
    <row r="448" spans="3:7">
      <c r="C448" s="243"/>
      <c r="D448" s="243"/>
      <c r="E448" s="247"/>
      <c r="F448" s="247"/>
      <c r="G448" s="248"/>
    </row>
    <row r="449" spans="3:7">
      <c r="C449" s="243"/>
      <c r="D449" s="243"/>
      <c r="E449" s="247"/>
      <c r="F449" s="247"/>
      <c r="G449" s="248"/>
    </row>
  </sheetData>
  <phoneticPr fontId="69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37" zoomScale="90" zoomScaleNormal="90" workbookViewId="0">
      <selection activeCell="J52" sqref="J52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47" t="s">
        <v>36</v>
      </c>
      <c r="G3" s="347"/>
      <c r="H3" s="347"/>
      <c r="I3" s="243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291">
        <v>2018</v>
      </c>
      <c r="C5" s="161" t="s">
        <v>94</v>
      </c>
      <c r="D5" s="157">
        <v>5398.2220399999997</v>
      </c>
      <c r="E5" s="158">
        <v>18538.071</v>
      </c>
      <c r="F5" s="158">
        <v>13015.303654600004</v>
      </c>
      <c r="G5" s="158">
        <v>5440.7395106999993</v>
      </c>
      <c r="H5" s="158">
        <v>9768.7862404958978</v>
      </c>
      <c r="I5" s="248">
        <f t="shared" ref="I5:I52" si="0">D5/E5*100</f>
        <v>29.11965349577094</v>
      </c>
      <c r="J5" s="119"/>
      <c r="P5" s="289"/>
      <c r="Q5" s="289"/>
      <c r="R5" s="289"/>
      <c r="S5" s="289"/>
      <c r="T5" s="289"/>
      <c r="U5" s="289"/>
      <c r="V5" s="289"/>
    </row>
    <row r="6" spans="2:22">
      <c r="B6" s="293" t="e">
        <f>#REF!</f>
        <v>#REF!</v>
      </c>
      <c r="C6" s="161" t="s">
        <v>86</v>
      </c>
      <c r="D6" s="157">
        <v>5616.4103269999996</v>
      </c>
      <c r="E6" s="158">
        <v>18538.071</v>
      </c>
      <c r="F6" s="158">
        <v>13247.693941849997</v>
      </c>
      <c r="G6" s="158">
        <v>5524.0953545999973</v>
      </c>
      <c r="H6" s="158">
        <v>10246.239431537933</v>
      </c>
      <c r="I6" s="248">
        <f t="shared" si="0"/>
        <v>30.296627556340678</v>
      </c>
      <c r="J6" s="119"/>
      <c r="P6" s="289"/>
      <c r="Q6" s="289"/>
      <c r="R6" s="289"/>
      <c r="S6" s="289"/>
      <c r="T6" s="289"/>
    </row>
    <row r="7" spans="2:22">
      <c r="B7" s="293" t="e">
        <f>#REF!</f>
        <v>#REF!</v>
      </c>
      <c r="C7" s="161" t="s">
        <v>87</v>
      </c>
      <c r="D7" s="157">
        <v>9699.4711430000007</v>
      </c>
      <c r="E7" s="158">
        <v>18538.071</v>
      </c>
      <c r="F7" s="158">
        <v>13745.993583199999</v>
      </c>
      <c r="G7" s="158">
        <v>5695.3628017499996</v>
      </c>
      <c r="H7" s="158">
        <v>10704.10729132053</v>
      </c>
      <c r="I7" s="248">
        <f t="shared" si="0"/>
        <v>52.321900930253207</v>
      </c>
      <c r="J7" s="119"/>
      <c r="P7" s="289"/>
      <c r="Q7" s="289"/>
      <c r="R7" s="289"/>
      <c r="S7" s="289"/>
      <c r="T7" s="289"/>
    </row>
    <row r="8" spans="2:22">
      <c r="B8" s="293" t="e">
        <f>#REF!</f>
        <v>#REF!</v>
      </c>
      <c r="C8" s="161" t="s">
        <v>88</v>
      </c>
      <c r="D8" s="157">
        <v>11897.527653000001</v>
      </c>
      <c r="E8" s="158">
        <v>18538.071</v>
      </c>
      <c r="F8" s="158">
        <v>13908.518133250001</v>
      </c>
      <c r="G8" s="158">
        <v>7002.3252599999996</v>
      </c>
      <c r="H8" s="158">
        <v>11260.627811983439</v>
      </c>
      <c r="I8" s="248">
        <f t="shared" si="0"/>
        <v>64.178887075143905</v>
      </c>
      <c r="J8" s="119"/>
      <c r="P8" s="289"/>
      <c r="Q8" s="289"/>
      <c r="R8" s="289"/>
      <c r="S8" s="289"/>
      <c r="T8" s="289"/>
    </row>
    <row r="9" spans="2:22">
      <c r="B9" s="293" t="e">
        <f>#REF!</f>
        <v>#REF!</v>
      </c>
      <c r="C9" s="161" t="s">
        <v>87</v>
      </c>
      <c r="D9" s="157">
        <v>12095.723247</v>
      </c>
      <c r="E9" s="158">
        <v>18538.071</v>
      </c>
      <c r="F9" s="158">
        <v>14103.721296199999</v>
      </c>
      <c r="G9" s="158">
        <v>6966.112517999999</v>
      </c>
      <c r="H9" s="158">
        <v>11479.752390524864</v>
      </c>
      <c r="I9" s="248">
        <f t="shared" si="0"/>
        <v>65.248014461698844</v>
      </c>
      <c r="J9" s="119"/>
      <c r="P9" s="289"/>
      <c r="Q9" s="289"/>
      <c r="R9" s="289"/>
      <c r="S9" s="289"/>
      <c r="T9" s="289"/>
    </row>
    <row r="10" spans="2:22">
      <c r="B10" s="293" t="e">
        <f>#REF!</f>
        <v>#REF!</v>
      </c>
      <c r="C10" s="161" t="s">
        <v>89</v>
      </c>
      <c r="D10" s="157">
        <v>11876.304858</v>
      </c>
      <c r="E10" s="158">
        <v>18538.071</v>
      </c>
      <c r="F10" s="158">
        <v>13746.699392400003</v>
      </c>
      <c r="G10" s="158">
        <v>6477.8415149489419</v>
      </c>
      <c r="H10" s="158">
        <v>10910.385488499473</v>
      </c>
      <c r="I10" s="248">
        <f t="shared" si="0"/>
        <v>64.064404856362884</v>
      </c>
      <c r="J10" s="119"/>
      <c r="P10" s="289"/>
      <c r="Q10" s="289"/>
      <c r="R10" s="289"/>
      <c r="S10" s="289"/>
      <c r="T10" s="289"/>
    </row>
    <row r="11" spans="2:22">
      <c r="B11" s="293" t="e">
        <f>#REF!</f>
        <v>#REF!</v>
      </c>
      <c r="C11" s="161" t="s">
        <v>89</v>
      </c>
      <c r="D11" s="157">
        <v>10246.502908</v>
      </c>
      <c r="E11" s="158">
        <v>18538.071</v>
      </c>
      <c r="F11" s="158">
        <v>12258.390641599992</v>
      </c>
      <c r="G11" s="158">
        <v>5616.0530228510679</v>
      </c>
      <c r="H11" s="158">
        <v>9805.5363168836884</v>
      </c>
      <c r="I11" s="248">
        <f t="shared" si="0"/>
        <v>55.272756847246953</v>
      </c>
      <c r="J11" s="119"/>
      <c r="P11" s="289"/>
      <c r="Q11" s="289"/>
      <c r="R11" s="289"/>
      <c r="S11" s="289"/>
      <c r="T11" s="289"/>
    </row>
    <row r="12" spans="2:22">
      <c r="B12" s="293" t="e">
        <f>#REF!</f>
        <v>#REF!</v>
      </c>
      <c r="C12" s="161" t="s">
        <v>88</v>
      </c>
      <c r="D12" s="157">
        <v>9315.071518714738</v>
      </c>
      <c r="E12" s="158">
        <v>18538.071</v>
      </c>
      <c r="F12" s="158">
        <v>10935.424107500001</v>
      </c>
      <c r="G12" s="158">
        <v>4909.997417874094</v>
      </c>
      <c r="H12" s="158">
        <v>8722.05248320803</v>
      </c>
      <c r="I12" s="248">
        <f t="shared" si="0"/>
        <v>50.24833230337039</v>
      </c>
      <c r="J12" s="119"/>
      <c r="P12" s="289"/>
      <c r="Q12" s="289"/>
      <c r="R12" s="289"/>
      <c r="S12" s="289"/>
      <c r="T12" s="289"/>
    </row>
    <row r="13" spans="2:22">
      <c r="B13" s="293" t="e">
        <f>#REF!</f>
        <v>#REF!</v>
      </c>
      <c r="C13" s="161" t="s">
        <v>90</v>
      </c>
      <c r="D13" s="157">
        <v>8192.9385726801847</v>
      </c>
      <c r="E13" s="158">
        <v>18538.071</v>
      </c>
      <c r="F13" s="158">
        <v>10117.515214899999</v>
      </c>
      <c r="G13" s="158">
        <v>4649.6124081773833</v>
      </c>
      <c r="H13" s="158">
        <v>7980.0246175386947</v>
      </c>
      <c r="I13" s="248">
        <f t="shared" si="0"/>
        <v>44.195205491877687</v>
      </c>
      <c r="J13" s="119"/>
      <c r="P13" s="289"/>
      <c r="Q13" s="289"/>
      <c r="R13" s="289"/>
      <c r="S13" s="289"/>
      <c r="T13" s="289"/>
    </row>
    <row r="14" spans="2:22">
      <c r="B14" s="293" t="e">
        <f>#REF!</f>
        <v>#REF!</v>
      </c>
      <c r="C14" s="162" t="s">
        <v>91</v>
      </c>
      <c r="D14" s="157">
        <v>7628.6385403221575</v>
      </c>
      <c r="E14" s="158">
        <v>18538.071</v>
      </c>
      <c r="F14" s="158">
        <v>9737.2663309</v>
      </c>
      <c r="G14" s="158">
        <v>4395.4606318624037</v>
      </c>
      <c r="H14" s="158">
        <v>7851.3065504312008</v>
      </c>
      <c r="I14" s="248">
        <f t="shared" si="0"/>
        <v>41.151199282396519</v>
      </c>
      <c r="J14" s="119"/>
      <c r="P14" s="289"/>
      <c r="Q14" s="289"/>
      <c r="R14" s="289"/>
      <c r="S14" s="289"/>
      <c r="T14" s="289"/>
    </row>
    <row r="15" spans="2:22">
      <c r="B15" s="293" t="e">
        <f>#REF!</f>
        <v>#REF!</v>
      </c>
      <c r="C15" s="162" t="s">
        <v>92</v>
      </c>
      <c r="D15" s="157">
        <v>8008.9796223264248</v>
      </c>
      <c r="E15" s="158">
        <v>18538.071</v>
      </c>
      <c r="F15" s="158">
        <v>11146.955049999997</v>
      </c>
      <c r="G15" s="158">
        <v>4794.2765906499999</v>
      </c>
      <c r="H15" s="158">
        <v>8185.911173848619</v>
      </c>
      <c r="I15" s="248">
        <f t="shared" si="0"/>
        <v>43.202874896349378</v>
      </c>
      <c r="J15" s="119"/>
      <c r="P15" s="289"/>
      <c r="Q15" s="289"/>
      <c r="R15" s="289"/>
      <c r="S15" s="289"/>
      <c r="T15" s="289"/>
    </row>
    <row r="16" spans="2:22">
      <c r="B16" s="293" t="e">
        <f>#REF!</f>
        <v>#REF!</v>
      </c>
      <c r="C16" s="162" t="s">
        <v>93</v>
      </c>
      <c r="D16" s="157">
        <v>8172.2198288975096</v>
      </c>
      <c r="E16" s="158">
        <v>18538.071</v>
      </c>
      <c r="F16" s="158">
        <v>13456.058434449991</v>
      </c>
      <c r="G16" s="158">
        <v>5331.3250531999984</v>
      </c>
      <c r="H16" s="158">
        <v>8645.3592049681756</v>
      </c>
      <c r="I16" s="248">
        <f t="shared" si="0"/>
        <v>44.083442278851507</v>
      </c>
      <c r="J16" s="119"/>
      <c r="P16" s="289"/>
      <c r="Q16" s="289"/>
      <c r="R16" s="289"/>
      <c r="S16" s="289"/>
      <c r="T16" s="289"/>
    </row>
    <row r="17" spans="2:20">
      <c r="B17" s="291">
        <v>2019</v>
      </c>
      <c r="C17" s="162" t="s">
        <v>94</v>
      </c>
      <c r="D17" s="157">
        <v>8071.161100088786</v>
      </c>
      <c r="E17" s="158">
        <v>18538.071</v>
      </c>
      <c r="F17" s="158">
        <v>13020.290870750003</v>
      </c>
      <c r="G17" s="158">
        <v>5449.8113076999989</v>
      </c>
      <c r="H17" s="158">
        <v>9388.9296029958969</v>
      </c>
      <c r="I17" s="248">
        <f t="shared" si="0"/>
        <v>43.538300722274641</v>
      </c>
      <c r="J17" s="119"/>
      <c r="P17" s="289"/>
      <c r="Q17" s="289"/>
      <c r="R17" s="289"/>
      <c r="S17" s="289"/>
      <c r="T17" s="289"/>
    </row>
    <row r="18" spans="2:20">
      <c r="B18" s="293" t="e">
        <f>#REF!</f>
        <v>#REF!</v>
      </c>
      <c r="C18" s="162" t="s">
        <v>86</v>
      </c>
      <c r="D18" s="157">
        <v>8866.4553178437</v>
      </c>
      <c r="E18" s="158">
        <v>18538.071</v>
      </c>
      <c r="F18" s="158">
        <v>13213.723010049996</v>
      </c>
      <c r="G18" s="158">
        <v>5542.2838559499978</v>
      </c>
      <c r="H18" s="158">
        <v>9889.1240943879329</v>
      </c>
      <c r="I18" s="248">
        <f t="shared" si="0"/>
        <v>47.828359907801087</v>
      </c>
      <c r="J18" s="119"/>
      <c r="P18" s="289"/>
      <c r="Q18" s="289"/>
      <c r="R18" s="289"/>
      <c r="S18" s="289"/>
      <c r="T18" s="289"/>
    </row>
    <row r="19" spans="2:20">
      <c r="B19" s="293" t="e">
        <f>#REF!</f>
        <v>#REF!</v>
      </c>
      <c r="C19" s="162" t="s">
        <v>87</v>
      </c>
      <c r="D19" s="157">
        <v>8992.1477604144093</v>
      </c>
      <c r="E19" s="158">
        <v>18538.071</v>
      </c>
      <c r="F19" s="158">
        <v>13690.625142599998</v>
      </c>
      <c r="G19" s="158">
        <v>5759.1679040999989</v>
      </c>
      <c r="H19" s="158">
        <v>10570.14772097053</v>
      </c>
      <c r="I19" s="248">
        <f t="shared" si="0"/>
        <v>48.506383217619621</v>
      </c>
      <c r="J19" s="119"/>
      <c r="P19" s="289"/>
      <c r="Q19" s="289"/>
      <c r="R19" s="289"/>
      <c r="S19" s="289"/>
      <c r="T19" s="289"/>
    </row>
    <row r="20" spans="2:20">
      <c r="B20" s="293" t="e">
        <f>#REF!</f>
        <v>#REF!</v>
      </c>
      <c r="C20" s="162" t="s">
        <v>88</v>
      </c>
      <c r="D20" s="157">
        <v>9541.0680132165635</v>
      </c>
      <c r="E20" s="158">
        <v>18538.071</v>
      </c>
      <c r="F20" s="158">
        <v>13853.30312085</v>
      </c>
      <c r="G20" s="158">
        <v>7055.2102049999985</v>
      </c>
      <c r="H20" s="158">
        <v>11183.148309133439</v>
      </c>
      <c r="I20" s="248">
        <f t="shared" si="0"/>
        <v>51.467426212881392</v>
      </c>
      <c r="J20" s="119"/>
      <c r="P20" s="289"/>
      <c r="Q20" s="289"/>
      <c r="R20" s="289"/>
      <c r="S20" s="289"/>
      <c r="T20" s="289"/>
    </row>
    <row r="21" spans="2:20">
      <c r="B21" s="293" t="e">
        <f>#REF!</f>
        <v>#REF!</v>
      </c>
      <c r="C21" s="162" t="s">
        <v>87</v>
      </c>
      <c r="D21" s="157">
        <v>9882.00640542582</v>
      </c>
      <c r="E21" s="158">
        <v>18538.071</v>
      </c>
      <c r="F21" s="158">
        <v>14075.916087449999</v>
      </c>
      <c r="G21" s="158">
        <v>7043.3783189999976</v>
      </c>
      <c r="H21" s="158">
        <v>11397.034267874862</v>
      </c>
      <c r="I21" s="248">
        <f t="shared" si="0"/>
        <v>53.306551719571146</v>
      </c>
      <c r="J21" s="119"/>
      <c r="P21" s="289"/>
      <c r="Q21" s="289"/>
      <c r="R21" s="289"/>
      <c r="S21" s="289"/>
      <c r="T21" s="289"/>
    </row>
    <row r="22" spans="2:20">
      <c r="B22" s="293" t="e">
        <f>#REF!</f>
        <v>#REF!</v>
      </c>
      <c r="C22" s="162" t="s">
        <v>89</v>
      </c>
      <c r="D22" s="157">
        <v>9327.57464738616</v>
      </c>
      <c r="E22" s="158">
        <v>18538.071</v>
      </c>
      <c r="F22" s="158">
        <v>13746.724281450002</v>
      </c>
      <c r="G22" s="158">
        <v>6538.4545967989416</v>
      </c>
      <c r="H22" s="158">
        <v>10842.690741399472</v>
      </c>
      <c r="I22" s="248">
        <f t="shared" si="0"/>
        <v>50.315777986750398</v>
      </c>
      <c r="J22" s="119"/>
      <c r="P22" s="289"/>
      <c r="Q22" s="289"/>
      <c r="R22" s="289"/>
      <c r="S22" s="289"/>
      <c r="T22" s="289"/>
    </row>
    <row r="23" spans="2:20">
      <c r="B23" s="293" t="e">
        <f>#REF!</f>
        <v>#REF!</v>
      </c>
      <c r="C23" s="162" t="s">
        <v>89</v>
      </c>
      <c r="D23" s="157">
        <v>8160.8349135743301</v>
      </c>
      <c r="E23" s="158">
        <v>18538.071</v>
      </c>
      <c r="F23" s="158">
        <v>12260.387398049996</v>
      </c>
      <c r="G23" s="158">
        <v>5677.4335971347564</v>
      </c>
      <c r="H23" s="158">
        <v>9738.8161322836859</v>
      </c>
      <c r="I23" s="248">
        <f t="shared" si="0"/>
        <v>44.022028578778936</v>
      </c>
      <c r="J23" s="119"/>
      <c r="P23" s="289"/>
      <c r="Q23" s="289"/>
      <c r="R23" s="289"/>
      <c r="S23" s="289"/>
      <c r="T23" s="289"/>
    </row>
    <row r="24" spans="2:20">
      <c r="B24" s="293" t="e">
        <f>#REF!</f>
        <v>#REF!</v>
      </c>
      <c r="C24" s="162" t="s">
        <v>88</v>
      </c>
      <c r="D24" s="157">
        <v>7263.6708853984701</v>
      </c>
      <c r="E24" s="158">
        <v>18538.071</v>
      </c>
      <c r="F24" s="158">
        <v>10934.703078450004</v>
      </c>
      <c r="G24" s="158">
        <v>4963.102723832124</v>
      </c>
      <c r="H24" s="158">
        <v>8674.1946441437685</v>
      </c>
      <c r="I24" s="248">
        <f t="shared" si="0"/>
        <v>39.182452615476933</v>
      </c>
      <c r="J24" s="119"/>
      <c r="P24" s="289"/>
      <c r="Q24" s="289"/>
      <c r="R24" s="289"/>
      <c r="S24" s="289"/>
      <c r="T24" s="289"/>
    </row>
    <row r="25" spans="2:20">
      <c r="B25" s="293" t="e">
        <f>#REF!</f>
        <v>#REF!</v>
      </c>
      <c r="C25" s="162" t="s">
        <v>90</v>
      </c>
      <c r="D25" s="157">
        <v>6466.33274064748</v>
      </c>
      <c r="E25" s="158">
        <v>18538.071</v>
      </c>
      <c r="F25" s="158">
        <v>10145.245921199999</v>
      </c>
      <c r="G25" s="158">
        <v>4679.6100847773832</v>
      </c>
      <c r="H25" s="158">
        <v>7914.693031672703</v>
      </c>
      <c r="I25" s="248">
        <f t="shared" si="0"/>
        <v>34.881367865337658</v>
      </c>
      <c r="J25" s="119"/>
      <c r="P25" s="289"/>
      <c r="Q25" s="289"/>
      <c r="R25" s="289"/>
      <c r="S25" s="289"/>
      <c r="T25" s="289"/>
    </row>
    <row r="26" spans="2:20">
      <c r="B26" s="293" t="e">
        <f>#REF!</f>
        <v>#REF!</v>
      </c>
      <c r="C26" s="162" t="s">
        <v>91</v>
      </c>
      <c r="D26" s="157">
        <v>6358.0428308198098</v>
      </c>
      <c r="E26" s="158">
        <v>18538.071</v>
      </c>
      <c r="F26" s="158">
        <v>9771.2920444499996</v>
      </c>
      <c r="G26" s="158">
        <v>4419.3227575624023</v>
      </c>
      <c r="H26" s="158">
        <v>7790.0287429473083</v>
      </c>
      <c r="I26" s="248">
        <f t="shared" si="0"/>
        <v>34.29721911637845</v>
      </c>
      <c r="J26" s="119"/>
      <c r="P26" s="289"/>
      <c r="Q26" s="289"/>
      <c r="R26" s="289"/>
      <c r="S26" s="289"/>
      <c r="T26" s="289"/>
    </row>
    <row r="27" spans="2:20">
      <c r="B27" s="293" t="e">
        <f>#REF!</f>
        <v>#REF!</v>
      </c>
      <c r="C27" s="162" t="s">
        <v>92</v>
      </c>
      <c r="D27" s="157">
        <v>7808.1870513850999</v>
      </c>
      <c r="E27" s="158">
        <v>18538.071</v>
      </c>
      <c r="F27" s="158">
        <v>11172.260412899997</v>
      </c>
      <c r="G27" s="158">
        <v>4800.2412517000002</v>
      </c>
      <c r="H27" s="158">
        <v>8146.8772984649422</v>
      </c>
      <c r="I27" s="248">
        <f t="shared" si="0"/>
        <v>42.119738625367766</v>
      </c>
      <c r="J27" s="119"/>
      <c r="P27" s="289"/>
      <c r="Q27" s="289"/>
      <c r="R27" s="289"/>
      <c r="S27" s="289"/>
      <c r="T27" s="289"/>
    </row>
    <row r="28" spans="2:20">
      <c r="B28" s="293" t="e">
        <f>#REF!</f>
        <v>#REF!</v>
      </c>
      <c r="C28" s="162" t="s">
        <v>93</v>
      </c>
      <c r="D28" s="157">
        <v>9451.9329261671392</v>
      </c>
      <c r="E28" s="158">
        <v>18538.071</v>
      </c>
      <c r="F28" s="158">
        <v>13395.083468899993</v>
      </c>
      <c r="G28" s="158">
        <v>5326.3089624999975</v>
      </c>
      <c r="H28" s="158">
        <v>8613.6806204130498</v>
      </c>
      <c r="I28" s="248">
        <f t="shared" si="0"/>
        <v>50.986604410821059</v>
      </c>
      <c r="J28" s="119"/>
      <c r="P28" s="289"/>
      <c r="Q28" s="289"/>
      <c r="R28" s="289"/>
      <c r="S28" s="289"/>
      <c r="T28" s="289"/>
    </row>
    <row r="29" spans="2:20">
      <c r="B29" s="291">
        <v>2020</v>
      </c>
      <c r="C29" s="162" t="s">
        <v>94</v>
      </c>
      <c r="D29" s="157">
        <v>10203.8438416341</v>
      </c>
      <c r="E29" s="158">
        <v>18538.071</v>
      </c>
      <c r="F29" s="158">
        <v>13025.278086900002</v>
      </c>
      <c r="G29" s="158">
        <v>5458.8831046999985</v>
      </c>
      <c r="H29" s="158">
        <v>9322.7080025003343</v>
      </c>
      <c r="I29" s="248">
        <f t="shared" si="0"/>
        <v>55.042640853161586</v>
      </c>
      <c r="J29" s="119"/>
      <c r="P29" s="289"/>
      <c r="Q29" s="289"/>
      <c r="R29" s="289"/>
      <c r="S29" s="289"/>
      <c r="T29" s="289"/>
    </row>
    <row r="30" spans="2:20">
      <c r="B30" s="293" t="e">
        <f>#REF!</f>
        <v>#REF!</v>
      </c>
      <c r="C30" s="162" t="s">
        <v>86</v>
      </c>
      <c r="D30" s="157">
        <v>10293.721620606701</v>
      </c>
      <c r="E30" s="158">
        <v>18538.071</v>
      </c>
      <c r="F30" s="158">
        <v>13282.205454749997</v>
      </c>
      <c r="G30" s="158">
        <v>5560.4723572999983</v>
      </c>
      <c r="H30" s="158">
        <v>9851.4627672801198</v>
      </c>
      <c r="I30" s="248">
        <f t="shared" si="0"/>
        <v>55.52746896161257</v>
      </c>
      <c r="J30" s="119"/>
      <c r="P30" s="289"/>
      <c r="Q30" s="289"/>
      <c r="R30" s="289"/>
      <c r="S30" s="289"/>
      <c r="T30" s="289"/>
    </row>
    <row r="31" spans="2:20">
      <c r="B31" s="293" t="e">
        <f>#REF!</f>
        <v>#REF!</v>
      </c>
      <c r="C31" s="162" t="s">
        <v>87</v>
      </c>
      <c r="D31" s="157">
        <v>10922.4629058602</v>
      </c>
      <c r="E31" s="158">
        <v>18538.071</v>
      </c>
      <c r="F31" s="158">
        <v>13779.121679499998</v>
      </c>
      <c r="G31" s="158">
        <v>5822.9730064499981</v>
      </c>
      <c r="H31" s="158">
        <v>10516.451776491249</v>
      </c>
      <c r="I31" s="248">
        <f t="shared" si="0"/>
        <v>58.919090912210883</v>
      </c>
      <c r="J31" s="119"/>
      <c r="P31" s="289"/>
      <c r="Q31" s="289"/>
      <c r="R31" s="289"/>
      <c r="S31" s="289"/>
      <c r="T31" s="289"/>
    </row>
    <row r="32" spans="2:20">
      <c r="B32" s="293" t="e">
        <f>#REF!</f>
        <v>#REF!</v>
      </c>
      <c r="C32" s="162" t="s">
        <v>88</v>
      </c>
      <c r="D32" s="157">
        <v>12482.965359777099</v>
      </c>
      <c r="E32" s="158">
        <v>18538.071</v>
      </c>
      <c r="F32" s="158">
        <v>13901.975652950001</v>
      </c>
      <c r="G32" s="158">
        <v>7108.0951499999992</v>
      </c>
      <c r="H32" s="158">
        <v>11159.497806794267</v>
      </c>
      <c r="I32" s="248">
        <f t="shared" si="0"/>
        <v>67.336916337072509</v>
      </c>
      <c r="J32" s="119"/>
      <c r="P32" s="289"/>
      <c r="Q32" s="289"/>
      <c r="R32" s="289"/>
      <c r="S32" s="289"/>
      <c r="T32" s="289"/>
    </row>
    <row r="33" spans="2:20">
      <c r="B33" s="293" t="e">
        <f>#REF!</f>
        <v>#REF!</v>
      </c>
      <c r="C33" s="162" t="s">
        <v>87</v>
      </c>
      <c r="D33" s="157">
        <v>12968.344471210001</v>
      </c>
      <c r="E33" s="158">
        <v>18538.071</v>
      </c>
      <c r="F33" s="158">
        <v>14115.337503700002</v>
      </c>
      <c r="G33" s="158">
        <v>7120.6441199999972</v>
      </c>
      <c r="H33" s="158">
        <v>11373.399940146151</v>
      </c>
      <c r="I33" s="248">
        <f t="shared" si="0"/>
        <v>69.955199066882429</v>
      </c>
      <c r="J33" s="119"/>
      <c r="P33" s="289"/>
      <c r="Q33" s="289"/>
      <c r="R33" s="289"/>
      <c r="S33" s="289"/>
      <c r="T33" s="289"/>
    </row>
    <row r="34" spans="2:20">
      <c r="B34" s="293" t="e">
        <f>#REF!</f>
        <v>#REF!</v>
      </c>
      <c r="C34" s="162" t="s">
        <v>89</v>
      </c>
      <c r="D34" s="157">
        <v>12284.2351167291</v>
      </c>
      <c r="E34" s="158">
        <v>18538.071</v>
      </c>
      <c r="F34" s="158">
        <v>13804.115890500001</v>
      </c>
      <c r="G34" s="158">
        <v>6599.0676786489421</v>
      </c>
      <c r="H34" s="158">
        <v>10842.247789768779</v>
      </c>
      <c r="I34" s="248">
        <f t="shared" si="0"/>
        <v>66.26490489074672</v>
      </c>
      <c r="J34" s="119"/>
      <c r="P34" s="289"/>
      <c r="Q34" s="289"/>
      <c r="R34" s="289"/>
      <c r="S34" s="289"/>
      <c r="T34" s="289"/>
    </row>
    <row r="35" spans="2:20">
      <c r="B35" s="293" t="e">
        <f>#REF!</f>
        <v>#REF!</v>
      </c>
      <c r="C35" s="162" t="s">
        <v>89</v>
      </c>
      <c r="D35" s="157">
        <v>11078.2673362971</v>
      </c>
      <c r="E35" s="158">
        <v>18538.071</v>
      </c>
      <c r="F35" s="158">
        <v>12335.885264499995</v>
      </c>
      <c r="G35" s="158">
        <v>5738.8141714184449</v>
      </c>
      <c r="H35" s="158">
        <v>9747.2628189624047</v>
      </c>
      <c r="I35" s="248">
        <f t="shared" si="0"/>
        <v>59.75954745397781</v>
      </c>
      <c r="J35" s="119"/>
      <c r="P35" s="289"/>
      <c r="Q35" s="289"/>
      <c r="R35" s="289"/>
      <c r="S35" s="289"/>
      <c r="T35" s="289"/>
    </row>
    <row r="36" spans="2:20">
      <c r="B36" s="293" t="e">
        <f>#REF!</f>
        <v>#REF!</v>
      </c>
      <c r="C36" s="162" t="s">
        <v>88</v>
      </c>
      <c r="D36" s="157">
        <v>9493.5710276489899</v>
      </c>
      <c r="E36" s="158">
        <v>18538.071</v>
      </c>
      <c r="F36" s="158">
        <v>11008.379514400005</v>
      </c>
      <c r="G36" s="158">
        <v>5016.2080297901548</v>
      </c>
      <c r="H36" s="158">
        <v>8682.152701913692</v>
      </c>
      <c r="I36" s="248">
        <f t="shared" si="0"/>
        <v>51.211213009427951</v>
      </c>
      <c r="J36" s="119"/>
      <c r="P36" s="289"/>
      <c r="Q36" s="289"/>
      <c r="R36" s="289"/>
      <c r="S36" s="289"/>
      <c r="T36" s="289"/>
    </row>
    <row r="37" spans="2:20">
      <c r="B37" s="293" t="e">
        <f>#REF!</f>
        <v>#REF!</v>
      </c>
      <c r="C37" s="162" t="s">
        <v>90</v>
      </c>
      <c r="D37" s="157">
        <v>8414.2036093792703</v>
      </c>
      <c r="E37" s="158">
        <v>18538.071</v>
      </c>
      <c r="F37" s="158">
        <v>10216.987657999998</v>
      </c>
      <c r="G37" s="158">
        <v>4709.6077613773832</v>
      </c>
      <c r="H37" s="158">
        <v>7899.635656205076</v>
      </c>
      <c r="I37" s="248">
        <f t="shared" si="0"/>
        <v>45.388776477225008</v>
      </c>
      <c r="J37" s="119"/>
      <c r="P37" s="289"/>
      <c r="Q37" s="289"/>
      <c r="R37" s="289"/>
      <c r="S37" s="289"/>
      <c r="T37" s="289"/>
    </row>
    <row r="38" spans="2:20">
      <c r="B38" s="293" t="e">
        <f>#REF!</f>
        <v>#REF!</v>
      </c>
      <c r="C38" s="162" t="s">
        <v>91</v>
      </c>
      <c r="D38" s="157">
        <v>8468.7189392685304</v>
      </c>
      <c r="E38" s="158">
        <v>18538.071</v>
      </c>
      <c r="F38" s="158">
        <v>9860.0850484999992</v>
      </c>
      <c r="G38" s="158">
        <v>4443.1848832624037</v>
      </c>
      <c r="H38" s="158">
        <v>7706.6327509883004</v>
      </c>
      <c r="I38" s="248">
        <f t="shared" si="0"/>
        <v>45.6828487671049</v>
      </c>
      <c r="J38" s="119"/>
      <c r="P38" s="289"/>
      <c r="Q38" s="289"/>
      <c r="R38" s="289"/>
      <c r="S38" s="289"/>
      <c r="T38" s="289"/>
    </row>
    <row r="39" spans="2:20">
      <c r="B39" s="293" t="e">
        <f>#REF!</f>
        <v>#REF!</v>
      </c>
      <c r="C39" s="162" t="s">
        <v>92</v>
      </c>
      <c r="D39" s="157">
        <v>8407.9337983359892</v>
      </c>
      <c r="E39" s="158">
        <v>18538.071</v>
      </c>
      <c r="F39" s="158">
        <v>11197.565775799998</v>
      </c>
      <c r="G39" s="158">
        <v>4806.2059127499997</v>
      </c>
      <c r="H39" s="158">
        <v>8149.1649360341953</v>
      </c>
      <c r="I39" s="248">
        <f t="shared" si="0"/>
        <v>45.354955207238064</v>
      </c>
      <c r="J39" s="119"/>
      <c r="P39" s="289"/>
      <c r="Q39" s="289"/>
      <c r="R39" s="289"/>
      <c r="S39" s="289"/>
      <c r="T39" s="289"/>
    </row>
    <row r="40" spans="2:20">
      <c r="B40" s="293" t="e">
        <f>#REF!</f>
        <v>#REF!</v>
      </c>
      <c r="C40" s="162" t="s">
        <v>93</v>
      </c>
      <c r="D40" s="157">
        <v>9418.9304168690905</v>
      </c>
      <c r="E40" s="158">
        <v>18538.071</v>
      </c>
      <c r="F40" s="158">
        <v>13334.108503349993</v>
      </c>
      <c r="G40" s="158">
        <v>5321.2928717999985</v>
      </c>
      <c r="H40" s="158">
        <v>8688.9230952214075</v>
      </c>
      <c r="I40" s="248">
        <f t="shared" si="0"/>
        <v>50.808578826076833</v>
      </c>
      <c r="J40" s="119"/>
      <c r="P40" s="289"/>
      <c r="Q40" s="289"/>
      <c r="R40" s="289"/>
      <c r="S40" s="289"/>
      <c r="T40" s="289"/>
    </row>
    <row r="41" spans="2:20">
      <c r="B41" s="291">
        <v>2021</v>
      </c>
      <c r="C41" s="162" t="s">
        <v>94</v>
      </c>
      <c r="D41" s="157">
        <v>9758.5157368181899</v>
      </c>
      <c r="E41" s="158">
        <v>18538.071</v>
      </c>
      <c r="F41" s="158">
        <v>13030.265303050002</v>
      </c>
      <c r="G41" s="158">
        <v>5467.9549016999981</v>
      </c>
      <c r="H41" s="158">
        <v>9460.7335985820428</v>
      </c>
      <c r="I41" s="248">
        <f t="shared" si="0"/>
        <v>52.640405448971414</v>
      </c>
      <c r="J41" s="119"/>
      <c r="P41" s="289"/>
      <c r="Q41" s="289"/>
      <c r="R41" s="289"/>
      <c r="S41" s="289"/>
      <c r="T41" s="289"/>
    </row>
    <row r="42" spans="2:20">
      <c r="B42" s="293" t="e">
        <f>#REF!</f>
        <v>#REF!</v>
      </c>
      <c r="C42" s="162" t="s">
        <v>86</v>
      </c>
      <c r="D42" s="157">
        <v>12661.5058106672</v>
      </c>
      <c r="E42" s="158">
        <v>18538.071</v>
      </c>
      <c r="F42" s="158">
        <v>13350.687899449997</v>
      </c>
      <c r="G42" s="158">
        <v>5578.6608586499988</v>
      </c>
      <c r="H42" s="158">
        <v>10003.035437810451</v>
      </c>
      <c r="I42" s="248">
        <f t="shared" si="0"/>
        <v>68.300017896507143</v>
      </c>
      <c r="J42" s="119"/>
      <c r="P42" s="289"/>
      <c r="Q42" s="289"/>
      <c r="R42" s="289"/>
      <c r="S42" s="289"/>
      <c r="T42" s="289"/>
    </row>
    <row r="43" spans="2:20">
      <c r="B43" s="293" t="e">
        <f>#REF!</f>
        <v>#REF!</v>
      </c>
      <c r="C43" s="162" t="s">
        <v>87</v>
      </c>
      <c r="D43" s="157">
        <v>12144.926731958538</v>
      </c>
      <c r="E43" s="158">
        <v>18538.071</v>
      </c>
      <c r="F43" s="158">
        <v>13867.618216399997</v>
      </c>
      <c r="G43" s="158">
        <v>5886.7781087999983</v>
      </c>
      <c r="H43" s="158">
        <v>10720.346582784256</v>
      </c>
      <c r="I43" s="248">
        <f t="shared" si="0"/>
        <v>65.513433042513086</v>
      </c>
      <c r="J43" s="119"/>
      <c r="P43" s="289"/>
      <c r="Q43" s="289"/>
      <c r="R43" s="289"/>
      <c r="S43" s="289"/>
      <c r="T43" s="289"/>
    </row>
    <row r="44" spans="2:20">
      <c r="B44" s="293" t="e">
        <f>#REF!</f>
        <v>#REF!</v>
      </c>
      <c r="C44" s="162" t="s">
        <v>88</v>
      </c>
      <c r="D44" s="157">
        <v>11299.1892331082</v>
      </c>
      <c r="E44" s="158">
        <v>18538.071</v>
      </c>
      <c r="F44" s="158">
        <v>13950.648185050002</v>
      </c>
      <c r="G44" s="158">
        <v>7160.980094999999</v>
      </c>
      <c r="H44" s="158">
        <v>11307.143756783118</v>
      </c>
      <c r="I44" s="248">
        <f t="shared" si="0"/>
        <v>60.951267438279856</v>
      </c>
      <c r="J44" s="119"/>
      <c r="P44" s="289"/>
      <c r="Q44" s="289"/>
      <c r="R44" s="289"/>
      <c r="S44" s="289"/>
      <c r="T44" s="289"/>
    </row>
    <row r="45" spans="2:20">
      <c r="B45" s="293" t="e">
        <f>#REF!</f>
        <v>#REF!</v>
      </c>
      <c r="C45" s="162" t="s">
        <v>87</v>
      </c>
      <c r="D45" s="157">
        <v>11113.845787991901</v>
      </c>
      <c r="E45" s="158">
        <v>18538.071</v>
      </c>
      <c r="F45" s="158">
        <v>14154.758919950002</v>
      </c>
      <c r="G45" s="158">
        <v>7197.9099209999968</v>
      </c>
      <c r="H45" s="158">
        <v>11468.407586706651</v>
      </c>
      <c r="I45" s="248">
        <f t="shared" si="0"/>
        <v>59.951468456410062</v>
      </c>
      <c r="J45" s="119"/>
      <c r="P45" s="289"/>
      <c r="Q45" s="289"/>
      <c r="R45" s="289"/>
      <c r="S45" s="289"/>
      <c r="T45" s="289"/>
    </row>
    <row r="46" spans="2:20">
      <c r="B46" s="293" t="e">
        <f>#REF!</f>
        <v>#REF!</v>
      </c>
      <c r="C46" s="162" t="s">
        <v>89</v>
      </c>
      <c r="D46" s="157">
        <v>10415.710777083699</v>
      </c>
      <c r="E46" s="158">
        <v>18538.071</v>
      </c>
      <c r="F46" s="158">
        <v>13861.50749955</v>
      </c>
      <c r="G46" s="158">
        <v>6659.6807604989417</v>
      </c>
      <c r="H46" s="158">
        <v>10927.520460105234</v>
      </c>
      <c r="I46" s="248">
        <f t="shared" si="0"/>
        <v>56.185515618554369</v>
      </c>
      <c r="J46" s="119"/>
      <c r="P46" s="289"/>
      <c r="Q46" s="289"/>
      <c r="R46" s="289"/>
      <c r="S46" s="289"/>
      <c r="T46" s="289"/>
    </row>
    <row r="47" spans="2:20">
      <c r="B47" s="293" t="e">
        <f>#REF!</f>
        <v>#REF!</v>
      </c>
      <c r="C47" s="162" t="s">
        <v>89</v>
      </c>
      <c r="D47" s="157">
        <v>8744.6750995529528</v>
      </c>
      <c r="E47" s="158">
        <v>18538.071</v>
      </c>
      <c r="F47" s="158">
        <v>12411.383130949995</v>
      </c>
      <c r="G47" s="158">
        <v>5800.1947457021333</v>
      </c>
      <c r="H47" s="158">
        <v>9824.1360547772583</v>
      </c>
      <c r="I47" s="248">
        <f t="shared" si="0"/>
        <v>47.171440327059663</v>
      </c>
      <c r="J47" s="119"/>
      <c r="P47" s="289"/>
      <c r="Q47" s="289"/>
      <c r="R47" s="289"/>
      <c r="S47" s="289"/>
      <c r="T47" s="289"/>
    </row>
    <row r="48" spans="2:20">
      <c r="B48" s="293" t="e">
        <f>#REF!</f>
        <v>#REF!</v>
      </c>
      <c r="C48" s="162" t="s">
        <v>88</v>
      </c>
      <c r="D48" s="157">
        <v>7124.7383119369397</v>
      </c>
      <c r="E48" s="158">
        <v>18538.071</v>
      </c>
      <c r="F48" s="158">
        <v>11082.055950350004</v>
      </c>
      <c r="G48" s="158">
        <v>5069.3133357481856</v>
      </c>
      <c r="H48" s="158">
        <v>8745.5835792961407</v>
      </c>
      <c r="I48" s="248">
        <f t="shared" si="0"/>
        <v>38.433008007882478</v>
      </c>
      <c r="J48" s="119"/>
      <c r="P48" s="289"/>
      <c r="Q48" s="289"/>
      <c r="R48" s="289"/>
      <c r="S48" s="289"/>
      <c r="T48" s="289"/>
    </row>
    <row r="49" spans="2:20">
      <c r="B49" s="293" t="e">
        <f>#REF!</f>
        <v>#REF!</v>
      </c>
      <c r="C49" s="162" t="s">
        <v>90</v>
      </c>
      <c r="D49" s="157">
        <v>6314.3165171768396</v>
      </c>
      <c r="E49" s="158">
        <v>18538.071</v>
      </c>
      <c r="F49" s="158">
        <v>10288.729394799997</v>
      </c>
      <c r="G49" s="158">
        <v>4739.6054379773832</v>
      </c>
      <c r="H49" s="158">
        <v>7973.9046291740378</v>
      </c>
      <c r="I49" s="248">
        <f t="shared" si="0"/>
        <v>34.061346065493218</v>
      </c>
      <c r="J49" s="119"/>
      <c r="P49" s="289"/>
      <c r="Q49" s="289"/>
      <c r="R49" s="289"/>
      <c r="S49" s="289"/>
      <c r="T49" s="289"/>
    </row>
    <row r="50" spans="2:20">
      <c r="B50" s="293" t="e">
        <f>#REF!</f>
        <v>#REF!</v>
      </c>
      <c r="C50" s="162" t="s">
        <v>91</v>
      </c>
      <c r="D50" s="157">
        <v>5952.5394311548098</v>
      </c>
      <c r="E50" s="158">
        <v>18538.071</v>
      </c>
      <c r="F50" s="158">
        <v>9948.8780525499988</v>
      </c>
      <c r="G50" s="158">
        <v>4467.0470089624023</v>
      </c>
      <c r="H50" s="158">
        <v>7820.7365874517254</v>
      </c>
      <c r="I50" s="248">
        <f t="shared" si="0"/>
        <v>32.109810298788958</v>
      </c>
      <c r="J50" s="119"/>
      <c r="P50" s="289"/>
      <c r="Q50" s="289"/>
      <c r="R50" s="289"/>
      <c r="S50" s="289"/>
      <c r="T50" s="289"/>
    </row>
    <row r="51" spans="2:20">
      <c r="B51" s="293" t="e">
        <f>#REF!</f>
        <v>#REF!</v>
      </c>
      <c r="C51" s="162" t="s">
        <v>92</v>
      </c>
      <c r="D51" s="157">
        <v>5955.5060306251098</v>
      </c>
      <c r="E51" s="158">
        <v>18538.071</v>
      </c>
      <c r="F51" s="158">
        <v>11222.871138699997</v>
      </c>
      <c r="G51" s="158">
        <v>4812.1705738000001</v>
      </c>
      <c r="H51" s="158">
        <v>8187.5351249509931</v>
      </c>
      <c r="I51" s="248">
        <f t="shared" si="0"/>
        <v>32.125813039690641</v>
      </c>
      <c r="P51" s="289"/>
      <c r="Q51" s="289"/>
      <c r="R51" s="289"/>
      <c r="S51" s="289"/>
      <c r="T51" s="289"/>
    </row>
    <row r="52" spans="2:20">
      <c r="B52" s="293" t="e">
        <f>#REF!</f>
        <v>#REF!</v>
      </c>
      <c r="C52" s="162" t="s">
        <v>93</v>
      </c>
      <c r="D52" s="157">
        <v>6678.5636735501203</v>
      </c>
      <c r="E52" s="158">
        <v>18538.071</v>
      </c>
      <c r="F52" s="158">
        <v>13273.133537799993</v>
      </c>
      <c r="G52" s="158">
        <v>5316.2767810999994</v>
      </c>
      <c r="H52" s="158">
        <v>8633.7092310648623</v>
      </c>
      <c r="I52" s="248">
        <f t="shared" si="0"/>
        <v>36.026206143832987</v>
      </c>
      <c r="J52" s="292">
        <f>I53-I52</f>
        <v>1.8974522755421006</v>
      </c>
      <c r="P52" s="289"/>
      <c r="Q52" s="289"/>
      <c r="R52" s="289"/>
      <c r="S52" s="289"/>
      <c r="T52" s="289"/>
    </row>
    <row r="53" spans="2:20">
      <c r="B53" s="291">
        <v>2022</v>
      </c>
      <c r="C53" s="162" t="s">
        <v>94</v>
      </c>
      <c r="D53" s="157">
        <v>7030.3147235812303</v>
      </c>
      <c r="E53" s="158">
        <v>18538.071</v>
      </c>
      <c r="F53" s="158">
        <v>13035.252519200001</v>
      </c>
      <c r="G53" s="158">
        <v>5477.0266986999977</v>
      </c>
      <c r="H53" s="158">
        <v>9325.0652119229526</v>
      </c>
      <c r="I53" s="248">
        <f>D53/E53*100</f>
        <v>37.923658419375087</v>
      </c>
      <c r="J53" s="292">
        <f>I53-I41</f>
        <v>-14.716747029596327</v>
      </c>
      <c r="K53" s="272"/>
    </row>
    <row r="54" spans="2:20">
      <c r="B54" s="293" t="e">
        <f>#REF!</f>
        <v>#REF!</v>
      </c>
      <c r="C54" s="162" t="s">
        <v>86</v>
      </c>
      <c r="D54" s="157"/>
      <c r="E54" s="158">
        <v>18538.071</v>
      </c>
      <c r="F54" s="158">
        <v>13419.170344149999</v>
      </c>
      <c r="G54" s="158">
        <v>5596.8493599999993</v>
      </c>
      <c r="H54" s="158">
        <v>10034.297981343811</v>
      </c>
      <c r="I54" s="248">
        <f t="shared" ref="I54:I64" si="1">D54/E54*100</f>
        <v>0</v>
      </c>
      <c r="J54" s="292"/>
    </row>
    <row r="55" spans="2:20">
      <c r="B55" s="293" t="e">
        <f>#REF!</f>
        <v>#REF!</v>
      </c>
      <c r="C55" s="162" t="s">
        <v>87</v>
      </c>
      <c r="D55" s="157"/>
      <c r="E55" s="158">
        <v>18538.071</v>
      </c>
      <c r="F55" s="158">
        <v>13898.837668799999</v>
      </c>
      <c r="G55" s="158">
        <v>5950.5832111499976</v>
      </c>
      <c r="H55" s="158">
        <v>10651.382707382183</v>
      </c>
      <c r="I55" s="248">
        <f t="shared" si="1"/>
        <v>0</v>
      </c>
      <c r="J55" s="292"/>
    </row>
    <row r="56" spans="2:20">
      <c r="B56" s="293" t="e">
        <f>#REF!</f>
        <v>#REF!</v>
      </c>
      <c r="C56" s="162" t="s">
        <v>88</v>
      </c>
      <c r="D56" s="157"/>
      <c r="E56" s="158">
        <v>18538.071</v>
      </c>
      <c r="F56" s="158">
        <v>13999.32071715</v>
      </c>
      <c r="G56" s="158">
        <v>7213.8650399999988</v>
      </c>
      <c r="H56" s="158">
        <v>11224.845272938524</v>
      </c>
      <c r="I56" s="248">
        <f t="shared" si="1"/>
        <v>0</v>
      </c>
      <c r="J56" s="292"/>
    </row>
    <row r="57" spans="2:20">
      <c r="B57" s="293" t="e">
        <f>#REF!</f>
        <v>#REF!</v>
      </c>
      <c r="C57" s="162" t="s">
        <v>87</v>
      </c>
      <c r="D57" s="157"/>
      <c r="E57" s="158">
        <v>18538.071</v>
      </c>
      <c r="F57" s="158">
        <v>14194.180336200001</v>
      </c>
      <c r="G57" s="158">
        <v>7275.1757219999972</v>
      </c>
      <c r="H57" s="158">
        <v>11376.573024106245</v>
      </c>
      <c r="I57" s="248">
        <f t="shared" si="1"/>
        <v>0</v>
      </c>
    </row>
    <row r="58" spans="2:20">
      <c r="B58" s="293" t="e">
        <f>#REF!</f>
        <v>#REF!</v>
      </c>
      <c r="C58" s="162" t="s">
        <v>89</v>
      </c>
      <c r="D58" s="157"/>
      <c r="E58" s="158">
        <v>18538.071</v>
      </c>
      <c r="F58" s="158">
        <v>13918.899108600002</v>
      </c>
      <c r="G58" s="158">
        <v>6720.2938423489422</v>
      </c>
      <c r="H58" s="158">
        <v>10871.053378959414</v>
      </c>
      <c r="I58" s="248">
        <f t="shared" si="1"/>
        <v>0</v>
      </c>
    </row>
    <row r="59" spans="2:20">
      <c r="B59" s="293" t="e">
        <f>#REF!</f>
        <v>#REF!</v>
      </c>
      <c r="C59" s="162" t="s">
        <v>89</v>
      </c>
      <c r="D59" s="157"/>
      <c r="E59" s="158">
        <v>18538.071</v>
      </c>
      <c r="F59" s="158">
        <v>12486.880997399992</v>
      </c>
      <c r="G59" s="158">
        <v>5861.5753199858218</v>
      </c>
      <c r="H59" s="158">
        <v>9714.3243532549059</v>
      </c>
      <c r="I59" s="248">
        <f t="shared" si="1"/>
        <v>0</v>
      </c>
    </row>
    <row r="60" spans="2:20">
      <c r="B60" s="293" t="e">
        <f>#REF!</f>
        <v>#REF!</v>
      </c>
      <c r="C60" s="162" t="s">
        <v>88</v>
      </c>
      <c r="D60" s="157"/>
      <c r="E60" s="158">
        <v>18538.071</v>
      </c>
      <c r="F60" s="158">
        <v>11155.732386300004</v>
      </c>
      <c r="G60" s="158">
        <v>5122.4186417062165</v>
      </c>
      <c r="H60" s="158">
        <v>8618.9540563929877</v>
      </c>
      <c r="I60" s="248">
        <f t="shared" si="1"/>
        <v>0</v>
      </c>
      <c r="J60" s="292"/>
    </row>
    <row r="61" spans="2:20">
      <c r="B61" s="293" t="e">
        <f>#REF!</f>
        <v>#REF!</v>
      </c>
      <c r="C61" s="162" t="s">
        <v>90</v>
      </c>
      <c r="D61" s="157"/>
      <c r="E61" s="158">
        <v>18538.071</v>
      </c>
      <c r="F61" s="158">
        <v>10360.471131599998</v>
      </c>
      <c r="G61" s="158">
        <v>4769.6031145773832</v>
      </c>
      <c r="H61" s="158">
        <v>7853.1852055328782</v>
      </c>
      <c r="I61" s="248">
        <f t="shared" si="1"/>
        <v>0</v>
      </c>
      <c r="J61" s="292"/>
    </row>
    <row r="62" spans="2:20">
      <c r="B62" s="293" t="e">
        <f>#REF!</f>
        <v>#REF!</v>
      </c>
      <c r="C62" s="162" t="s">
        <v>91</v>
      </c>
      <c r="D62" s="157"/>
      <c r="E62" s="158">
        <v>18538.071</v>
      </c>
      <c r="F62" s="158">
        <v>10037.671056599998</v>
      </c>
      <c r="G62" s="158">
        <v>4490.9091346624027</v>
      </c>
      <c r="H62" s="158">
        <v>7700.931035509464</v>
      </c>
      <c r="I62" s="248">
        <f t="shared" si="1"/>
        <v>0</v>
      </c>
      <c r="J62" s="292"/>
    </row>
    <row r="63" spans="2:20">
      <c r="B63" s="293" t="e">
        <f>#REF!</f>
        <v>#REF!</v>
      </c>
      <c r="C63" s="162" t="s">
        <v>92</v>
      </c>
      <c r="D63" s="157"/>
      <c r="E63" s="158">
        <v>18538.071</v>
      </c>
      <c r="F63" s="158">
        <v>11248.176501599997</v>
      </c>
      <c r="G63" s="158">
        <v>4818.1352348499995</v>
      </c>
      <c r="H63" s="158">
        <v>8119.3286799822454</v>
      </c>
      <c r="I63" s="248">
        <f t="shared" si="1"/>
        <v>0</v>
      </c>
      <c r="J63" s="292"/>
    </row>
    <row r="64" spans="2:20">
      <c r="B64" s="293" t="e">
        <f>#REF!</f>
        <v>#REF!</v>
      </c>
      <c r="C64" s="162" t="s">
        <v>93</v>
      </c>
      <c r="D64" s="157"/>
      <c r="E64" s="158">
        <v>18538.071</v>
      </c>
      <c r="F64" s="158">
        <v>13212.158572249993</v>
      </c>
      <c r="G64" s="158">
        <v>5311.2606904000004</v>
      </c>
      <c r="H64" s="158">
        <v>8643.2465402423641</v>
      </c>
      <c r="I64" s="248">
        <f t="shared" si="1"/>
        <v>0</v>
      </c>
      <c r="J64" s="292"/>
    </row>
    <row r="65" spans="2:11">
      <c r="B65" s="160"/>
      <c r="C65" s="162"/>
      <c r="D65" s="158"/>
      <c r="E65" s="158"/>
      <c r="F65" s="158"/>
      <c r="G65" s="158"/>
      <c r="H65" s="158"/>
      <c r="I65" s="159"/>
      <c r="J65" s="292"/>
    </row>
    <row r="67" spans="2:11">
      <c r="B67" s="256" t="str">
        <f>CONCATENATE("Reservas hidroeléctricas a ",TEXT(DATEVALUE(MID(Dat_01!B2,1,10)),"dd")," de ",TEXT(DATEVALUE(MID(Dat_01!B2,1,10)),"mmmm")," de ",TEXT(DATEVALUE(MID(Dat_01!B2,1,10)),"aaaa")," por cuencas")</f>
        <v>Reservas hidroeléctricas a 31 de enero de 2022 por cuencas</v>
      </c>
      <c r="C67" s="257"/>
      <c r="D67" s="257"/>
      <c r="E67" s="257"/>
      <c r="F67" s="257"/>
      <c r="G67" s="118"/>
      <c r="H67" s="118"/>
      <c r="I67" s="119"/>
      <c r="J67" s="119"/>
    </row>
    <row r="68" spans="2:11">
      <c r="B68" s="120"/>
      <c r="C68" s="346" t="s">
        <v>53</v>
      </c>
      <c r="D68" s="346" t="s">
        <v>53</v>
      </c>
      <c r="E68" s="120"/>
      <c r="F68" s="346" t="s">
        <v>42</v>
      </c>
      <c r="G68" s="346"/>
      <c r="H68" s="346" t="s">
        <v>43</v>
      </c>
      <c r="I68" s="346"/>
      <c r="J68" s="346" t="s">
        <v>44</v>
      </c>
      <c r="K68" s="346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58">
        <v>5204.4719067636097</v>
      </c>
      <c r="F70" s="259">
        <f>G70/C70</f>
        <v>0.46936547574414972</v>
      </c>
      <c r="G70" s="258">
        <v>1195.388442203764</v>
      </c>
      <c r="H70" s="259">
        <f>I70/D70</f>
        <v>0.11667484863361506</v>
      </c>
      <c r="I70" s="125">
        <v>106.11297463590569</v>
      </c>
      <c r="J70" s="150">
        <f>K70/SUM(C70:D70)</f>
        <v>0.37655981141641004</v>
      </c>
      <c r="K70" s="125">
        <f t="shared" ref="K70:K75" si="2">SUM(G70,I70)</f>
        <v>1301.5014168396697</v>
      </c>
    </row>
    <row r="71" spans="2:11">
      <c r="B71" s="124" t="s">
        <v>47</v>
      </c>
      <c r="C71" s="125">
        <v>1681</v>
      </c>
      <c r="D71" s="125">
        <v>3120.6</v>
      </c>
      <c r="E71" s="258">
        <v>3968.2132952293318</v>
      </c>
      <c r="F71" s="259">
        <f>G71/C71</f>
        <v>0.4695425444135935</v>
      </c>
      <c r="G71" s="258">
        <v>789.3010171592507</v>
      </c>
      <c r="H71" s="259">
        <f t="shared" ref="H71:H75" si="3">I71/D71</f>
        <v>0.34582023950343138</v>
      </c>
      <c r="I71" s="125">
        <v>1079.1666393944079</v>
      </c>
      <c r="J71" s="150">
        <f t="shared" ref="J71:J76" si="4">K71/SUM(C71:D71)</f>
        <v>0.38913438365412745</v>
      </c>
      <c r="K71" s="125">
        <f t="shared" si="2"/>
        <v>1868.4676565536586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58">
        <v>3618.5651686053225</v>
      </c>
      <c r="F72" s="259">
        <f>G72/C72</f>
        <v>0.40264606748665416</v>
      </c>
      <c r="G72" s="258">
        <v>976.38570990793983</v>
      </c>
      <c r="H72" s="259">
        <f t="shared" si="3"/>
        <v>0.33585826196132218</v>
      </c>
      <c r="I72" s="125">
        <v>1273.5315394998026</v>
      </c>
      <c r="J72" s="150">
        <f t="shared" si="4"/>
        <v>0.36190951276465483</v>
      </c>
      <c r="K72" s="125">
        <f t="shared" si="2"/>
        <v>2249.9172494077425</v>
      </c>
    </row>
    <row r="73" spans="2:11">
      <c r="B73" s="124" t="s">
        <v>49</v>
      </c>
      <c r="C73" s="125"/>
      <c r="D73" s="125">
        <v>835.14400000000001</v>
      </c>
      <c r="E73" s="258">
        <v>241.15919611927043</v>
      </c>
      <c r="F73" s="259" t="s">
        <v>18</v>
      </c>
      <c r="G73" s="258" t="s">
        <v>18</v>
      </c>
      <c r="H73" s="259">
        <f t="shared" si="3"/>
        <v>2.3853252094384349E-2</v>
      </c>
      <c r="I73" s="125">
        <v>19.920900367112523</v>
      </c>
      <c r="J73" s="150">
        <f t="shared" si="4"/>
        <v>2.3853252094384349E-2</v>
      </c>
      <c r="K73" s="125">
        <f t="shared" si="2"/>
        <v>19.920900367112523</v>
      </c>
    </row>
    <row r="74" spans="2:11">
      <c r="B74" s="124" t="s">
        <v>50</v>
      </c>
      <c r="C74" s="125">
        <v>180.3</v>
      </c>
      <c r="D74" s="125">
        <v>669.1</v>
      </c>
      <c r="E74" s="258">
        <v>569.24482711132248</v>
      </c>
      <c r="F74" s="259">
        <f>G74/C74</f>
        <v>0.60399467219113545</v>
      </c>
      <c r="G74" s="258">
        <v>108.90023939606174</v>
      </c>
      <c r="H74" s="259">
        <f t="shared" si="3"/>
        <v>0.13974474645086871</v>
      </c>
      <c r="I74" s="125">
        <v>93.503209850276249</v>
      </c>
      <c r="J74" s="150">
        <f t="shared" si="4"/>
        <v>0.23828990963778895</v>
      </c>
      <c r="K74" s="125">
        <f t="shared" si="2"/>
        <v>202.40344924633797</v>
      </c>
    </row>
    <row r="75" spans="2:11">
      <c r="B75" s="124" t="s">
        <v>51</v>
      </c>
      <c r="C75" s="125">
        <v>2133.8380000000002</v>
      </c>
      <c r="D75" s="125">
        <v>245</v>
      </c>
      <c r="E75" s="258">
        <v>3445.1482361711401</v>
      </c>
      <c r="F75" s="259">
        <f>G75/C75</f>
        <v>0.57808995615689662</v>
      </c>
      <c r="G75" s="258">
        <v>1233.5503158659201</v>
      </c>
      <c r="H75" s="259">
        <f t="shared" si="3"/>
        <v>0.63083157265630008</v>
      </c>
      <c r="I75" s="125">
        <v>154.55373530079351</v>
      </c>
      <c r="J75" s="150">
        <f t="shared" si="4"/>
        <v>0.58352189227123219</v>
      </c>
      <c r="K75" s="125">
        <f t="shared" si="2"/>
        <v>1388.1040511667136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17046.802629999995</v>
      </c>
      <c r="F76" s="260">
        <f>G76/C76</f>
        <v>0.47993574180413678</v>
      </c>
      <c r="G76" s="126">
        <f>SUM(G70:G75)</f>
        <v>4303.5257245329367</v>
      </c>
      <c r="H76" s="260">
        <f>I76/D76</f>
        <v>0.28489544448050963</v>
      </c>
      <c r="I76" s="126">
        <f>SUM(I70:I75)</f>
        <v>2726.7889990482981</v>
      </c>
      <c r="J76" s="151">
        <f t="shared" si="4"/>
        <v>0.37923658419375095</v>
      </c>
      <c r="K76" s="126">
        <f>SUM(K70:K75)</f>
        <v>7030.3147235812339</v>
      </c>
    </row>
    <row r="79" spans="2:11">
      <c r="B79" s="165" t="str">
        <f>TEXT(CONCATENATE(TEXT(Dat_01!B2,"dd de mm de aaaa")),"@")</f>
        <v>31 312022 01 312022 2022</v>
      </c>
    </row>
    <row r="80" spans="2:11">
      <c r="B80" s="230" t="str">
        <f>CONCATENATE("Reservas hidroeléctricas a ",TEXT(DATEVALUE(MID(Dat_01!B2,1,10)),"dd")," de ",TEXT(DATEVALUE(MID(Dat_01!B2,1,10)),"mmmm")," de ",TEXT(DATEVALUE(MID(Dat_01!B2,1,10)),"aaaa")," por cuencas")</f>
        <v>Reservas hidroeléctricas a 31 de enero de 2022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topLeftCell="A360" zoomScale="77" zoomScaleNormal="77" workbookViewId="0">
      <selection activeCell="F381" sqref="F381"/>
    </sheetView>
  </sheetViews>
  <sheetFormatPr baseColWidth="10" defaultColWidth="11.42578125" defaultRowHeight="15"/>
  <cols>
    <col min="1" max="1" width="11.42578125" style="283"/>
    <col min="2" max="2" width="12.7109375" style="283" bestFit="1" customWidth="1"/>
    <col min="3" max="7" width="11.42578125" style="283"/>
    <col min="8" max="8" width="11.7109375" style="283" bestFit="1" customWidth="1"/>
    <col min="9" max="21" width="11.42578125" style="283"/>
    <col min="22" max="22" width="11.42578125" style="283" customWidth="1"/>
    <col min="23" max="28" width="11.42578125" style="283"/>
    <col min="29" max="29" width="11.7109375" style="283" bestFit="1" customWidth="1"/>
    <col min="30" max="16384" width="11.42578125" style="283"/>
  </cols>
  <sheetData>
    <row r="1" spans="1:9" ht="60">
      <c r="B1" s="282" t="s">
        <v>144</v>
      </c>
      <c r="C1" s="282" t="s">
        <v>178</v>
      </c>
      <c r="D1" s="282" t="s">
        <v>179</v>
      </c>
    </row>
    <row r="2" spans="1:9">
      <c r="A2" s="283">
        <v>0</v>
      </c>
      <c r="B2" s="284">
        <v>44197</v>
      </c>
      <c r="C2" s="285">
        <v>236.95572000000001</v>
      </c>
      <c r="D2" s="286">
        <v>198.74707857615221</v>
      </c>
      <c r="E2" s="285">
        <f>IF(C2&gt;D2,D2,C2)</f>
        <v>198.74707857615221</v>
      </c>
      <c r="F2" s="288">
        <f>YEAR(B2)</f>
        <v>2021</v>
      </c>
      <c r="G2" s="199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87" t="str">
        <f>IF(DAY($B2)=15,TEXT(D2,"#,0"),"")</f>
        <v/>
      </c>
      <c r="I2" s="288"/>
    </row>
    <row r="3" spans="1:9">
      <c r="A3" s="283">
        <v>1</v>
      </c>
      <c r="B3" s="284">
        <v>44198</v>
      </c>
      <c r="C3" s="285">
        <v>270.51859300000001</v>
      </c>
      <c r="D3" s="286">
        <v>198.74707857615221</v>
      </c>
      <c r="E3" s="285">
        <f t="shared" ref="E3:E66" si="0">IF(C3&gt;D3,D3,C3)</f>
        <v>198.74707857615221</v>
      </c>
      <c r="F3" s="295"/>
      <c r="G3" s="199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87" t="str">
        <f t="shared" ref="H3:H66" si="2">IF(DAY($B3)=15,TEXT(D3,"#,0"),"")</f>
        <v/>
      </c>
      <c r="I3" s="288"/>
    </row>
    <row r="4" spans="1:9">
      <c r="A4" s="283">
        <v>2</v>
      </c>
      <c r="B4" s="284">
        <v>44199</v>
      </c>
      <c r="C4" s="285">
        <v>222.26715399999998</v>
      </c>
      <c r="D4" s="286">
        <v>198.74707857615221</v>
      </c>
      <c r="E4" s="285">
        <f t="shared" si="0"/>
        <v>198.74707857615221</v>
      </c>
      <c r="F4" s="295"/>
      <c r="G4" s="199" t="str">
        <f t="shared" si="1"/>
        <v/>
      </c>
      <c r="H4" s="287" t="str">
        <f t="shared" si="2"/>
        <v/>
      </c>
      <c r="I4" s="288"/>
    </row>
    <row r="5" spans="1:9">
      <c r="A5" s="283">
        <v>3</v>
      </c>
      <c r="B5" s="284">
        <v>44200</v>
      </c>
      <c r="C5" s="285">
        <v>127.92596</v>
      </c>
      <c r="D5" s="286">
        <v>198.74707857615221</v>
      </c>
      <c r="E5" s="285">
        <f t="shared" si="0"/>
        <v>127.92596</v>
      </c>
      <c r="F5" s="295"/>
      <c r="G5" s="199" t="str">
        <f t="shared" si="1"/>
        <v/>
      </c>
      <c r="H5" s="287" t="str">
        <f t="shared" si="2"/>
        <v/>
      </c>
      <c r="I5" s="288"/>
    </row>
    <row r="6" spans="1:9">
      <c r="A6" s="283">
        <v>4</v>
      </c>
      <c r="B6" s="284">
        <v>44201</v>
      </c>
      <c r="C6" s="285">
        <v>68.985138000000006</v>
      </c>
      <c r="D6" s="286">
        <v>198.74707857615221</v>
      </c>
      <c r="E6" s="285">
        <f t="shared" si="0"/>
        <v>68.985138000000006</v>
      </c>
      <c r="F6" s="295"/>
      <c r="G6" s="199" t="str">
        <f t="shared" si="1"/>
        <v/>
      </c>
      <c r="H6" s="287" t="str">
        <f t="shared" si="2"/>
        <v/>
      </c>
      <c r="I6" s="288"/>
    </row>
    <row r="7" spans="1:9">
      <c r="A7" s="283">
        <v>5</v>
      </c>
      <c r="B7" s="284">
        <v>44202</v>
      </c>
      <c r="C7" s="285">
        <v>67.590626</v>
      </c>
      <c r="D7" s="286">
        <v>198.74707857615221</v>
      </c>
      <c r="E7" s="285">
        <f t="shared" si="0"/>
        <v>67.590626</v>
      </c>
      <c r="F7" s="295"/>
      <c r="G7" s="199" t="str">
        <f t="shared" si="1"/>
        <v/>
      </c>
      <c r="H7" s="287" t="str">
        <f t="shared" si="2"/>
        <v/>
      </c>
      <c r="I7" s="288"/>
    </row>
    <row r="8" spans="1:9">
      <c r="A8" s="283">
        <v>6</v>
      </c>
      <c r="B8" s="284">
        <v>44203</v>
      </c>
      <c r="C8" s="285">
        <v>99.150615999999999</v>
      </c>
      <c r="D8" s="286">
        <v>198.74707857615221</v>
      </c>
      <c r="E8" s="285">
        <f t="shared" si="0"/>
        <v>99.150615999999999</v>
      </c>
      <c r="F8" s="295"/>
      <c r="G8" s="199" t="str">
        <f t="shared" si="1"/>
        <v/>
      </c>
      <c r="H8" s="287" t="str">
        <f t="shared" si="2"/>
        <v/>
      </c>
      <c r="I8" s="288"/>
    </row>
    <row r="9" spans="1:9">
      <c r="A9" s="283">
        <v>7</v>
      </c>
      <c r="B9" s="284">
        <v>44204</v>
      </c>
      <c r="C9" s="285">
        <v>224.30962199999999</v>
      </c>
      <c r="D9" s="286">
        <v>198.74707857615221</v>
      </c>
      <c r="E9" s="285">
        <f t="shared" si="0"/>
        <v>198.74707857615221</v>
      </c>
      <c r="F9" s="295"/>
      <c r="G9" s="199" t="str">
        <f t="shared" si="1"/>
        <v/>
      </c>
      <c r="H9" s="287" t="str">
        <f t="shared" si="2"/>
        <v/>
      </c>
      <c r="I9" s="288"/>
    </row>
    <row r="10" spans="1:9">
      <c r="A10" s="283">
        <v>8</v>
      </c>
      <c r="B10" s="284">
        <v>44205</v>
      </c>
      <c r="C10" s="285">
        <v>243.93439799999999</v>
      </c>
      <c r="D10" s="286">
        <v>198.74707857615221</v>
      </c>
      <c r="E10" s="285">
        <f t="shared" si="0"/>
        <v>198.74707857615221</v>
      </c>
      <c r="F10" s="295"/>
      <c r="G10" s="199" t="str">
        <f t="shared" si="1"/>
        <v/>
      </c>
      <c r="H10" s="287" t="str">
        <f t="shared" si="2"/>
        <v/>
      </c>
      <c r="I10" s="288"/>
    </row>
    <row r="11" spans="1:9">
      <c r="A11" s="283">
        <v>9</v>
      </c>
      <c r="B11" s="284">
        <v>44206</v>
      </c>
      <c r="C11" s="285">
        <v>254.30915300000001</v>
      </c>
      <c r="D11" s="286">
        <v>198.74707857615221</v>
      </c>
      <c r="E11" s="285">
        <f t="shared" si="0"/>
        <v>198.74707857615221</v>
      </c>
      <c r="F11" s="295"/>
      <c r="G11" s="199" t="str">
        <f t="shared" si="1"/>
        <v/>
      </c>
      <c r="H11" s="287" t="str">
        <f t="shared" si="2"/>
        <v/>
      </c>
      <c r="I11" s="288"/>
    </row>
    <row r="12" spans="1:9">
      <c r="A12" s="283">
        <v>10</v>
      </c>
      <c r="B12" s="284">
        <v>44207</v>
      </c>
      <c r="C12" s="285">
        <v>237.59064299999997</v>
      </c>
      <c r="D12" s="286">
        <v>198.74707857615221</v>
      </c>
      <c r="E12" s="285">
        <f t="shared" si="0"/>
        <v>198.74707857615221</v>
      </c>
      <c r="F12" s="295"/>
      <c r="G12" s="199" t="str">
        <f t="shared" si="1"/>
        <v/>
      </c>
      <c r="H12" s="287" t="str">
        <f t="shared" si="2"/>
        <v/>
      </c>
      <c r="I12" s="288"/>
    </row>
    <row r="13" spans="1:9">
      <c r="A13" s="283">
        <v>11</v>
      </c>
      <c r="B13" s="284">
        <v>44208</v>
      </c>
      <c r="C13" s="285">
        <v>164.969347</v>
      </c>
      <c r="D13" s="286">
        <v>198.74707857615221</v>
      </c>
      <c r="E13" s="285">
        <f t="shared" si="0"/>
        <v>164.969347</v>
      </c>
      <c r="F13" s="295"/>
      <c r="G13" s="199" t="str">
        <f t="shared" si="1"/>
        <v/>
      </c>
      <c r="H13" s="287" t="str">
        <f t="shared" si="2"/>
        <v/>
      </c>
      <c r="I13" s="288"/>
    </row>
    <row r="14" spans="1:9">
      <c r="A14" s="283">
        <v>12</v>
      </c>
      <c r="B14" s="284">
        <v>44209</v>
      </c>
      <c r="C14" s="285">
        <v>170.91346600000003</v>
      </c>
      <c r="D14" s="286">
        <v>198.74707857615221</v>
      </c>
      <c r="E14" s="285">
        <f t="shared" si="0"/>
        <v>170.91346600000003</v>
      </c>
      <c r="F14" s="295"/>
      <c r="G14" s="199" t="str">
        <f t="shared" si="1"/>
        <v/>
      </c>
      <c r="H14" s="287" t="str">
        <f t="shared" si="2"/>
        <v/>
      </c>
      <c r="I14" s="288"/>
    </row>
    <row r="15" spans="1:9">
      <c r="A15" s="283">
        <v>13</v>
      </c>
      <c r="B15" s="284">
        <v>44210</v>
      </c>
      <c r="C15" s="285">
        <v>209.658342</v>
      </c>
      <c r="D15" s="286">
        <v>198.74707857615221</v>
      </c>
      <c r="E15" s="285">
        <f t="shared" si="0"/>
        <v>198.74707857615221</v>
      </c>
      <c r="F15" s="295"/>
      <c r="G15" s="199" t="str">
        <f t="shared" si="1"/>
        <v/>
      </c>
      <c r="H15" s="287" t="str">
        <f t="shared" si="2"/>
        <v/>
      </c>
      <c r="I15" s="288"/>
    </row>
    <row r="16" spans="1:9">
      <c r="A16" s="283">
        <v>14</v>
      </c>
      <c r="B16" s="284">
        <v>44211</v>
      </c>
      <c r="C16" s="285">
        <v>217.45799000000002</v>
      </c>
      <c r="D16" s="286">
        <v>198.74707857615221</v>
      </c>
      <c r="E16" s="285">
        <f t="shared" si="0"/>
        <v>198.74707857615221</v>
      </c>
      <c r="F16" s="295"/>
      <c r="G16" s="199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E</v>
      </c>
      <c r="H16" s="287" t="str">
        <f t="shared" si="2"/>
        <v>198,7</v>
      </c>
      <c r="I16" s="288"/>
    </row>
    <row r="17" spans="1:9">
      <c r="A17" s="283">
        <v>15</v>
      </c>
      <c r="B17" s="284">
        <v>44212</v>
      </c>
      <c r="C17" s="285">
        <v>170.35610800000001</v>
      </c>
      <c r="D17" s="286">
        <v>198.74707857615221</v>
      </c>
      <c r="E17" s="285">
        <f t="shared" si="0"/>
        <v>170.35610800000001</v>
      </c>
      <c r="F17" s="295"/>
      <c r="G17" s="199" t="str">
        <f t="shared" si="1"/>
        <v/>
      </c>
      <c r="H17" s="287" t="str">
        <f t="shared" si="2"/>
        <v/>
      </c>
      <c r="I17" s="199"/>
    </row>
    <row r="18" spans="1:9">
      <c r="A18" s="283">
        <v>16</v>
      </c>
      <c r="B18" s="284">
        <v>44213</v>
      </c>
      <c r="C18" s="285">
        <v>155.22302999999999</v>
      </c>
      <c r="D18" s="286">
        <v>198.74707857615221</v>
      </c>
      <c r="E18" s="285">
        <f t="shared" si="0"/>
        <v>155.22302999999999</v>
      </c>
      <c r="F18" s="295"/>
      <c r="G18" s="199" t="str">
        <f t="shared" si="1"/>
        <v/>
      </c>
      <c r="H18" s="287" t="str">
        <f t="shared" si="2"/>
        <v/>
      </c>
      <c r="I18" s="288"/>
    </row>
    <row r="19" spans="1:9">
      <c r="A19" s="283">
        <v>17</v>
      </c>
      <c r="B19" s="284">
        <v>44214</v>
      </c>
      <c r="C19" s="285">
        <v>56.478533000000006</v>
      </c>
      <c r="D19" s="286">
        <v>198.74707857615221</v>
      </c>
      <c r="E19" s="285">
        <f t="shared" si="0"/>
        <v>56.478533000000006</v>
      </c>
      <c r="F19" s="295"/>
      <c r="G19" s="199" t="str">
        <f t="shared" si="1"/>
        <v/>
      </c>
      <c r="H19" s="287" t="str">
        <f t="shared" si="2"/>
        <v/>
      </c>
      <c r="I19" s="288"/>
    </row>
    <row r="20" spans="1:9">
      <c r="A20" s="283">
        <v>18</v>
      </c>
      <c r="B20" s="284">
        <v>44215</v>
      </c>
      <c r="C20" s="285">
        <v>144.09847200000002</v>
      </c>
      <c r="D20" s="286">
        <v>198.74707857615221</v>
      </c>
      <c r="E20" s="285">
        <f t="shared" si="0"/>
        <v>144.09847200000002</v>
      </c>
      <c r="F20" s="295"/>
      <c r="G20" s="199" t="str">
        <f t="shared" si="1"/>
        <v/>
      </c>
      <c r="H20" s="287" t="str">
        <f t="shared" si="2"/>
        <v/>
      </c>
      <c r="I20" s="288"/>
    </row>
    <row r="21" spans="1:9">
      <c r="A21" s="283">
        <v>19</v>
      </c>
      <c r="B21" s="284">
        <v>44216</v>
      </c>
      <c r="C21" s="285">
        <v>328.49757499999998</v>
      </c>
      <c r="D21" s="286">
        <v>198.74707857615221</v>
      </c>
      <c r="E21" s="285">
        <f t="shared" si="0"/>
        <v>198.74707857615221</v>
      </c>
      <c r="F21" s="295"/>
      <c r="G21" s="199" t="str">
        <f t="shared" si="1"/>
        <v/>
      </c>
      <c r="H21" s="287" t="str">
        <f t="shared" si="2"/>
        <v/>
      </c>
      <c r="I21" s="288"/>
    </row>
    <row r="22" spans="1:9">
      <c r="A22" s="283">
        <v>20</v>
      </c>
      <c r="B22" s="284">
        <v>44217</v>
      </c>
      <c r="C22" s="285">
        <v>385.38604499999997</v>
      </c>
      <c r="D22" s="286">
        <v>198.74707857615221</v>
      </c>
      <c r="E22" s="285">
        <f t="shared" si="0"/>
        <v>198.74707857615221</v>
      </c>
      <c r="F22" s="295"/>
      <c r="G22" s="199" t="str">
        <f t="shared" si="1"/>
        <v/>
      </c>
      <c r="H22" s="287" t="str">
        <f t="shared" si="2"/>
        <v/>
      </c>
      <c r="I22" s="288"/>
    </row>
    <row r="23" spans="1:9">
      <c r="A23" s="283">
        <v>21</v>
      </c>
      <c r="B23" s="284">
        <v>44218</v>
      </c>
      <c r="C23" s="285">
        <v>388.95974000000001</v>
      </c>
      <c r="D23" s="286">
        <v>198.74707857615221</v>
      </c>
      <c r="E23" s="285">
        <f t="shared" si="0"/>
        <v>198.74707857615221</v>
      </c>
      <c r="F23" s="295"/>
      <c r="G23" s="199" t="str">
        <f t="shared" si="1"/>
        <v/>
      </c>
      <c r="H23" s="287" t="str">
        <f t="shared" si="2"/>
        <v/>
      </c>
      <c r="I23" s="288"/>
    </row>
    <row r="24" spans="1:9">
      <c r="A24" s="283">
        <v>22</v>
      </c>
      <c r="B24" s="284">
        <v>44219</v>
      </c>
      <c r="C24" s="285">
        <v>411.20967400000001</v>
      </c>
      <c r="D24" s="286">
        <v>198.74707857615221</v>
      </c>
      <c r="E24" s="285">
        <f t="shared" si="0"/>
        <v>198.74707857615221</v>
      </c>
      <c r="F24" s="295"/>
      <c r="G24" s="199" t="str">
        <f t="shared" si="1"/>
        <v/>
      </c>
      <c r="H24" s="287" t="str">
        <f t="shared" si="2"/>
        <v/>
      </c>
      <c r="I24" s="288"/>
    </row>
    <row r="25" spans="1:9">
      <c r="A25" s="283">
        <v>23</v>
      </c>
      <c r="B25" s="284">
        <v>44220</v>
      </c>
      <c r="C25" s="285">
        <v>347.06242700000001</v>
      </c>
      <c r="D25" s="286">
        <v>198.74707857615221</v>
      </c>
      <c r="E25" s="285">
        <f t="shared" si="0"/>
        <v>198.74707857615221</v>
      </c>
      <c r="F25" s="295"/>
      <c r="G25" s="199" t="str">
        <f t="shared" si="1"/>
        <v/>
      </c>
      <c r="H25" s="287" t="str">
        <f t="shared" si="2"/>
        <v/>
      </c>
      <c r="I25" s="288"/>
    </row>
    <row r="26" spans="1:9">
      <c r="A26" s="283">
        <v>24</v>
      </c>
      <c r="B26" s="284">
        <v>44221</v>
      </c>
      <c r="C26" s="285">
        <v>274.75030799999996</v>
      </c>
      <c r="D26" s="286">
        <v>198.74707857615221</v>
      </c>
      <c r="E26" s="285">
        <f t="shared" si="0"/>
        <v>198.74707857615221</v>
      </c>
      <c r="F26" s="295"/>
      <c r="G26" s="199" t="str">
        <f t="shared" si="1"/>
        <v/>
      </c>
      <c r="H26" s="287" t="str">
        <f t="shared" si="2"/>
        <v/>
      </c>
      <c r="I26" s="288"/>
    </row>
    <row r="27" spans="1:9">
      <c r="A27" s="283">
        <v>25</v>
      </c>
      <c r="B27" s="284">
        <v>44222</v>
      </c>
      <c r="C27" s="285">
        <v>151.71598999999998</v>
      </c>
      <c r="D27" s="286">
        <v>198.74707857615221</v>
      </c>
      <c r="E27" s="285">
        <f t="shared" si="0"/>
        <v>151.71598999999998</v>
      </c>
      <c r="F27" s="295"/>
      <c r="G27" s="199" t="str">
        <f t="shared" si="1"/>
        <v/>
      </c>
      <c r="H27" s="287" t="str">
        <f t="shared" si="2"/>
        <v/>
      </c>
      <c r="I27" s="288"/>
    </row>
    <row r="28" spans="1:9">
      <c r="A28" s="283">
        <v>26</v>
      </c>
      <c r="B28" s="284">
        <v>44223</v>
      </c>
      <c r="C28" s="285">
        <v>219.35983599999997</v>
      </c>
      <c r="D28" s="286">
        <v>198.74707857615221</v>
      </c>
      <c r="E28" s="285">
        <f t="shared" si="0"/>
        <v>198.74707857615221</v>
      </c>
      <c r="F28" s="295"/>
      <c r="G28" s="199" t="str">
        <f t="shared" si="1"/>
        <v/>
      </c>
      <c r="H28" s="287" t="str">
        <f t="shared" si="2"/>
        <v/>
      </c>
      <c r="I28" s="288"/>
    </row>
    <row r="29" spans="1:9">
      <c r="A29" s="283">
        <v>27</v>
      </c>
      <c r="B29" s="284">
        <v>44224</v>
      </c>
      <c r="C29" s="285">
        <v>231.328667</v>
      </c>
      <c r="D29" s="286">
        <v>198.74707857615221</v>
      </c>
      <c r="E29" s="285">
        <f t="shared" si="0"/>
        <v>198.74707857615221</v>
      </c>
      <c r="F29" s="295"/>
      <c r="G29" s="199" t="str">
        <f t="shared" si="1"/>
        <v/>
      </c>
      <c r="H29" s="287" t="str">
        <f t="shared" si="2"/>
        <v/>
      </c>
      <c r="I29" s="288"/>
    </row>
    <row r="30" spans="1:9">
      <c r="A30" s="283">
        <v>28</v>
      </c>
      <c r="B30" s="284">
        <v>44225</v>
      </c>
      <c r="C30" s="285">
        <v>257.01101800000004</v>
      </c>
      <c r="D30" s="286">
        <v>198.74707857615221</v>
      </c>
      <c r="E30" s="285">
        <f t="shared" si="0"/>
        <v>198.74707857615221</v>
      </c>
      <c r="F30" s="295"/>
      <c r="G30" s="199" t="str">
        <f t="shared" si="1"/>
        <v/>
      </c>
      <c r="H30" s="287" t="str">
        <f t="shared" si="2"/>
        <v/>
      </c>
      <c r="I30" s="288"/>
    </row>
    <row r="31" spans="1:9">
      <c r="A31" s="283">
        <v>29</v>
      </c>
      <c r="B31" s="284">
        <v>44226</v>
      </c>
      <c r="C31" s="285">
        <v>379.30464200000006</v>
      </c>
      <c r="D31" s="286">
        <v>198.74707857615221</v>
      </c>
      <c r="E31" s="285">
        <f t="shared" si="0"/>
        <v>198.74707857615221</v>
      </c>
      <c r="F31" s="295"/>
      <c r="G31" s="199" t="str">
        <f t="shared" si="1"/>
        <v/>
      </c>
      <c r="H31" s="287" t="str">
        <f t="shared" si="2"/>
        <v/>
      </c>
      <c r="I31" s="288"/>
    </row>
    <row r="32" spans="1:9">
      <c r="A32" s="283">
        <v>30</v>
      </c>
      <c r="B32" s="284">
        <v>44227</v>
      </c>
      <c r="C32" s="285">
        <v>317.81020699999999</v>
      </c>
      <c r="D32" s="286">
        <v>198.74707857615221</v>
      </c>
      <c r="E32" s="285">
        <f t="shared" si="0"/>
        <v>198.74707857615221</v>
      </c>
      <c r="F32" s="295"/>
      <c r="G32" s="199" t="str">
        <f t="shared" si="1"/>
        <v/>
      </c>
      <c r="H32" s="287" t="str">
        <f t="shared" si="2"/>
        <v/>
      </c>
      <c r="I32" s="288"/>
    </row>
    <row r="33" spans="1:9">
      <c r="A33" s="283">
        <v>31</v>
      </c>
      <c r="B33" s="284">
        <v>44228</v>
      </c>
      <c r="C33" s="285">
        <v>354.63171799999998</v>
      </c>
      <c r="D33" s="286">
        <v>212.35419522641482</v>
      </c>
      <c r="E33" s="285">
        <f t="shared" si="0"/>
        <v>212.35419522641482</v>
      </c>
      <c r="F33" s="288"/>
      <c r="G33" s="199" t="str">
        <f t="shared" si="1"/>
        <v/>
      </c>
      <c r="H33" s="287" t="str">
        <f t="shared" si="2"/>
        <v/>
      </c>
      <c r="I33" s="288"/>
    </row>
    <row r="34" spans="1:9">
      <c r="A34" s="283">
        <v>32</v>
      </c>
      <c r="B34" s="284">
        <v>44229</v>
      </c>
      <c r="C34" s="285">
        <v>298.34378700000002</v>
      </c>
      <c r="D34" s="286">
        <v>212.35419522641482</v>
      </c>
      <c r="E34" s="285">
        <f t="shared" si="0"/>
        <v>212.35419522641482</v>
      </c>
      <c r="F34" s="295"/>
      <c r="G34" s="199" t="str">
        <f t="shared" si="1"/>
        <v/>
      </c>
      <c r="H34" s="287" t="str">
        <f t="shared" si="2"/>
        <v/>
      </c>
      <c r="I34" s="288"/>
    </row>
    <row r="35" spans="1:9">
      <c r="A35" s="283">
        <v>33</v>
      </c>
      <c r="B35" s="284">
        <v>44230</v>
      </c>
      <c r="C35" s="285">
        <v>248.374437</v>
      </c>
      <c r="D35" s="286">
        <v>212.35419522641482</v>
      </c>
      <c r="E35" s="285">
        <f t="shared" si="0"/>
        <v>212.35419522641482</v>
      </c>
      <c r="F35" s="295"/>
      <c r="G35" s="199" t="str">
        <f t="shared" si="1"/>
        <v/>
      </c>
      <c r="H35" s="287" t="str">
        <f t="shared" si="2"/>
        <v/>
      </c>
      <c r="I35" s="288"/>
    </row>
    <row r="36" spans="1:9">
      <c r="A36" s="283">
        <v>34</v>
      </c>
      <c r="B36" s="284">
        <v>44231</v>
      </c>
      <c r="C36" s="285">
        <v>108.021727</v>
      </c>
      <c r="D36" s="286">
        <v>212.35419522641482</v>
      </c>
      <c r="E36" s="285">
        <f t="shared" si="0"/>
        <v>108.021727</v>
      </c>
      <c r="F36" s="295"/>
      <c r="G36" s="199" t="str">
        <f t="shared" si="1"/>
        <v/>
      </c>
      <c r="H36" s="287" t="str">
        <f t="shared" si="2"/>
        <v/>
      </c>
      <c r="I36" s="288"/>
    </row>
    <row r="37" spans="1:9">
      <c r="A37" s="283">
        <v>35</v>
      </c>
      <c r="B37" s="284">
        <v>44232</v>
      </c>
      <c r="C37" s="285">
        <v>168.37157099999999</v>
      </c>
      <c r="D37" s="286">
        <v>212.35419522641482</v>
      </c>
      <c r="E37" s="285">
        <f t="shared" si="0"/>
        <v>168.37157099999999</v>
      </c>
      <c r="F37" s="295"/>
      <c r="G37" s="199" t="str">
        <f t="shared" si="1"/>
        <v/>
      </c>
      <c r="H37" s="287" t="str">
        <f t="shared" si="2"/>
        <v/>
      </c>
      <c r="I37" s="288"/>
    </row>
    <row r="38" spans="1:9">
      <c r="A38" s="283">
        <v>36</v>
      </c>
      <c r="B38" s="284">
        <v>44233</v>
      </c>
      <c r="C38" s="285">
        <v>198.89263399999999</v>
      </c>
      <c r="D38" s="286">
        <v>212.35419522641482</v>
      </c>
      <c r="E38" s="285">
        <f t="shared" si="0"/>
        <v>198.89263399999999</v>
      </c>
      <c r="F38" s="295"/>
      <c r="G38" s="199" t="str">
        <f t="shared" si="1"/>
        <v/>
      </c>
      <c r="H38" s="287" t="str">
        <f t="shared" si="2"/>
        <v/>
      </c>
      <c r="I38" s="288"/>
    </row>
    <row r="39" spans="1:9">
      <c r="A39" s="283">
        <v>37</v>
      </c>
      <c r="B39" s="284">
        <v>44234</v>
      </c>
      <c r="C39" s="285">
        <v>260.92717099999999</v>
      </c>
      <c r="D39" s="286">
        <v>212.35419522641482</v>
      </c>
      <c r="E39" s="285">
        <f t="shared" si="0"/>
        <v>212.35419522641482</v>
      </c>
      <c r="F39" s="295"/>
      <c r="G39" s="199" t="str">
        <f t="shared" si="1"/>
        <v/>
      </c>
      <c r="H39" s="287" t="str">
        <f t="shared" si="2"/>
        <v/>
      </c>
      <c r="I39" s="288"/>
    </row>
    <row r="40" spans="1:9">
      <c r="A40" s="283">
        <v>38</v>
      </c>
      <c r="B40" s="284">
        <v>44235</v>
      </c>
      <c r="C40" s="285">
        <v>341.24499500000002</v>
      </c>
      <c r="D40" s="286">
        <v>212.35419522641482</v>
      </c>
      <c r="E40" s="285">
        <f t="shared" si="0"/>
        <v>212.35419522641482</v>
      </c>
      <c r="F40" s="295"/>
      <c r="G40" s="199" t="str">
        <f t="shared" si="1"/>
        <v/>
      </c>
      <c r="H40" s="287" t="str">
        <f t="shared" si="2"/>
        <v/>
      </c>
      <c r="I40" s="288"/>
    </row>
    <row r="41" spans="1:9">
      <c r="A41" s="283">
        <v>39</v>
      </c>
      <c r="B41" s="284">
        <v>44236</v>
      </c>
      <c r="C41" s="285">
        <v>335.932185</v>
      </c>
      <c r="D41" s="286">
        <v>212.35419522641482</v>
      </c>
      <c r="E41" s="285">
        <f t="shared" si="0"/>
        <v>212.35419522641482</v>
      </c>
      <c r="F41" s="295"/>
      <c r="G41" s="199" t="str">
        <f t="shared" si="1"/>
        <v/>
      </c>
      <c r="H41" s="287" t="str">
        <f t="shared" si="2"/>
        <v/>
      </c>
      <c r="I41" s="288"/>
    </row>
    <row r="42" spans="1:9">
      <c r="A42" s="283">
        <v>40</v>
      </c>
      <c r="B42" s="284">
        <v>44237</v>
      </c>
      <c r="C42" s="285">
        <v>286.09111700000005</v>
      </c>
      <c r="D42" s="286">
        <v>212.35419522641482</v>
      </c>
      <c r="E42" s="285">
        <f t="shared" si="0"/>
        <v>212.35419522641482</v>
      </c>
      <c r="F42" s="295"/>
      <c r="G42" s="199" t="str">
        <f t="shared" si="1"/>
        <v/>
      </c>
      <c r="H42" s="287" t="str">
        <f t="shared" si="2"/>
        <v/>
      </c>
      <c r="I42" s="288"/>
    </row>
    <row r="43" spans="1:9">
      <c r="A43" s="283">
        <v>41</v>
      </c>
      <c r="B43" s="284">
        <v>44238</v>
      </c>
      <c r="C43" s="285">
        <v>194.203328</v>
      </c>
      <c r="D43" s="286">
        <v>212.35419522641482</v>
      </c>
      <c r="E43" s="285">
        <f t="shared" si="0"/>
        <v>194.203328</v>
      </c>
      <c r="F43" s="295"/>
      <c r="G43" s="199" t="str">
        <f t="shared" si="1"/>
        <v/>
      </c>
      <c r="H43" s="287" t="str">
        <f t="shared" si="2"/>
        <v/>
      </c>
      <c r="I43" s="288"/>
    </row>
    <row r="44" spans="1:9">
      <c r="A44" s="283">
        <v>42</v>
      </c>
      <c r="B44" s="284">
        <v>44239</v>
      </c>
      <c r="C44" s="285">
        <v>270.14736699999997</v>
      </c>
      <c r="D44" s="286">
        <v>212.35419522641482</v>
      </c>
      <c r="E44" s="285">
        <f t="shared" si="0"/>
        <v>212.35419522641482</v>
      </c>
      <c r="F44" s="295"/>
      <c r="G44" s="199" t="str">
        <f t="shared" si="1"/>
        <v/>
      </c>
      <c r="H44" s="287" t="str">
        <f t="shared" si="2"/>
        <v/>
      </c>
      <c r="I44" s="288"/>
    </row>
    <row r="45" spans="1:9">
      <c r="A45" s="283">
        <v>43</v>
      </c>
      <c r="B45" s="284">
        <v>44240</v>
      </c>
      <c r="C45" s="285">
        <v>188.31830600000001</v>
      </c>
      <c r="D45" s="286">
        <v>212.35419522641482</v>
      </c>
      <c r="E45" s="285">
        <f t="shared" si="0"/>
        <v>188.31830600000001</v>
      </c>
      <c r="F45" s="295"/>
      <c r="G45" s="199" t="str">
        <f t="shared" si="1"/>
        <v/>
      </c>
      <c r="H45" s="287" t="str">
        <f t="shared" si="2"/>
        <v/>
      </c>
      <c r="I45" s="288"/>
    </row>
    <row r="46" spans="1:9">
      <c r="A46" s="283">
        <v>44</v>
      </c>
      <c r="B46" s="284">
        <v>44241</v>
      </c>
      <c r="C46" s="285">
        <v>166.18098000000001</v>
      </c>
      <c r="D46" s="286">
        <v>212.35419522641482</v>
      </c>
      <c r="E46" s="285">
        <f t="shared" si="0"/>
        <v>166.18098000000001</v>
      </c>
      <c r="F46" s="295"/>
      <c r="G46" s="199" t="str">
        <f t="shared" si="1"/>
        <v/>
      </c>
      <c r="H46" s="287" t="str">
        <f t="shared" si="2"/>
        <v/>
      </c>
      <c r="I46" s="288"/>
    </row>
    <row r="47" spans="1:9">
      <c r="A47" s="283">
        <v>45</v>
      </c>
      <c r="B47" s="284">
        <v>44242</v>
      </c>
      <c r="C47" s="285">
        <v>212.95360499999998</v>
      </c>
      <c r="D47" s="286">
        <v>212.35419522641482</v>
      </c>
      <c r="E47" s="285">
        <f t="shared" si="0"/>
        <v>212.35419522641482</v>
      </c>
      <c r="F47" s="295"/>
      <c r="G47" s="199" t="str">
        <f t="shared" si="1"/>
        <v>F</v>
      </c>
      <c r="H47" s="287" t="str">
        <f t="shared" si="2"/>
        <v>212,4</v>
      </c>
      <c r="I47" s="288"/>
    </row>
    <row r="48" spans="1:9">
      <c r="A48" s="283">
        <v>46</v>
      </c>
      <c r="B48" s="284">
        <v>44243</v>
      </c>
      <c r="C48" s="285">
        <v>193.89823699999999</v>
      </c>
      <c r="D48" s="286">
        <v>212.35419522641482</v>
      </c>
      <c r="E48" s="285">
        <f t="shared" si="0"/>
        <v>193.89823699999999</v>
      </c>
      <c r="F48" s="295"/>
      <c r="G48" s="199" t="str">
        <f t="shared" si="1"/>
        <v/>
      </c>
      <c r="H48" s="287" t="str">
        <f t="shared" si="2"/>
        <v/>
      </c>
      <c r="I48" s="288"/>
    </row>
    <row r="49" spans="1:9">
      <c r="A49" s="283">
        <v>47</v>
      </c>
      <c r="B49" s="284">
        <v>44244</v>
      </c>
      <c r="C49" s="285">
        <v>150.38876199999999</v>
      </c>
      <c r="D49" s="286">
        <v>212.35419522641482</v>
      </c>
      <c r="E49" s="285">
        <f t="shared" si="0"/>
        <v>150.38876199999999</v>
      </c>
      <c r="F49" s="295"/>
      <c r="G49" s="199" t="str">
        <f t="shared" si="1"/>
        <v/>
      </c>
      <c r="H49" s="287" t="str">
        <f t="shared" si="2"/>
        <v/>
      </c>
      <c r="I49" s="288"/>
    </row>
    <row r="50" spans="1:9">
      <c r="A50" s="283">
        <v>48</v>
      </c>
      <c r="B50" s="284">
        <v>44245</v>
      </c>
      <c r="C50" s="285">
        <v>206.499844</v>
      </c>
      <c r="D50" s="286">
        <v>212.35419522641482</v>
      </c>
      <c r="E50" s="285">
        <f t="shared" si="0"/>
        <v>206.499844</v>
      </c>
      <c r="F50" s="295"/>
      <c r="G50" s="199" t="str">
        <f t="shared" si="1"/>
        <v/>
      </c>
      <c r="H50" s="287" t="str">
        <f t="shared" si="2"/>
        <v/>
      </c>
      <c r="I50" s="288"/>
    </row>
    <row r="51" spans="1:9">
      <c r="A51" s="283">
        <v>49</v>
      </c>
      <c r="B51" s="284">
        <v>44246</v>
      </c>
      <c r="C51" s="285">
        <v>231.87332700000002</v>
      </c>
      <c r="D51" s="286">
        <v>212.35419522641482</v>
      </c>
      <c r="E51" s="285">
        <f t="shared" si="0"/>
        <v>212.35419522641482</v>
      </c>
      <c r="F51" s="295"/>
      <c r="G51" s="199" t="str">
        <f t="shared" si="1"/>
        <v/>
      </c>
      <c r="H51" s="287" t="str">
        <f t="shared" si="2"/>
        <v/>
      </c>
      <c r="I51" s="288"/>
    </row>
    <row r="52" spans="1:9">
      <c r="A52" s="283">
        <v>50</v>
      </c>
      <c r="B52" s="284">
        <v>44247</v>
      </c>
      <c r="C52" s="285">
        <v>278.98798900000003</v>
      </c>
      <c r="D52" s="286">
        <v>212.35419522641482</v>
      </c>
      <c r="E52" s="285">
        <f t="shared" si="0"/>
        <v>212.35419522641482</v>
      </c>
      <c r="F52" s="295"/>
      <c r="G52" s="199" t="str">
        <f t="shared" si="1"/>
        <v/>
      </c>
      <c r="H52" s="287" t="str">
        <f t="shared" si="2"/>
        <v/>
      </c>
      <c r="I52" s="288"/>
    </row>
    <row r="53" spans="1:9">
      <c r="A53" s="283">
        <v>51</v>
      </c>
      <c r="B53" s="284">
        <v>44248</v>
      </c>
      <c r="C53" s="285">
        <v>240.682941</v>
      </c>
      <c r="D53" s="286">
        <v>212.35419522641482</v>
      </c>
      <c r="E53" s="285">
        <f t="shared" si="0"/>
        <v>212.35419522641482</v>
      </c>
      <c r="F53" s="295"/>
      <c r="G53" s="199" t="str">
        <f t="shared" si="1"/>
        <v/>
      </c>
      <c r="H53" s="287" t="str">
        <f t="shared" si="2"/>
        <v/>
      </c>
      <c r="I53" s="288"/>
    </row>
    <row r="54" spans="1:9">
      <c r="A54" s="283">
        <v>52</v>
      </c>
      <c r="B54" s="284">
        <v>44249</v>
      </c>
      <c r="C54" s="285">
        <v>175.445042</v>
      </c>
      <c r="D54" s="286">
        <v>212.35419522641482</v>
      </c>
      <c r="E54" s="285">
        <f t="shared" si="0"/>
        <v>175.445042</v>
      </c>
      <c r="F54" s="295"/>
      <c r="G54" s="199" t="str">
        <f t="shared" si="1"/>
        <v/>
      </c>
      <c r="H54" s="287" t="str">
        <f t="shared" si="2"/>
        <v/>
      </c>
      <c r="I54" s="288"/>
    </row>
    <row r="55" spans="1:9">
      <c r="A55" s="283">
        <v>53</v>
      </c>
      <c r="B55" s="284">
        <v>44250</v>
      </c>
      <c r="C55" s="285">
        <v>163.82067800000002</v>
      </c>
      <c r="D55" s="286">
        <v>212.35419522641482</v>
      </c>
      <c r="E55" s="285">
        <f t="shared" si="0"/>
        <v>163.82067800000002</v>
      </c>
      <c r="F55" s="295"/>
      <c r="G55" s="199" t="str">
        <f t="shared" si="1"/>
        <v/>
      </c>
      <c r="H55" s="287" t="str">
        <f t="shared" si="2"/>
        <v/>
      </c>
      <c r="I55" s="288"/>
    </row>
    <row r="56" spans="1:9">
      <c r="A56" s="283">
        <v>54</v>
      </c>
      <c r="B56" s="284">
        <v>44251</v>
      </c>
      <c r="C56" s="285">
        <v>258.98517099999998</v>
      </c>
      <c r="D56" s="286">
        <v>212.35419522641482</v>
      </c>
      <c r="E56" s="285">
        <f t="shared" si="0"/>
        <v>212.35419522641482</v>
      </c>
      <c r="F56" s="295"/>
      <c r="G56" s="199" t="str">
        <f t="shared" si="1"/>
        <v/>
      </c>
      <c r="H56" s="287" t="str">
        <f t="shared" si="2"/>
        <v/>
      </c>
      <c r="I56" s="288"/>
    </row>
    <row r="57" spans="1:9">
      <c r="A57" s="283">
        <v>55</v>
      </c>
      <c r="B57" s="284">
        <v>44252</v>
      </c>
      <c r="C57" s="285">
        <v>138.19744</v>
      </c>
      <c r="D57" s="286">
        <v>212.35419522641482</v>
      </c>
      <c r="E57" s="285">
        <f t="shared" si="0"/>
        <v>138.19744</v>
      </c>
      <c r="F57" s="295"/>
      <c r="G57" s="199" t="str">
        <f t="shared" si="1"/>
        <v/>
      </c>
      <c r="H57" s="287" t="str">
        <f t="shared" si="2"/>
        <v/>
      </c>
      <c r="I57" s="288"/>
    </row>
    <row r="58" spans="1:9">
      <c r="A58" s="283">
        <v>56</v>
      </c>
      <c r="B58" s="284">
        <v>44253</v>
      </c>
      <c r="C58" s="285">
        <v>142.21107699999999</v>
      </c>
      <c r="D58" s="286">
        <v>212.35419522641482</v>
      </c>
      <c r="E58" s="285">
        <f t="shared" si="0"/>
        <v>142.21107699999999</v>
      </c>
      <c r="F58" s="295"/>
      <c r="G58" s="199" t="str">
        <f t="shared" si="1"/>
        <v/>
      </c>
      <c r="H58" s="287" t="str">
        <f t="shared" si="2"/>
        <v/>
      </c>
      <c r="I58" s="288"/>
    </row>
    <row r="59" spans="1:9">
      <c r="A59" s="283">
        <v>57</v>
      </c>
      <c r="B59" s="284">
        <v>44254</v>
      </c>
      <c r="C59" s="285">
        <v>208.045571</v>
      </c>
      <c r="D59" s="286">
        <v>212.35419522641482</v>
      </c>
      <c r="E59" s="285">
        <f t="shared" si="0"/>
        <v>208.045571</v>
      </c>
      <c r="F59" s="295"/>
      <c r="G59" s="199" t="str">
        <f t="shared" si="1"/>
        <v/>
      </c>
      <c r="H59" s="287" t="str">
        <f t="shared" si="2"/>
        <v/>
      </c>
      <c r="I59" s="288"/>
    </row>
    <row r="60" spans="1:9">
      <c r="A60" s="283">
        <v>58</v>
      </c>
      <c r="B60" s="284">
        <v>44255</v>
      </c>
      <c r="C60" s="285">
        <v>219.68024400000002</v>
      </c>
      <c r="D60" s="286">
        <v>212.35419522641482</v>
      </c>
      <c r="E60" s="285">
        <f t="shared" si="0"/>
        <v>212.35419522641482</v>
      </c>
      <c r="F60" s="295"/>
      <c r="G60" s="199" t="str">
        <f t="shared" si="1"/>
        <v/>
      </c>
      <c r="H60" s="287" t="str">
        <f t="shared" si="2"/>
        <v/>
      </c>
      <c r="I60" s="288"/>
    </row>
    <row r="61" spans="1:9">
      <c r="A61" s="283">
        <v>59</v>
      </c>
      <c r="B61" s="284">
        <v>44256</v>
      </c>
      <c r="C61" s="285">
        <v>217.03989300000001</v>
      </c>
      <c r="D61" s="286">
        <v>201.75844362998288</v>
      </c>
      <c r="E61" s="285">
        <f t="shared" si="0"/>
        <v>201.75844362998288</v>
      </c>
      <c r="F61" s="295"/>
      <c r="G61" s="199" t="str">
        <f t="shared" si="1"/>
        <v/>
      </c>
      <c r="H61" s="287" t="str">
        <f t="shared" si="2"/>
        <v/>
      </c>
      <c r="I61" s="288"/>
    </row>
    <row r="62" spans="1:9">
      <c r="A62" s="283">
        <v>60</v>
      </c>
      <c r="B62" s="284">
        <v>44257</v>
      </c>
      <c r="C62" s="285">
        <v>116.65366299999999</v>
      </c>
      <c r="D62" s="286">
        <v>201.75844362998288</v>
      </c>
      <c r="E62" s="285">
        <f t="shared" si="0"/>
        <v>116.65366299999999</v>
      </c>
      <c r="F62" s="295"/>
      <c r="G62" s="199" t="str">
        <f t="shared" si="1"/>
        <v/>
      </c>
      <c r="H62" s="287" t="str">
        <f t="shared" si="2"/>
        <v/>
      </c>
      <c r="I62" s="288"/>
    </row>
    <row r="63" spans="1:9">
      <c r="A63" s="283">
        <v>61</v>
      </c>
      <c r="B63" s="284">
        <v>44258</v>
      </c>
      <c r="C63" s="285">
        <v>59.233159000000001</v>
      </c>
      <c r="D63" s="286">
        <v>201.75844362998288</v>
      </c>
      <c r="E63" s="285">
        <f t="shared" si="0"/>
        <v>59.233159000000001</v>
      </c>
      <c r="F63" s="288"/>
      <c r="G63" s="199" t="str">
        <f t="shared" si="1"/>
        <v/>
      </c>
      <c r="H63" s="287" t="str">
        <f t="shared" si="2"/>
        <v/>
      </c>
      <c r="I63" s="288"/>
    </row>
    <row r="64" spans="1:9">
      <c r="A64" s="283">
        <v>62</v>
      </c>
      <c r="B64" s="284">
        <v>44259</v>
      </c>
      <c r="C64" s="285">
        <v>85.570998000000003</v>
      </c>
      <c r="D64" s="286">
        <v>201.75844362998288</v>
      </c>
      <c r="E64" s="285">
        <f t="shared" si="0"/>
        <v>85.570998000000003</v>
      </c>
      <c r="F64" s="295"/>
      <c r="G64" s="199" t="str">
        <f t="shared" si="1"/>
        <v/>
      </c>
      <c r="H64" s="287" t="str">
        <f t="shared" si="2"/>
        <v/>
      </c>
      <c r="I64" s="288"/>
    </row>
    <row r="65" spans="1:9">
      <c r="A65" s="283">
        <v>63</v>
      </c>
      <c r="B65" s="284">
        <v>44260</v>
      </c>
      <c r="C65" s="285">
        <v>146.74572899999998</v>
      </c>
      <c r="D65" s="286">
        <v>201.75844362998288</v>
      </c>
      <c r="E65" s="285">
        <f t="shared" si="0"/>
        <v>146.74572899999998</v>
      </c>
      <c r="F65" s="295"/>
      <c r="G65" s="199" t="str">
        <f t="shared" si="1"/>
        <v/>
      </c>
      <c r="H65" s="287" t="str">
        <f t="shared" si="2"/>
        <v/>
      </c>
      <c r="I65" s="288"/>
    </row>
    <row r="66" spans="1:9">
      <c r="A66" s="283">
        <v>64</v>
      </c>
      <c r="B66" s="284">
        <v>44261</v>
      </c>
      <c r="C66" s="285">
        <v>136.76976400000001</v>
      </c>
      <c r="D66" s="286">
        <v>201.75844362998288</v>
      </c>
      <c r="E66" s="285">
        <f t="shared" si="0"/>
        <v>136.76976400000001</v>
      </c>
      <c r="F66" s="295"/>
      <c r="G66" s="199" t="str">
        <f t="shared" si="1"/>
        <v/>
      </c>
      <c r="H66" s="287" t="str">
        <f t="shared" si="2"/>
        <v/>
      </c>
      <c r="I66" s="288"/>
    </row>
    <row r="67" spans="1:9">
      <c r="A67" s="283">
        <v>65</v>
      </c>
      <c r="B67" s="284">
        <v>44262</v>
      </c>
      <c r="C67" s="285">
        <v>69.506714000000002</v>
      </c>
      <c r="D67" s="286">
        <v>201.75844362998288</v>
      </c>
      <c r="E67" s="285">
        <f t="shared" ref="E67:E130" si="3">IF(C67&gt;D67,D67,C67)</f>
        <v>69.506714000000002</v>
      </c>
      <c r="F67" s="295"/>
      <c r="G67" s="199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87" t="str">
        <f t="shared" ref="H67:H130" si="5">IF(DAY($B67)=15,TEXT(D67,"#,0"),"")</f>
        <v/>
      </c>
      <c r="I67" s="288"/>
    </row>
    <row r="68" spans="1:9">
      <c r="A68" s="283">
        <v>66</v>
      </c>
      <c r="B68" s="284">
        <v>44263</v>
      </c>
      <c r="C68" s="285">
        <v>162.11311200000003</v>
      </c>
      <c r="D68" s="286">
        <v>201.75844362998288</v>
      </c>
      <c r="E68" s="285">
        <f t="shared" si="3"/>
        <v>162.11311200000003</v>
      </c>
      <c r="F68" s="295"/>
      <c r="G68" s="199" t="str">
        <f t="shared" si="4"/>
        <v/>
      </c>
      <c r="H68" s="287" t="str">
        <f t="shared" si="5"/>
        <v/>
      </c>
      <c r="I68" s="288"/>
    </row>
    <row r="69" spans="1:9">
      <c r="A69" s="283">
        <v>67</v>
      </c>
      <c r="B69" s="284">
        <v>44264</v>
      </c>
      <c r="C69" s="285">
        <v>139.32670400000001</v>
      </c>
      <c r="D69" s="286">
        <v>201.75844362998288</v>
      </c>
      <c r="E69" s="285">
        <f t="shared" si="3"/>
        <v>139.32670400000001</v>
      </c>
      <c r="F69" s="295"/>
      <c r="G69" s="199" t="str">
        <f t="shared" si="4"/>
        <v/>
      </c>
      <c r="H69" s="287" t="str">
        <f t="shared" si="5"/>
        <v/>
      </c>
      <c r="I69" s="288"/>
    </row>
    <row r="70" spans="1:9">
      <c r="A70" s="283">
        <v>68</v>
      </c>
      <c r="B70" s="284">
        <v>44265</v>
      </c>
      <c r="C70" s="285">
        <v>117.505933</v>
      </c>
      <c r="D70" s="286">
        <v>201.75844362998288</v>
      </c>
      <c r="E70" s="285">
        <f t="shared" si="3"/>
        <v>117.505933</v>
      </c>
      <c r="F70" s="295"/>
      <c r="G70" s="199" t="str">
        <f t="shared" si="4"/>
        <v/>
      </c>
      <c r="H70" s="287" t="str">
        <f t="shared" si="5"/>
        <v/>
      </c>
      <c r="I70" s="288"/>
    </row>
    <row r="71" spans="1:9">
      <c r="A71" s="283">
        <v>69</v>
      </c>
      <c r="B71" s="284">
        <v>44266</v>
      </c>
      <c r="C71" s="285">
        <v>214.55202099999997</v>
      </c>
      <c r="D71" s="286">
        <v>201.75844362998288</v>
      </c>
      <c r="E71" s="285">
        <f t="shared" si="3"/>
        <v>201.75844362998288</v>
      </c>
      <c r="F71" s="295"/>
      <c r="G71" s="199" t="str">
        <f t="shared" si="4"/>
        <v/>
      </c>
      <c r="H71" s="287" t="str">
        <f t="shared" si="5"/>
        <v/>
      </c>
      <c r="I71" s="288"/>
    </row>
    <row r="72" spans="1:9">
      <c r="A72" s="283">
        <v>70</v>
      </c>
      <c r="B72" s="284">
        <v>44267</v>
      </c>
      <c r="C72" s="285">
        <v>177.23169000000001</v>
      </c>
      <c r="D72" s="286">
        <v>201.75844362998288</v>
      </c>
      <c r="E72" s="285">
        <f t="shared" si="3"/>
        <v>177.23169000000001</v>
      </c>
      <c r="F72" s="295"/>
      <c r="G72" s="199" t="str">
        <f t="shared" si="4"/>
        <v/>
      </c>
      <c r="H72" s="287" t="str">
        <f t="shared" si="5"/>
        <v/>
      </c>
      <c r="I72" s="288"/>
    </row>
    <row r="73" spans="1:9">
      <c r="A73" s="283">
        <v>71</v>
      </c>
      <c r="B73" s="284">
        <v>44268</v>
      </c>
      <c r="C73" s="285">
        <v>142.902986</v>
      </c>
      <c r="D73" s="286">
        <v>201.75844362998288</v>
      </c>
      <c r="E73" s="285">
        <f t="shared" si="3"/>
        <v>142.902986</v>
      </c>
      <c r="F73" s="295"/>
      <c r="G73" s="199" t="str">
        <f t="shared" si="4"/>
        <v/>
      </c>
      <c r="H73" s="287" t="str">
        <f t="shared" si="5"/>
        <v/>
      </c>
      <c r="I73" s="288"/>
    </row>
    <row r="74" spans="1:9">
      <c r="A74" s="283">
        <v>72</v>
      </c>
      <c r="B74" s="284">
        <v>44269</v>
      </c>
      <c r="C74" s="285">
        <v>198.94388500000002</v>
      </c>
      <c r="D74" s="286">
        <v>201.75844362998288</v>
      </c>
      <c r="E74" s="285">
        <f t="shared" si="3"/>
        <v>198.94388500000002</v>
      </c>
      <c r="F74" s="295"/>
      <c r="G74" s="199" t="str">
        <f t="shared" si="4"/>
        <v/>
      </c>
      <c r="H74" s="287" t="str">
        <f t="shared" si="5"/>
        <v/>
      </c>
      <c r="I74" s="288"/>
    </row>
    <row r="75" spans="1:9">
      <c r="A75" s="283">
        <v>73</v>
      </c>
      <c r="B75" s="284">
        <v>44270</v>
      </c>
      <c r="C75" s="285">
        <v>229.69514800000002</v>
      </c>
      <c r="D75" s="286">
        <v>201.75844362998288</v>
      </c>
      <c r="E75" s="285">
        <f t="shared" si="3"/>
        <v>201.75844362998288</v>
      </c>
      <c r="F75" s="295"/>
      <c r="G75" s="199" t="str">
        <f t="shared" si="4"/>
        <v>M</v>
      </c>
      <c r="H75" s="287" t="str">
        <f t="shared" si="5"/>
        <v>201,8</v>
      </c>
      <c r="I75" s="288"/>
    </row>
    <row r="76" spans="1:9">
      <c r="A76" s="283">
        <v>74</v>
      </c>
      <c r="B76" s="284">
        <v>44271</v>
      </c>
      <c r="C76" s="285">
        <v>317.664782</v>
      </c>
      <c r="D76" s="286">
        <v>201.75844362998288</v>
      </c>
      <c r="E76" s="285">
        <f t="shared" si="3"/>
        <v>201.75844362998288</v>
      </c>
      <c r="F76" s="295"/>
      <c r="G76" s="199" t="str">
        <f t="shared" si="4"/>
        <v/>
      </c>
      <c r="H76" s="287" t="str">
        <f t="shared" si="5"/>
        <v/>
      </c>
      <c r="I76" s="288"/>
    </row>
    <row r="77" spans="1:9">
      <c r="A77" s="283">
        <v>75</v>
      </c>
      <c r="B77" s="284">
        <v>44272</v>
      </c>
      <c r="C77" s="285">
        <v>352.48069299999997</v>
      </c>
      <c r="D77" s="286">
        <v>201.75844362998288</v>
      </c>
      <c r="E77" s="285">
        <f t="shared" si="3"/>
        <v>201.75844362998288</v>
      </c>
      <c r="F77" s="295"/>
      <c r="G77" s="199" t="str">
        <f t="shared" si="4"/>
        <v/>
      </c>
      <c r="H77" s="287" t="str">
        <f t="shared" si="5"/>
        <v/>
      </c>
      <c r="I77" s="288"/>
    </row>
    <row r="78" spans="1:9">
      <c r="A78" s="283">
        <v>76</v>
      </c>
      <c r="B78" s="284">
        <v>44273</v>
      </c>
      <c r="C78" s="285">
        <v>308.766167</v>
      </c>
      <c r="D78" s="286">
        <v>201.75844362998288</v>
      </c>
      <c r="E78" s="285">
        <f t="shared" si="3"/>
        <v>201.75844362998288</v>
      </c>
      <c r="F78" s="295"/>
      <c r="G78" s="199" t="str">
        <f t="shared" si="4"/>
        <v/>
      </c>
      <c r="H78" s="287" t="str">
        <f t="shared" si="5"/>
        <v/>
      </c>
      <c r="I78" s="288"/>
    </row>
    <row r="79" spans="1:9">
      <c r="A79" s="283">
        <v>77</v>
      </c>
      <c r="B79" s="284">
        <v>44274</v>
      </c>
      <c r="C79" s="285">
        <v>306.92872500000004</v>
      </c>
      <c r="D79" s="286">
        <v>201.75844362998288</v>
      </c>
      <c r="E79" s="285">
        <f t="shared" si="3"/>
        <v>201.75844362998288</v>
      </c>
      <c r="F79" s="295"/>
      <c r="G79" s="199" t="str">
        <f t="shared" si="4"/>
        <v/>
      </c>
      <c r="H79" s="287" t="str">
        <f t="shared" si="5"/>
        <v/>
      </c>
      <c r="I79" s="288"/>
    </row>
    <row r="80" spans="1:9">
      <c r="A80" s="283">
        <v>78</v>
      </c>
      <c r="B80" s="284">
        <v>44275</v>
      </c>
      <c r="C80" s="285">
        <v>356.70293400000003</v>
      </c>
      <c r="D80" s="286">
        <v>201.75844362998288</v>
      </c>
      <c r="E80" s="285">
        <f t="shared" si="3"/>
        <v>201.75844362998288</v>
      </c>
      <c r="F80" s="295"/>
      <c r="G80" s="199" t="str">
        <f t="shared" si="4"/>
        <v/>
      </c>
      <c r="H80" s="287" t="str">
        <f t="shared" si="5"/>
        <v/>
      </c>
      <c r="I80" s="288"/>
    </row>
    <row r="81" spans="1:9">
      <c r="A81" s="283">
        <v>79</v>
      </c>
      <c r="B81" s="284">
        <v>44276</v>
      </c>
      <c r="C81" s="285">
        <v>299.76420299999995</v>
      </c>
      <c r="D81" s="286">
        <v>201.75844362998288</v>
      </c>
      <c r="E81" s="285">
        <f t="shared" si="3"/>
        <v>201.75844362998288</v>
      </c>
      <c r="F81" s="295"/>
      <c r="G81" s="199" t="str">
        <f t="shared" si="4"/>
        <v/>
      </c>
      <c r="H81" s="287" t="str">
        <f t="shared" si="5"/>
        <v/>
      </c>
      <c r="I81" s="288"/>
    </row>
    <row r="82" spans="1:9">
      <c r="A82" s="283">
        <v>80</v>
      </c>
      <c r="B82" s="284">
        <v>44277</v>
      </c>
      <c r="C82" s="285">
        <v>240.35423900000001</v>
      </c>
      <c r="D82" s="286">
        <v>201.75844362998288</v>
      </c>
      <c r="E82" s="285">
        <f t="shared" si="3"/>
        <v>201.75844362998288</v>
      </c>
      <c r="F82" s="295"/>
      <c r="G82" s="199" t="str">
        <f t="shared" si="4"/>
        <v/>
      </c>
      <c r="H82" s="287" t="str">
        <f t="shared" si="5"/>
        <v/>
      </c>
      <c r="I82" s="288"/>
    </row>
    <row r="83" spans="1:9">
      <c r="A83" s="283">
        <v>81</v>
      </c>
      <c r="B83" s="284">
        <v>44278</v>
      </c>
      <c r="C83" s="285">
        <v>68.061356000000004</v>
      </c>
      <c r="D83" s="286">
        <v>201.75844362998288</v>
      </c>
      <c r="E83" s="285">
        <f t="shared" si="3"/>
        <v>68.061356000000004</v>
      </c>
      <c r="F83" s="295"/>
      <c r="G83" s="199" t="str">
        <f t="shared" si="4"/>
        <v/>
      </c>
      <c r="H83" s="287" t="str">
        <f t="shared" si="5"/>
        <v/>
      </c>
      <c r="I83" s="288"/>
    </row>
    <row r="84" spans="1:9">
      <c r="A84" s="283">
        <v>82</v>
      </c>
      <c r="B84" s="284">
        <v>44279</v>
      </c>
      <c r="C84" s="285">
        <v>23.369688999999997</v>
      </c>
      <c r="D84" s="286">
        <v>201.75844362998288</v>
      </c>
      <c r="E84" s="285">
        <f t="shared" si="3"/>
        <v>23.369688999999997</v>
      </c>
      <c r="F84" s="295"/>
      <c r="G84" s="199" t="str">
        <f t="shared" si="4"/>
        <v/>
      </c>
      <c r="H84" s="287" t="str">
        <f t="shared" si="5"/>
        <v/>
      </c>
      <c r="I84" s="288"/>
    </row>
    <row r="85" spans="1:9">
      <c r="A85" s="283">
        <v>83</v>
      </c>
      <c r="B85" s="284">
        <v>44280</v>
      </c>
      <c r="C85" s="285">
        <v>46.521746999999998</v>
      </c>
      <c r="D85" s="286">
        <v>201.75844362998288</v>
      </c>
      <c r="E85" s="285">
        <f t="shared" si="3"/>
        <v>46.521746999999998</v>
      </c>
      <c r="F85" s="295"/>
      <c r="G85" s="199" t="str">
        <f t="shared" si="4"/>
        <v/>
      </c>
      <c r="H85" s="287" t="str">
        <f t="shared" si="5"/>
        <v/>
      </c>
      <c r="I85" s="288"/>
    </row>
    <row r="86" spans="1:9">
      <c r="A86" s="283">
        <v>84</v>
      </c>
      <c r="B86" s="284">
        <v>44281</v>
      </c>
      <c r="C86" s="285">
        <v>101.47027600000001</v>
      </c>
      <c r="D86" s="286">
        <v>201.75844362998288</v>
      </c>
      <c r="E86" s="285">
        <f t="shared" si="3"/>
        <v>101.47027600000001</v>
      </c>
      <c r="F86" s="295"/>
      <c r="G86" s="199" t="str">
        <f t="shared" si="4"/>
        <v/>
      </c>
      <c r="H86" s="287" t="str">
        <f t="shared" si="5"/>
        <v/>
      </c>
      <c r="I86" s="288"/>
    </row>
    <row r="87" spans="1:9">
      <c r="A87" s="283">
        <v>85</v>
      </c>
      <c r="B87" s="284">
        <v>44282</v>
      </c>
      <c r="C87" s="285">
        <v>138.59802299999998</v>
      </c>
      <c r="D87" s="286">
        <v>201.75844362998288</v>
      </c>
      <c r="E87" s="285">
        <f t="shared" si="3"/>
        <v>138.59802299999998</v>
      </c>
      <c r="F87" s="295"/>
      <c r="G87" s="199" t="str">
        <f t="shared" si="4"/>
        <v/>
      </c>
      <c r="H87" s="287" t="str">
        <f t="shared" si="5"/>
        <v/>
      </c>
      <c r="I87" s="288"/>
    </row>
    <row r="88" spans="1:9">
      <c r="A88" s="283">
        <v>86</v>
      </c>
      <c r="B88" s="284">
        <v>44283</v>
      </c>
      <c r="C88" s="285">
        <v>125.51275699999999</v>
      </c>
      <c r="D88" s="286">
        <v>201.75844362998288</v>
      </c>
      <c r="E88" s="285">
        <f t="shared" si="3"/>
        <v>125.51275699999999</v>
      </c>
      <c r="F88" s="295"/>
      <c r="G88" s="199" t="str">
        <f t="shared" si="4"/>
        <v/>
      </c>
      <c r="H88" s="287" t="str">
        <f t="shared" si="5"/>
        <v/>
      </c>
      <c r="I88" s="288"/>
    </row>
    <row r="89" spans="1:9">
      <c r="A89" s="283">
        <v>87</v>
      </c>
      <c r="B89" s="284">
        <v>44284</v>
      </c>
      <c r="C89" s="285">
        <v>224.63117300000002</v>
      </c>
      <c r="D89" s="286">
        <v>201.75844362998288</v>
      </c>
      <c r="E89" s="285">
        <f t="shared" si="3"/>
        <v>201.75844362998288</v>
      </c>
      <c r="F89" s="295"/>
      <c r="G89" s="199" t="str">
        <f t="shared" si="4"/>
        <v/>
      </c>
      <c r="H89" s="287" t="str">
        <f t="shared" si="5"/>
        <v/>
      </c>
      <c r="I89" s="288"/>
    </row>
    <row r="90" spans="1:9">
      <c r="A90" s="283">
        <v>88</v>
      </c>
      <c r="B90" s="284">
        <v>44285</v>
      </c>
      <c r="C90" s="285">
        <v>198.45922300000001</v>
      </c>
      <c r="D90" s="286">
        <v>201.75844362998288</v>
      </c>
      <c r="E90" s="285">
        <f t="shared" si="3"/>
        <v>198.45922300000001</v>
      </c>
      <c r="F90" s="295"/>
      <c r="G90" s="199" t="str">
        <f t="shared" si="4"/>
        <v/>
      </c>
      <c r="H90" s="287" t="str">
        <f t="shared" si="5"/>
        <v/>
      </c>
      <c r="I90" s="288"/>
    </row>
    <row r="91" spans="1:9">
      <c r="A91" s="283">
        <v>89</v>
      </c>
      <c r="B91" s="284">
        <v>44286</v>
      </c>
      <c r="C91" s="285">
        <v>205.817869</v>
      </c>
      <c r="D91" s="286">
        <v>201.75844362998288</v>
      </c>
      <c r="E91" s="285">
        <f t="shared" si="3"/>
        <v>201.75844362998288</v>
      </c>
      <c r="F91" s="295"/>
      <c r="G91" s="199" t="str">
        <f t="shared" si="4"/>
        <v/>
      </c>
      <c r="H91" s="287" t="str">
        <f t="shared" si="5"/>
        <v/>
      </c>
      <c r="I91" s="288"/>
    </row>
    <row r="92" spans="1:9">
      <c r="A92" s="283">
        <v>90</v>
      </c>
      <c r="B92" s="284">
        <v>44287</v>
      </c>
      <c r="C92" s="285">
        <v>182.23045999999999</v>
      </c>
      <c r="D92" s="286">
        <v>168.57246605046646</v>
      </c>
      <c r="E92" s="285">
        <f t="shared" si="3"/>
        <v>168.57246605046646</v>
      </c>
      <c r="F92" s="295"/>
      <c r="G92" s="199" t="str">
        <f t="shared" si="4"/>
        <v/>
      </c>
      <c r="H92" s="287" t="str">
        <f t="shared" si="5"/>
        <v/>
      </c>
      <c r="I92" s="288"/>
    </row>
    <row r="93" spans="1:9">
      <c r="A93" s="283">
        <v>91</v>
      </c>
      <c r="B93" s="284">
        <v>44288</v>
      </c>
      <c r="C93" s="285">
        <v>76.236854999999991</v>
      </c>
      <c r="D93" s="286">
        <v>168.57246605046646</v>
      </c>
      <c r="E93" s="285">
        <f t="shared" si="3"/>
        <v>76.236854999999991</v>
      </c>
      <c r="F93" s="295"/>
      <c r="G93" s="199" t="str">
        <f t="shared" si="4"/>
        <v/>
      </c>
      <c r="H93" s="287" t="str">
        <f t="shared" si="5"/>
        <v/>
      </c>
      <c r="I93" s="288"/>
    </row>
    <row r="94" spans="1:9">
      <c r="A94" s="283">
        <v>92</v>
      </c>
      <c r="B94" s="284">
        <v>44289</v>
      </c>
      <c r="C94" s="285">
        <v>225.27634700000002</v>
      </c>
      <c r="D94" s="286">
        <v>168.57246605046646</v>
      </c>
      <c r="E94" s="285">
        <f t="shared" si="3"/>
        <v>168.57246605046646</v>
      </c>
      <c r="F94" s="288"/>
      <c r="G94" s="199" t="str">
        <f t="shared" si="4"/>
        <v/>
      </c>
      <c r="H94" s="287" t="str">
        <f t="shared" si="5"/>
        <v/>
      </c>
      <c r="I94" s="288"/>
    </row>
    <row r="95" spans="1:9">
      <c r="A95" s="283">
        <v>93</v>
      </c>
      <c r="B95" s="284">
        <v>44290</v>
      </c>
      <c r="C95" s="285">
        <v>191.12976900000001</v>
      </c>
      <c r="D95" s="286">
        <v>168.57246605046646</v>
      </c>
      <c r="E95" s="285">
        <f t="shared" si="3"/>
        <v>168.57246605046646</v>
      </c>
      <c r="F95" s="295"/>
      <c r="G95" s="199" t="str">
        <f t="shared" si="4"/>
        <v/>
      </c>
      <c r="H95" s="287" t="str">
        <f t="shared" si="5"/>
        <v/>
      </c>
      <c r="I95" s="288"/>
    </row>
    <row r="96" spans="1:9">
      <c r="A96" s="283">
        <v>94</v>
      </c>
      <c r="B96" s="284">
        <v>44291</v>
      </c>
      <c r="C96" s="285">
        <v>111.212755</v>
      </c>
      <c r="D96" s="286">
        <v>168.57246605046646</v>
      </c>
      <c r="E96" s="285">
        <f t="shared" si="3"/>
        <v>111.212755</v>
      </c>
      <c r="F96" s="295"/>
      <c r="G96" s="199" t="str">
        <f t="shared" si="4"/>
        <v/>
      </c>
      <c r="H96" s="287" t="str">
        <f t="shared" si="5"/>
        <v/>
      </c>
      <c r="I96" s="288"/>
    </row>
    <row r="97" spans="1:9">
      <c r="A97" s="283">
        <v>95</v>
      </c>
      <c r="B97" s="284">
        <v>44292</v>
      </c>
      <c r="C97" s="285">
        <v>259.312275</v>
      </c>
      <c r="D97" s="286">
        <v>168.57246605046646</v>
      </c>
      <c r="E97" s="285">
        <f t="shared" si="3"/>
        <v>168.57246605046646</v>
      </c>
      <c r="F97" s="295"/>
      <c r="G97" s="199" t="str">
        <f t="shared" si="4"/>
        <v/>
      </c>
      <c r="H97" s="287" t="str">
        <f t="shared" si="5"/>
        <v/>
      </c>
      <c r="I97" s="288"/>
    </row>
    <row r="98" spans="1:9">
      <c r="A98" s="283">
        <v>96</v>
      </c>
      <c r="B98" s="284">
        <v>44293</v>
      </c>
      <c r="C98" s="285">
        <v>219.57142800000003</v>
      </c>
      <c r="D98" s="286">
        <v>168.57246605046646</v>
      </c>
      <c r="E98" s="285">
        <f t="shared" si="3"/>
        <v>168.57246605046646</v>
      </c>
      <c r="F98" s="295"/>
      <c r="G98" s="199" t="str">
        <f t="shared" si="4"/>
        <v/>
      </c>
      <c r="H98" s="287" t="str">
        <f t="shared" si="5"/>
        <v/>
      </c>
      <c r="I98" s="288"/>
    </row>
    <row r="99" spans="1:9">
      <c r="A99" s="283">
        <v>97</v>
      </c>
      <c r="B99" s="284">
        <v>44294</v>
      </c>
      <c r="C99" s="285">
        <v>143.10141399999998</v>
      </c>
      <c r="D99" s="286">
        <v>168.57246605046646</v>
      </c>
      <c r="E99" s="285">
        <f t="shared" si="3"/>
        <v>143.10141399999998</v>
      </c>
      <c r="F99" s="295"/>
      <c r="G99" s="199" t="str">
        <f t="shared" si="4"/>
        <v/>
      </c>
      <c r="H99" s="287" t="str">
        <f t="shared" si="5"/>
        <v/>
      </c>
      <c r="I99" s="288"/>
    </row>
    <row r="100" spans="1:9">
      <c r="A100" s="283">
        <v>98</v>
      </c>
      <c r="B100" s="284">
        <v>44295</v>
      </c>
      <c r="C100" s="285">
        <v>125.65358500000001</v>
      </c>
      <c r="D100" s="286">
        <v>168.57246605046646</v>
      </c>
      <c r="E100" s="285">
        <f t="shared" si="3"/>
        <v>125.65358500000001</v>
      </c>
      <c r="F100" s="295"/>
      <c r="G100" s="199" t="str">
        <f t="shared" si="4"/>
        <v/>
      </c>
      <c r="H100" s="287" t="str">
        <f t="shared" si="5"/>
        <v/>
      </c>
      <c r="I100" s="288"/>
    </row>
    <row r="101" spans="1:9">
      <c r="A101" s="283">
        <v>99</v>
      </c>
      <c r="B101" s="284">
        <v>44296</v>
      </c>
      <c r="C101" s="285">
        <v>84.318590999999998</v>
      </c>
      <c r="D101" s="286">
        <v>168.57246605046646</v>
      </c>
      <c r="E101" s="285">
        <f t="shared" si="3"/>
        <v>84.318590999999998</v>
      </c>
      <c r="F101" s="295"/>
      <c r="G101" s="199" t="str">
        <f t="shared" si="4"/>
        <v/>
      </c>
      <c r="H101" s="287" t="str">
        <f t="shared" si="5"/>
        <v/>
      </c>
      <c r="I101" s="288"/>
    </row>
    <row r="102" spans="1:9">
      <c r="A102" s="283">
        <v>100</v>
      </c>
      <c r="B102" s="284">
        <v>44297</v>
      </c>
      <c r="C102" s="285">
        <v>207.287848</v>
      </c>
      <c r="D102" s="286">
        <v>168.57246605046646</v>
      </c>
      <c r="E102" s="285">
        <f t="shared" si="3"/>
        <v>168.57246605046646</v>
      </c>
      <c r="F102" s="295"/>
      <c r="G102" s="199" t="str">
        <f t="shared" si="4"/>
        <v/>
      </c>
      <c r="H102" s="287" t="str">
        <f t="shared" si="5"/>
        <v/>
      </c>
      <c r="I102" s="288"/>
    </row>
    <row r="103" spans="1:9">
      <c r="A103" s="283">
        <v>101</v>
      </c>
      <c r="B103" s="284">
        <v>44298</v>
      </c>
      <c r="C103" s="285">
        <v>186.45323199999999</v>
      </c>
      <c r="D103" s="286">
        <v>168.57246605046646</v>
      </c>
      <c r="E103" s="285">
        <f t="shared" si="3"/>
        <v>168.57246605046646</v>
      </c>
      <c r="F103" s="295"/>
      <c r="G103" s="199" t="str">
        <f t="shared" si="4"/>
        <v/>
      </c>
      <c r="H103" s="287" t="str">
        <f t="shared" si="5"/>
        <v/>
      </c>
      <c r="I103" s="288"/>
    </row>
    <row r="104" spans="1:9">
      <c r="A104" s="283">
        <v>102</v>
      </c>
      <c r="B104" s="284">
        <v>44299</v>
      </c>
      <c r="C104" s="285">
        <v>78.330179000000001</v>
      </c>
      <c r="D104" s="286">
        <v>168.57246605046646</v>
      </c>
      <c r="E104" s="285">
        <f t="shared" si="3"/>
        <v>78.330179000000001</v>
      </c>
      <c r="F104" s="295"/>
      <c r="G104" s="199" t="str">
        <f t="shared" si="4"/>
        <v/>
      </c>
      <c r="H104" s="287" t="str">
        <f t="shared" si="5"/>
        <v/>
      </c>
      <c r="I104" s="288"/>
    </row>
    <row r="105" spans="1:9">
      <c r="A105" s="283">
        <v>103</v>
      </c>
      <c r="B105" s="284">
        <v>44300</v>
      </c>
      <c r="C105" s="285">
        <v>117.664731</v>
      </c>
      <c r="D105" s="286">
        <v>168.57246605046646</v>
      </c>
      <c r="E105" s="285">
        <f t="shared" si="3"/>
        <v>117.664731</v>
      </c>
      <c r="F105" s="295"/>
      <c r="G105" s="199" t="str">
        <f t="shared" si="4"/>
        <v/>
      </c>
      <c r="H105" s="287" t="str">
        <f t="shared" si="5"/>
        <v/>
      </c>
      <c r="I105" s="288"/>
    </row>
    <row r="106" spans="1:9">
      <c r="A106" s="283">
        <v>104</v>
      </c>
      <c r="B106" s="284">
        <v>44301</v>
      </c>
      <c r="C106" s="285">
        <v>192.73874000000001</v>
      </c>
      <c r="D106" s="286">
        <v>168.57246605046646</v>
      </c>
      <c r="E106" s="285">
        <f t="shared" si="3"/>
        <v>168.57246605046646</v>
      </c>
      <c r="F106" s="295"/>
      <c r="G106" s="199" t="str">
        <f t="shared" si="4"/>
        <v>A</v>
      </c>
      <c r="H106" s="287" t="str">
        <f t="shared" si="5"/>
        <v>168,6</v>
      </c>
      <c r="I106" s="288"/>
    </row>
    <row r="107" spans="1:9">
      <c r="A107" s="283">
        <v>105</v>
      </c>
      <c r="B107" s="284">
        <v>44302</v>
      </c>
      <c r="C107" s="285">
        <v>243.00871600000002</v>
      </c>
      <c r="D107" s="286">
        <v>168.57246605046646</v>
      </c>
      <c r="E107" s="285">
        <f t="shared" si="3"/>
        <v>168.57246605046646</v>
      </c>
      <c r="F107" s="295"/>
      <c r="G107" s="199" t="str">
        <f t="shared" si="4"/>
        <v/>
      </c>
      <c r="H107" s="287" t="str">
        <f t="shared" si="5"/>
        <v/>
      </c>
      <c r="I107" s="288"/>
    </row>
    <row r="108" spans="1:9">
      <c r="A108" s="283">
        <v>106</v>
      </c>
      <c r="B108" s="284">
        <v>44303</v>
      </c>
      <c r="C108" s="285">
        <v>227.67860700000003</v>
      </c>
      <c r="D108" s="286">
        <v>168.57246605046646</v>
      </c>
      <c r="E108" s="285">
        <f t="shared" si="3"/>
        <v>168.57246605046646</v>
      </c>
      <c r="F108" s="295"/>
      <c r="G108" s="199" t="str">
        <f t="shared" si="4"/>
        <v/>
      </c>
      <c r="H108" s="287" t="str">
        <f t="shared" si="5"/>
        <v/>
      </c>
      <c r="I108" s="288"/>
    </row>
    <row r="109" spans="1:9">
      <c r="A109" s="283">
        <v>107</v>
      </c>
      <c r="B109" s="284">
        <v>44304</v>
      </c>
      <c r="C109" s="285">
        <v>122.06965699999999</v>
      </c>
      <c r="D109" s="286">
        <v>168.57246605046646</v>
      </c>
      <c r="E109" s="285">
        <f t="shared" si="3"/>
        <v>122.06965699999999</v>
      </c>
      <c r="F109" s="295"/>
      <c r="G109" s="199" t="str">
        <f t="shared" si="4"/>
        <v/>
      </c>
      <c r="H109" s="287" t="str">
        <f t="shared" si="5"/>
        <v/>
      </c>
      <c r="I109" s="288"/>
    </row>
    <row r="110" spans="1:9">
      <c r="A110" s="283">
        <v>108</v>
      </c>
      <c r="B110" s="284">
        <v>44305</v>
      </c>
      <c r="C110" s="285">
        <v>63.650571999999997</v>
      </c>
      <c r="D110" s="286">
        <v>168.57246605046646</v>
      </c>
      <c r="E110" s="285">
        <f t="shared" si="3"/>
        <v>63.650571999999997</v>
      </c>
      <c r="F110" s="295"/>
      <c r="G110" s="199" t="str">
        <f t="shared" si="4"/>
        <v/>
      </c>
      <c r="H110" s="287" t="str">
        <f t="shared" si="5"/>
        <v/>
      </c>
      <c r="I110" s="288"/>
    </row>
    <row r="111" spans="1:9">
      <c r="A111" s="283">
        <v>109</v>
      </c>
      <c r="B111" s="284">
        <v>44306</v>
      </c>
      <c r="C111" s="285">
        <v>47.180656999999997</v>
      </c>
      <c r="D111" s="286">
        <v>168.57246605046646</v>
      </c>
      <c r="E111" s="285">
        <f t="shared" si="3"/>
        <v>47.180656999999997</v>
      </c>
      <c r="F111" s="295"/>
      <c r="G111" s="199" t="str">
        <f t="shared" si="4"/>
        <v/>
      </c>
      <c r="H111" s="287" t="str">
        <f t="shared" si="5"/>
        <v/>
      </c>
      <c r="I111" s="288"/>
    </row>
    <row r="112" spans="1:9">
      <c r="A112" s="283">
        <v>110</v>
      </c>
      <c r="B112" s="284">
        <v>44307</v>
      </c>
      <c r="C112" s="285">
        <v>40.098292000000001</v>
      </c>
      <c r="D112" s="286">
        <v>168.57246605046646</v>
      </c>
      <c r="E112" s="285">
        <f t="shared" si="3"/>
        <v>40.098292000000001</v>
      </c>
      <c r="F112" s="295"/>
      <c r="G112" s="199" t="str">
        <f t="shared" si="4"/>
        <v/>
      </c>
      <c r="H112" s="287" t="str">
        <f t="shared" si="5"/>
        <v/>
      </c>
      <c r="I112" s="288"/>
    </row>
    <row r="113" spans="1:9">
      <c r="A113" s="283">
        <v>111</v>
      </c>
      <c r="B113" s="284">
        <v>44308</v>
      </c>
      <c r="C113" s="285">
        <v>63.853379999999994</v>
      </c>
      <c r="D113" s="286">
        <v>168.57246605046646</v>
      </c>
      <c r="E113" s="285">
        <f t="shared" si="3"/>
        <v>63.853379999999994</v>
      </c>
      <c r="F113" s="295"/>
      <c r="G113" s="199" t="str">
        <f t="shared" si="4"/>
        <v/>
      </c>
      <c r="H113" s="287" t="str">
        <f t="shared" si="5"/>
        <v/>
      </c>
      <c r="I113" s="288"/>
    </row>
    <row r="114" spans="1:9">
      <c r="A114" s="283">
        <v>112</v>
      </c>
      <c r="B114" s="284">
        <v>44309</v>
      </c>
      <c r="C114" s="285">
        <v>189.36308600000001</v>
      </c>
      <c r="D114" s="286">
        <v>168.57246605046646</v>
      </c>
      <c r="E114" s="285">
        <f t="shared" si="3"/>
        <v>168.57246605046646</v>
      </c>
      <c r="F114" s="295"/>
      <c r="G114" s="199" t="str">
        <f t="shared" si="4"/>
        <v/>
      </c>
      <c r="H114" s="287" t="str">
        <f t="shared" si="5"/>
        <v/>
      </c>
      <c r="I114" s="288"/>
    </row>
    <row r="115" spans="1:9">
      <c r="A115" s="283">
        <v>113</v>
      </c>
      <c r="B115" s="284">
        <v>44310</v>
      </c>
      <c r="C115" s="285">
        <v>221.39314300000001</v>
      </c>
      <c r="D115" s="286">
        <v>168.57246605046646</v>
      </c>
      <c r="E115" s="285">
        <f t="shared" si="3"/>
        <v>168.57246605046646</v>
      </c>
      <c r="F115" s="295"/>
      <c r="G115" s="199" t="str">
        <f t="shared" si="4"/>
        <v/>
      </c>
      <c r="H115" s="287" t="str">
        <f t="shared" si="5"/>
        <v/>
      </c>
      <c r="I115" s="288"/>
    </row>
    <row r="116" spans="1:9">
      <c r="A116" s="283">
        <v>114</v>
      </c>
      <c r="B116" s="284">
        <v>44311</v>
      </c>
      <c r="C116" s="285">
        <v>138.57859400000001</v>
      </c>
      <c r="D116" s="286">
        <v>168.57246605046646</v>
      </c>
      <c r="E116" s="285">
        <f t="shared" si="3"/>
        <v>138.57859400000001</v>
      </c>
      <c r="F116" s="295"/>
      <c r="G116" s="199" t="str">
        <f t="shared" si="4"/>
        <v/>
      </c>
      <c r="H116" s="287" t="str">
        <f t="shared" si="5"/>
        <v/>
      </c>
      <c r="I116" s="288"/>
    </row>
    <row r="117" spans="1:9">
      <c r="A117" s="283">
        <v>115</v>
      </c>
      <c r="B117" s="284">
        <v>44312</v>
      </c>
      <c r="C117" s="285">
        <v>52.446192000000003</v>
      </c>
      <c r="D117" s="286">
        <v>168.57246605046646</v>
      </c>
      <c r="E117" s="285">
        <f t="shared" si="3"/>
        <v>52.446192000000003</v>
      </c>
      <c r="F117" s="295"/>
      <c r="G117" s="199" t="str">
        <f t="shared" si="4"/>
        <v/>
      </c>
      <c r="H117" s="287" t="str">
        <f t="shared" si="5"/>
        <v/>
      </c>
      <c r="I117" s="288"/>
    </row>
    <row r="118" spans="1:9">
      <c r="A118" s="283">
        <v>116</v>
      </c>
      <c r="B118" s="284">
        <v>44313</v>
      </c>
      <c r="C118" s="285">
        <v>55.059716999999999</v>
      </c>
      <c r="D118" s="286">
        <v>168.57246605046646</v>
      </c>
      <c r="E118" s="285">
        <f t="shared" si="3"/>
        <v>55.059716999999999</v>
      </c>
      <c r="F118" s="295"/>
      <c r="G118" s="199" t="str">
        <f t="shared" si="4"/>
        <v/>
      </c>
      <c r="H118" s="287" t="str">
        <f t="shared" si="5"/>
        <v/>
      </c>
      <c r="I118" s="288"/>
    </row>
    <row r="119" spans="1:9">
      <c r="A119" s="283">
        <v>117</v>
      </c>
      <c r="B119" s="284">
        <v>44314</v>
      </c>
      <c r="C119" s="285">
        <v>64.012263000000004</v>
      </c>
      <c r="D119" s="286">
        <v>168.57246605046646</v>
      </c>
      <c r="E119" s="285">
        <f t="shared" si="3"/>
        <v>64.012263000000004</v>
      </c>
      <c r="F119" s="295"/>
      <c r="G119" s="199" t="str">
        <f t="shared" si="4"/>
        <v/>
      </c>
      <c r="H119" s="287" t="str">
        <f t="shared" si="5"/>
        <v/>
      </c>
      <c r="I119" s="288"/>
    </row>
    <row r="120" spans="1:9">
      <c r="A120" s="283">
        <v>118</v>
      </c>
      <c r="B120" s="284">
        <v>44315</v>
      </c>
      <c r="C120" s="285">
        <v>87.662492</v>
      </c>
      <c r="D120" s="286">
        <v>168.57246605046646</v>
      </c>
      <c r="E120" s="285">
        <f t="shared" si="3"/>
        <v>87.662492</v>
      </c>
      <c r="F120" s="295"/>
      <c r="G120" s="199" t="str">
        <f t="shared" si="4"/>
        <v/>
      </c>
      <c r="H120" s="287" t="str">
        <f t="shared" si="5"/>
        <v/>
      </c>
      <c r="I120" s="288"/>
    </row>
    <row r="121" spans="1:9">
      <c r="A121" s="283">
        <v>119</v>
      </c>
      <c r="B121" s="284">
        <v>44316</v>
      </c>
      <c r="C121" s="285">
        <v>73.165069000000003</v>
      </c>
      <c r="D121" s="286">
        <v>168.57246605046646</v>
      </c>
      <c r="E121" s="285">
        <f t="shared" si="3"/>
        <v>73.165069000000003</v>
      </c>
      <c r="F121" s="295"/>
      <c r="G121" s="199" t="str">
        <f t="shared" si="4"/>
        <v/>
      </c>
      <c r="H121" s="287" t="str">
        <f t="shared" si="5"/>
        <v/>
      </c>
      <c r="I121" s="288"/>
    </row>
    <row r="122" spans="1:9">
      <c r="A122" s="283">
        <v>120</v>
      </c>
      <c r="B122" s="284">
        <v>44317</v>
      </c>
      <c r="C122" s="285">
        <v>168.07542999999998</v>
      </c>
      <c r="D122" s="286">
        <v>148.21549125060824</v>
      </c>
      <c r="E122" s="285">
        <f t="shared" si="3"/>
        <v>148.21549125060824</v>
      </c>
      <c r="F122" s="295"/>
      <c r="G122" s="199" t="str">
        <f t="shared" si="4"/>
        <v/>
      </c>
      <c r="H122" s="287" t="str">
        <f t="shared" si="5"/>
        <v/>
      </c>
      <c r="I122" s="288"/>
    </row>
    <row r="123" spans="1:9">
      <c r="A123" s="283">
        <v>121</v>
      </c>
      <c r="B123" s="284">
        <v>44318</v>
      </c>
      <c r="C123" s="285">
        <v>90.772222999999997</v>
      </c>
      <c r="D123" s="286">
        <v>148.21549125060824</v>
      </c>
      <c r="E123" s="285">
        <f t="shared" si="3"/>
        <v>90.772222999999997</v>
      </c>
      <c r="F123" s="295"/>
      <c r="G123" s="199" t="str">
        <f t="shared" si="4"/>
        <v/>
      </c>
      <c r="H123" s="287" t="str">
        <f t="shared" si="5"/>
        <v/>
      </c>
      <c r="I123" s="288"/>
    </row>
    <row r="124" spans="1:9">
      <c r="A124" s="283">
        <v>122</v>
      </c>
      <c r="B124" s="284">
        <v>44319</v>
      </c>
      <c r="C124" s="285">
        <v>108.662935</v>
      </c>
      <c r="D124" s="286">
        <v>148.21549125060824</v>
      </c>
      <c r="E124" s="285">
        <f t="shared" si="3"/>
        <v>108.662935</v>
      </c>
      <c r="F124" s="295"/>
      <c r="G124" s="199" t="str">
        <f t="shared" si="4"/>
        <v/>
      </c>
      <c r="H124" s="287" t="str">
        <f t="shared" si="5"/>
        <v/>
      </c>
      <c r="I124" s="288"/>
    </row>
    <row r="125" spans="1:9">
      <c r="A125" s="283">
        <v>123</v>
      </c>
      <c r="B125" s="284">
        <v>44320</v>
      </c>
      <c r="C125" s="285">
        <v>61.359756999999995</v>
      </c>
      <c r="D125" s="286">
        <v>148.21549125060824</v>
      </c>
      <c r="E125" s="285">
        <f t="shared" si="3"/>
        <v>61.359756999999995</v>
      </c>
      <c r="F125" s="295"/>
      <c r="G125" s="199" t="str">
        <f t="shared" si="4"/>
        <v/>
      </c>
      <c r="H125" s="287" t="str">
        <f t="shared" si="5"/>
        <v/>
      </c>
      <c r="I125" s="288"/>
    </row>
    <row r="126" spans="1:9">
      <c r="A126" s="283">
        <v>124</v>
      </c>
      <c r="B126" s="284">
        <v>44321</v>
      </c>
      <c r="C126" s="285">
        <v>77.207909000000001</v>
      </c>
      <c r="D126" s="286">
        <v>148.21549125060824</v>
      </c>
      <c r="E126" s="285">
        <f t="shared" si="3"/>
        <v>77.207909000000001</v>
      </c>
      <c r="F126" s="295"/>
      <c r="G126" s="199" t="str">
        <f t="shared" si="4"/>
        <v/>
      </c>
      <c r="H126" s="287" t="str">
        <f t="shared" si="5"/>
        <v/>
      </c>
      <c r="I126" s="288"/>
    </row>
    <row r="127" spans="1:9">
      <c r="A127" s="283">
        <v>125</v>
      </c>
      <c r="B127" s="284">
        <v>44322</v>
      </c>
      <c r="C127" s="285">
        <v>120.717904</v>
      </c>
      <c r="D127" s="286">
        <v>148.21549125060824</v>
      </c>
      <c r="E127" s="285">
        <f t="shared" si="3"/>
        <v>120.717904</v>
      </c>
      <c r="F127" s="295"/>
      <c r="G127" s="199" t="str">
        <f t="shared" si="4"/>
        <v/>
      </c>
      <c r="H127" s="287" t="str">
        <f t="shared" si="5"/>
        <v/>
      </c>
      <c r="I127" s="288"/>
    </row>
    <row r="128" spans="1:9">
      <c r="A128" s="283">
        <v>126</v>
      </c>
      <c r="B128" s="284">
        <v>44323</v>
      </c>
      <c r="C128" s="285">
        <v>91.632914</v>
      </c>
      <c r="D128" s="286">
        <v>148.21549125060824</v>
      </c>
      <c r="E128" s="285">
        <f t="shared" si="3"/>
        <v>91.632914</v>
      </c>
      <c r="F128" s="295"/>
      <c r="G128" s="199" t="str">
        <f t="shared" si="4"/>
        <v/>
      </c>
      <c r="H128" s="287" t="str">
        <f t="shared" si="5"/>
        <v/>
      </c>
      <c r="I128" s="288"/>
    </row>
    <row r="129" spans="1:9">
      <c r="A129" s="283">
        <v>127</v>
      </c>
      <c r="B129" s="284">
        <v>44324</v>
      </c>
      <c r="C129" s="285">
        <v>192.913725</v>
      </c>
      <c r="D129" s="286">
        <v>148.21549125060824</v>
      </c>
      <c r="E129" s="285">
        <f t="shared" si="3"/>
        <v>148.21549125060824</v>
      </c>
      <c r="F129" s="295"/>
      <c r="G129" s="199" t="str">
        <f t="shared" si="4"/>
        <v/>
      </c>
      <c r="H129" s="287" t="str">
        <f t="shared" si="5"/>
        <v/>
      </c>
      <c r="I129" s="288"/>
    </row>
    <row r="130" spans="1:9">
      <c r="A130" s="283">
        <v>128</v>
      </c>
      <c r="B130" s="284">
        <v>44325</v>
      </c>
      <c r="C130" s="285">
        <v>250.586984</v>
      </c>
      <c r="D130" s="286">
        <v>148.21549125060824</v>
      </c>
      <c r="E130" s="285">
        <f t="shared" si="3"/>
        <v>148.21549125060824</v>
      </c>
      <c r="F130" s="295"/>
      <c r="G130" s="199" t="str">
        <f t="shared" si="4"/>
        <v/>
      </c>
      <c r="H130" s="287" t="str">
        <f t="shared" si="5"/>
        <v/>
      </c>
      <c r="I130" s="288"/>
    </row>
    <row r="131" spans="1:9">
      <c r="A131" s="283">
        <v>129</v>
      </c>
      <c r="B131" s="284">
        <v>44326</v>
      </c>
      <c r="C131" s="285">
        <v>183.57865900000002</v>
      </c>
      <c r="D131" s="286">
        <v>148.21549125060824</v>
      </c>
      <c r="E131" s="285">
        <f t="shared" ref="E131:E194" si="6">IF(C131&gt;D131,D131,C131)</f>
        <v>148.21549125060824</v>
      </c>
      <c r="F131" s="295"/>
      <c r="G131" s="199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87" t="str">
        <f t="shared" ref="H131:H194" si="8">IF(DAY($B131)=15,TEXT(D131,"#,0"),"")</f>
        <v/>
      </c>
      <c r="I131" s="288"/>
    </row>
    <row r="132" spans="1:9">
      <c r="A132" s="283">
        <v>130</v>
      </c>
      <c r="B132" s="284">
        <v>44327</v>
      </c>
      <c r="C132" s="285">
        <v>278.169061</v>
      </c>
      <c r="D132" s="286">
        <v>148.21549125060824</v>
      </c>
      <c r="E132" s="285">
        <f t="shared" si="6"/>
        <v>148.21549125060824</v>
      </c>
      <c r="F132" s="295"/>
      <c r="G132" s="199" t="str">
        <f t="shared" si="7"/>
        <v/>
      </c>
      <c r="H132" s="287" t="str">
        <f t="shared" si="8"/>
        <v/>
      </c>
      <c r="I132" s="288"/>
    </row>
    <row r="133" spans="1:9">
      <c r="A133" s="283">
        <v>131</v>
      </c>
      <c r="B133" s="284">
        <v>44328</v>
      </c>
      <c r="C133" s="285">
        <v>291.86210899999998</v>
      </c>
      <c r="D133" s="286">
        <v>148.21549125060824</v>
      </c>
      <c r="E133" s="285">
        <f t="shared" si="6"/>
        <v>148.21549125060824</v>
      </c>
      <c r="F133" s="295"/>
      <c r="G133" s="199" t="str">
        <f t="shared" si="7"/>
        <v/>
      </c>
      <c r="H133" s="287" t="str">
        <f t="shared" si="8"/>
        <v/>
      </c>
      <c r="I133" s="288"/>
    </row>
    <row r="134" spans="1:9">
      <c r="A134" s="283">
        <v>132</v>
      </c>
      <c r="B134" s="284">
        <v>44329</v>
      </c>
      <c r="C134" s="285">
        <v>229.81404599999999</v>
      </c>
      <c r="D134" s="286">
        <v>148.21549125060824</v>
      </c>
      <c r="E134" s="285">
        <f t="shared" si="6"/>
        <v>148.21549125060824</v>
      </c>
      <c r="F134" s="295"/>
      <c r="G134" s="199" t="str">
        <f t="shared" si="7"/>
        <v/>
      </c>
      <c r="H134" s="287" t="str">
        <f t="shared" si="8"/>
        <v/>
      </c>
      <c r="I134" s="288"/>
    </row>
    <row r="135" spans="1:9">
      <c r="A135" s="283">
        <v>133</v>
      </c>
      <c r="B135" s="284">
        <v>44330</v>
      </c>
      <c r="C135" s="285">
        <v>204.91981099999998</v>
      </c>
      <c r="D135" s="286">
        <v>148.21549125060824</v>
      </c>
      <c r="E135" s="285">
        <f t="shared" si="6"/>
        <v>148.21549125060824</v>
      </c>
      <c r="F135" s="295"/>
      <c r="G135" s="199" t="str">
        <f t="shared" si="7"/>
        <v/>
      </c>
      <c r="H135" s="287" t="str">
        <f t="shared" si="8"/>
        <v/>
      </c>
      <c r="I135" s="288"/>
    </row>
    <row r="136" spans="1:9">
      <c r="A136" s="283">
        <v>134</v>
      </c>
      <c r="B136" s="284">
        <v>44331</v>
      </c>
      <c r="C136" s="285">
        <v>269.403255</v>
      </c>
      <c r="D136" s="286">
        <v>148.21549125060824</v>
      </c>
      <c r="E136" s="285">
        <f t="shared" si="6"/>
        <v>148.21549125060824</v>
      </c>
      <c r="F136" s="295"/>
      <c r="G136" s="199" t="str">
        <f t="shared" si="7"/>
        <v>M</v>
      </c>
      <c r="H136" s="287" t="str">
        <f t="shared" si="8"/>
        <v>148,2</v>
      </c>
      <c r="I136" s="288"/>
    </row>
    <row r="137" spans="1:9">
      <c r="A137" s="283">
        <v>135</v>
      </c>
      <c r="B137" s="284">
        <v>44332</v>
      </c>
      <c r="C137" s="285">
        <v>292.65579599999995</v>
      </c>
      <c r="D137" s="286">
        <v>148.21549125060824</v>
      </c>
      <c r="E137" s="285">
        <f t="shared" si="6"/>
        <v>148.21549125060824</v>
      </c>
      <c r="F137" s="295"/>
      <c r="G137" s="199" t="str">
        <f t="shared" si="7"/>
        <v/>
      </c>
      <c r="H137" s="287" t="str">
        <f t="shared" si="8"/>
        <v/>
      </c>
      <c r="I137" s="288"/>
    </row>
    <row r="138" spans="1:9">
      <c r="A138" s="283">
        <v>136</v>
      </c>
      <c r="B138" s="284">
        <v>44333</v>
      </c>
      <c r="C138" s="285">
        <v>106.187793</v>
      </c>
      <c r="D138" s="286">
        <v>148.21549125060824</v>
      </c>
      <c r="E138" s="285">
        <f t="shared" si="6"/>
        <v>106.187793</v>
      </c>
      <c r="F138" s="295"/>
      <c r="G138" s="199" t="str">
        <f t="shared" si="7"/>
        <v/>
      </c>
      <c r="H138" s="287" t="str">
        <f t="shared" si="8"/>
        <v/>
      </c>
      <c r="I138" s="288"/>
    </row>
    <row r="139" spans="1:9">
      <c r="A139" s="283">
        <v>137</v>
      </c>
      <c r="B139" s="284">
        <v>44334</v>
      </c>
      <c r="C139" s="285">
        <v>186.68162099999998</v>
      </c>
      <c r="D139" s="286">
        <v>148.21549125060824</v>
      </c>
      <c r="E139" s="285">
        <f t="shared" si="6"/>
        <v>148.21549125060824</v>
      </c>
      <c r="F139" s="295"/>
      <c r="G139" s="199" t="str">
        <f t="shared" si="7"/>
        <v/>
      </c>
      <c r="H139" s="287" t="str">
        <f t="shared" si="8"/>
        <v/>
      </c>
      <c r="I139" s="288"/>
    </row>
    <row r="140" spans="1:9">
      <c r="A140" s="283">
        <v>138</v>
      </c>
      <c r="B140" s="284">
        <v>44335</v>
      </c>
      <c r="C140" s="285">
        <v>149.783219</v>
      </c>
      <c r="D140" s="286">
        <v>148.21549125060824</v>
      </c>
      <c r="E140" s="285">
        <f t="shared" si="6"/>
        <v>148.21549125060824</v>
      </c>
      <c r="F140" s="295"/>
      <c r="G140" s="199" t="str">
        <f t="shared" si="7"/>
        <v/>
      </c>
      <c r="H140" s="287" t="str">
        <f t="shared" si="8"/>
        <v/>
      </c>
      <c r="I140" s="288"/>
    </row>
    <row r="141" spans="1:9">
      <c r="A141" s="283">
        <v>139</v>
      </c>
      <c r="B141" s="284">
        <v>44336</v>
      </c>
      <c r="C141" s="285">
        <v>87.604952000000011</v>
      </c>
      <c r="D141" s="286">
        <v>148.21549125060824</v>
      </c>
      <c r="E141" s="285">
        <f t="shared" si="6"/>
        <v>87.604952000000011</v>
      </c>
      <c r="F141" s="295"/>
      <c r="G141" s="199" t="str">
        <f t="shared" si="7"/>
        <v/>
      </c>
      <c r="H141" s="287" t="str">
        <f t="shared" si="8"/>
        <v/>
      </c>
      <c r="I141" s="288"/>
    </row>
    <row r="142" spans="1:9">
      <c r="A142" s="283">
        <v>140</v>
      </c>
      <c r="B142" s="284">
        <v>44337</v>
      </c>
      <c r="C142" s="285">
        <v>147.67504</v>
      </c>
      <c r="D142" s="286">
        <v>148.21549125060824</v>
      </c>
      <c r="E142" s="285">
        <f t="shared" si="6"/>
        <v>147.67504</v>
      </c>
      <c r="F142" s="295"/>
      <c r="G142" s="199" t="str">
        <f t="shared" si="7"/>
        <v/>
      </c>
      <c r="H142" s="287" t="str">
        <f t="shared" si="8"/>
        <v/>
      </c>
      <c r="I142" s="288"/>
    </row>
    <row r="143" spans="1:9">
      <c r="A143" s="283">
        <v>141</v>
      </c>
      <c r="B143" s="284">
        <v>44338</v>
      </c>
      <c r="C143" s="285">
        <v>119.544276</v>
      </c>
      <c r="D143" s="286">
        <v>148.21549125060824</v>
      </c>
      <c r="E143" s="285">
        <f t="shared" si="6"/>
        <v>119.544276</v>
      </c>
      <c r="F143" s="295"/>
      <c r="G143" s="199" t="str">
        <f t="shared" si="7"/>
        <v/>
      </c>
      <c r="H143" s="287" t="str">
        <f t="shared" si="8"/>
        <v/>
      </c>
      <c r="I143" s="288"/>
    </row>
    <row r="144" spans="1:9">
      <c r="A144" s="283">
        <v>142</v>
      </c>
      <c r="B144" s="284">
        <v>44339</v>
      </c>
      <c r="C144" s="285">
        <v>120.53874999999999</v>
      </c>
      <c r="D144" s="286">
        <v>148.21549125060824</v>
      </c>
      <c r="E144" s="285">
        <f t="shared" si="6"/>
        <v>120.53874999999999</v>
      </c>
      <c r="F144" s="295"/>
      <c r="G144" s="199" t="str">
        <f t="shared" si="7"/>
        <v/>
      </c>
      <c r="H144" s="287" t="str">
        <f t="shared" si="8"/>
        <v/>
      </c>
      <c r="I144" s="288"/>
    </row>
    <row r="145" spans="1:9">
      <c r="A145" s="283">
        <v>143</v>
      </c>
      <c r="B145" s="284">
        <v>44340</v>
      </c>
      <c r="C145" s="285">
        <v>174.24223599999999</v>
      </c>
      <c r="D145" s="286">
        <v>148.21549125060824</v>
      </c>
      <c r="E145" s="285">
        <f t="shared" si="6"/>
        <v>148.21549125060824</v>
      </c>
      <c r="F145" s="295"/>
      <c r="G145" s="199" t="str">
        <f t="shared" si="7"/>
        <v/>
      </c>
      <c r="H145" s="287" t="str">
        <f t="shared" si="8"/>
        <v/>
      </c>
      <c r="I145" s="288"/>
    </row>
    <row r="146" spans="1:9">
      <c r="A146" s="283">
        <v>144</v>
      </c>
      <c r="B146" s="284">
        <v>44341</v>
      </c>
      <c r="C146" s="285">
        <v>133.723097</v>
      </c>
      <c r="D146" s="286">
        <v>148.21549125060824</v>
      </c>
      <c r="E146" s="285">
        <f t="shared" si="6"/>
        <v>133.723097</v>
      </c>
      <c r="F146" s="295"/>
      <c r="G146" s="199" t="str">
        <f t="shared" si="7"/>
        <v/>
      </c>
      <c r="H146" s="287" t="str">
        <f t="shared" si="8"/>
        <v/>
      </c>
      <c r="I146" s="288"/>
    </row>
    <row r="147" spans="1:9">
      <c r="A147" s="283">
        <v>145</v>
      </c>
      <c r="B147" s="284">
        <v>44342</v>
      </c>
      <c r="C147" s="285">
        <v>88.333927000000003</v>
      </c>
      <c r="D147" s="286">
        <v>148.21549125060824</v>
      </c>
      <c r="E147" s="285">
        <f t="shared" si="6"/>
        <v>88.333927000000003</v>
      </c>
      <c r="F147" s="295"/>
      <c r="G147" s="199" t="str">
        <f t="shared" si="7"/>
        <v/>
      </c>
      <c r="H147" s="287" t="str">
        <f t="shared" si="8"/>
        <v/>
      </c>
      <c r="I147" s="288"/>
    </row>
    <row r="148" spans="1:9">
      <c r="A148" s="283">
        <v>146</v>
      </c>
      <c r="B148" s="284">
        <v>44343</v>
      </c>
      <c r="C148" s="285">
        <v>52.269663999999999</v>
      </c>
      <c r="D148" s="286">
        <v>148.21549125060824</v>
      </c>
      <c r="E148" s="285">
        <f t="shared" si="6"/>
        <v>52.269663999999999</v>
      </c>
      <c r="F148" s="295"/>
      <c r="G148" s="199" t="str">
        <f t="shared" si="7"/>
        <v/>
      </c>
      <c r="H148" s="287" t="str">
        <f t="shared" si="8"/>
        <v/>
      </c>
      <c r="I148" s="288"/>
    </row>
    <row r="149" spans="1:9">
      <c r="A149" s="283">
        <v>147</v>
      </c>
      <c r="B149" s="284">
        <v>44344</v>
      </c>
      <c r="C149" s="285">
        <v>48.856330999999997</v>
      </c>
      <c r="D149" s="286">
        <v>148.21549125060824</v>
      </c>
      <c r="E149" s="285">
        <f t="shared" si="6"/>
        <v>48.856330999999997</v>
      </c>
      <c r="F149" s="295"/>
      <c r="G149" s="199" t="str">
        <f t="shared" si="7"/>
        <v/>
      </c>
      <c r="H149" s="287" t="str">
        <f t="shared" si="8"/>
        <v/>
      </c>
      <c r="I149" s="288"/>
    </row>
    <row r="150" spans="1:9">
      <c r="A150" s="283">
        <v>148</v>
      </c>
      <c r="B150" s="284">
        <v>44345</v>
      </c>
      <c r="C150" s="285">
        <v>81.927820999999994</v>
      </c>
      <c r="D150" s="286">
        <v>148.21549125060824</v>
      </c>
      <c r="E150" s="285">
        <f t="shared" si="6"/>
        <v>81.927820999999994</v>
      </c>
      <c r="F150" s="295"/>
      <c r="G150" s="199" t="str">
        <f t="shared" si="7"/>
        <v/>
      </c>
      <c r="H150" s="287" t="str">
        <f t="shared" si="8"/>
        <v/>
      </c>
      <c r="I150" s="288"/>
    </row>
    <row r="151" spans="1:9">
      <c r="A151" s="283">
        <v>149</v>
      </c>
      <c r="B151" s="284">
        <v>44346</v>
      </c>
      <c r="C151" s="285">
        <v>117.86642999999999</v>
      </c>
      <c r="D151" s="286">
        <v>148.21549125060824</v>
      </c>
      <c r="E151" s="285">
        <f t="shared" si="6"/>
        <v>117.86642999999999</v>
      </c>
      <c r="F151" s="295"/>
      <c r="G151" s="199" t="str">
        <f t="shared" si="7"/>
        <v/>
      </c>
      <c r="H151" s="287" t="str">
        <f t="shared" si="8"/>
        <v/>
      </c>
      <c r="I151" s="288"/>
    </row>
    <row r="152" spans="1:9">
      <c r="A152" s="283">
        <v>150</v>
      </c>
      <c r="B152" s="284">
        <v>44347</v>
      </c>
      <c r="C152" s="285">
        <v>107.58640800000001</v>
      </c>
      <c r="D152" s="286">
        <v>148.21549125060824</v>
      </c>
      <c r="E152" s="285">
        <f t="shared" si="6"/>
        <v>107.58640800000001</v>
      </c>
      <c r="F152" s="295"/>
      <c r="G152" s="199" t="str">
        <f t="shared" si="7"/>
        <v/>
      </c>
      <c r="H152" s="287" t="str">
        <f t="shared" si="8"/>
        <v/>
      </c>
      <c r="I152" s="288"/>
    </row>
    <row r="153" spans="1:9">
      <c r="A153" s="283">
        <v>151</v>
      </c>
      <c r="B153" s="284">
        <v>44348</v>
      </c>
      <c r="C153" s="285">
        <v>104.232579</v>
      </c>
      <c r="D153" s="286">
        <v>125.351537048962</v>
      </c>
      <c r="E153" s="285">
        <f t="shared" si="6"/>
        <v>104.232579</v>
      </c>
      <c r="F153" s="295"/>
      <c r="G153" s="199" t="str">
        <f t="shared" si="7"/>
        <v/>
      </c>
      <c r="H153" s="287" t="str">
        <f t="shared" si="8"/>
        <v/>
      </c>
      <c r="I153" s="288"/>
    </row>
    <row r="154" spans="1:9">
      <c r="A154" s="283">
        <v>152</v>
      </c>
      <c r="B154" s="284">
        <v>44349</v>
      </c>
      <c r="C154" s="285">
        <v>60.776597000000002</v>
      </c>
      <c r="D154" s="286">
        <v>125.351537048962</v>
      </c>
      <c r="E154" s="285">
        <f t="shared" si="6"/>
        <v>60.776597000000002</v>
      </c>
      <c r="F154" s="295"/>
      <c r="G154" s="199" t="str">
        <f t="shared" si="7"/>
        <v/>
      </c>
      <c r="H154" s="287" t="str">
        <f t="shared" si="8"/>
        <v/>
      </c>
      <c r="I154" s="288"/>
    </row>
    <row r="155" spans="1:9">
      <c r="A155" s="283">
        <v>153</v>
      </c>
      <c r="B155" s="284">
        <v>44350</v>
      </c>
      <c r="C155" s="285">
        <v>124.33419000000001</v>
      </c>
      <c r="D155" s="286">
        <v>125.351537048962</v>
      </c>
      <c r="E155" s="285">
        <f t="shared" si="6"/>
        <v>124.33419000000001</v>
      </c>
      <c r="F155" s="295"/>
      <c r="G155" s="199" t="str">
        <f t="shared" si="7"/>
        <v/>
      </c>
      <c r="H155" s="287" t="str">
        <f t="shared" si="8"/>
        <v/>
      </c>
      <c r="I155" s="288"/>
    </row>
    <row r="156" spans="1:9">
      <c r="A156" s="283">
        <v>154</v>
      </c>
      <c r="B156" s="284">
        <v>44351</v>
      </c>
      <c r="C156" s="285">
        <v>102.70423299999999</v>
      </c>
      <c r="D156" s="286">
        <v>125.351537048962</v>
      </c>
      <c r="E156" s="285">
        <f t="shared" si="6"/>
        <v>102.70423299999999</v>
      </c>
      <c r="F156" s="295"/>
      <c r="G156" s="199" t="str">
        <f t="shared" si="7"/>
        <v/>
      </c>
      <c r="H156" s="287" t="str">
        <f t="shared" si="8"/>
        <v/>
      </c>
      <c r="I156" s="288"/>
    </row>
    <row r="157" spans="1:9">
      <c r="A157" s="283">
        <v>155</v>
      </c>
      <c r="B157" s="284">
        <v>44352</v>
      </c>
      <c r="C157" s="285">
        <v>87.227254000000002</v>
      </c>
      <c r="D157" s="286">
        <v>125.351537048962</v>
      </c>
      <c r="E157" s="285">
        <f t="shared" si="6"/>
        <v>87.227254000000002</v>
      </c>
      <c r="F157" s="295"/>
      <c r="G157" s="199" t="str">
        <f t="shared" si="7"/>
        <v/>
      </c>
      <c r="H157" s="287" t="str">
        <f t="shared" si="8"/>
        <v/>
      </c>
      <c r="I157" s="288"/>
    </row>
    <row r="158" spans="1:9">
      <c r="A158" s="283">
        <v>156</v>
      </c>
      <c r="B158" s="284">
        <v>44353</v>
      </c>
      <c r="C158" s="285">
        <v>124.34590300000001</v>
      </c>
      <c r="D158" s="286">
        <v>125.351537048962</v>
      </c>
      <c r="E158" s="285">
        <f t="shared" si="6"/>
        <v>124.34590300000001</v>
      </c>
      <c r="F158" s="295"/>
      <c r="G158" s="199" t="str">
        <f t="shared" si="7"/>
        <v/>
      </c>
      <c r="H158" s="287" t="str">
        <f t="shared" si="8"/>
        <v/>
      </c>
      <c r="I158" s="288"/>
    </row>
    <row r="159" spans="1:9">
      <c r="A159" s="283">
        <v>157</v>
      </c>
      <c r="B159" s="284">
        <v>44354</v>
      </c>
      <c r="C159" s="285">
        <v>101.430752</v>
      </c>
      <c r="D159" s="286">
        <v>125.351537048962</v>
      </c>
      <c r="E159" s="285">
        <f t="shared" si="6"/>
        <v>101.430752</v>
      </c>
      <c r="F159" s="295"/>
      <c r="G159" s="199" t="str">
        <f t="shared" si="7"/>
        <v/>
      </c>
      <c r="H159" s="287" t="str">
        <f t="shared" si="8"/>
        <v/>
      </c>
      <c r="I159" s="288"/>
    </row>
    <row r="160" spans="1:9">
      <c r="A160" s="283">
        <v>158</v>
      </c>
      <c r="B160" s="284">
        <v>44355</v>
      </c>
      <c r="C160" s="285">
        <v>72.184073999999995</v>
      </c>
      <c r="D160" s="286">
        <v>125.351537048962</v>
      </c>
      <c r="E160" s="285">
        <f t="shared" si="6"/>
        <v>72.184073999999995</v>
      </c>
      <c r="F160" s="295"/>
      <c r="G160" s="199" t="str">
        <f t="shared" si="7"/>
        <v/>
      </c>
      <c r="H160" s="287" t="str">
        <f t="shared" si="8"/>
        <v/>
      </c>
      <c r="I160" s="288"/>
    </row>
    <row r="161" spans="1:9">
      <c r="A161" s="283">
        <v>159</v>
      </c>
      <c r="B161" s="284">
        <v>44356</v>
      </c>
      <c r="C161" s="285">
        <v>96.907132000000004</v>
      </c>
      <c r="D161" s="286">
        <v>125.351537048962</v>
      </c>
      <c r="E161" s="285">
        <f t="shared" si="6"/>
        <v>96.907132000000004</v>
      </c>
      <c r="F161" s="295"/>
      <c r="G161" s="199" t="str">
        <f t="shared" si="7"/>
        <v/>
      </c>
      <c r="H161" s="287" t="str">
        <f t="shared" si="8"/>
        <v/>
      </c>
      <c r="I161" s="288"/>
    </row>
    <row r="162" spans="1:9">
      <c r="A162" s="283">
        <v>160</v>
      </c>
      <c r="B162" s="284">
        <v>44357</v>
      </c>
      <c r="C162" s="285">
        <v>108.53663200000001</v>
      </c>
      <c r="D162" s="286">
        <v>125.351537048962</v>
      </c>
      <c r="E162" s="285">
        <f t="shared" si="6"/>
        <v>108.53663200000001</v>
      </c>
      <c r="F162" s="295"/>
      <c r="G162" s="199" t="str">
        <f t="shared" si="7"/>
        <v/>
      </c>
      <c r="H162" s="287" t="str">
        <f t="shared" si="8"/>
        <v/>
      </c>
      <c r="I162" s="288"/>
    </row>
    <row r="163" spans="1:9">
      <c r="A163" s="283">
        <v>161</v>
      </c>
      <c r="B163" s="284">
        <v>44358</v>
      </c>
      <c r="C163" s="285">
        <v>200.6429</v>
      </c>
      <c r="D163" s="286">
        <v>125.351537048962</v>
      </c>
      <c r="E163" s="285">
        <f t="shared" si="6"/>
        <v>125.351537048962</v>
      </c>
      <c r="F163" s="295"/>
      <c r="G163" s="199" t="str">
        <f t="shared" si="7"/>
        <v/>
      </c>
      <c r="H163" s="287" t="str">
        <f t="shared" si="8"/>
        <v/>
      </c>
      <c r="I163" s="288"/>
    </row>
    <row r="164" spans="1:9">
      <c r="A164" s="283">
        <v>162</v>
      </c>
      <c r="B164" s="284">
        <v>44359</v>
      </c>
      <c r="C164" s="285">
        <v>168.743537</v>
      </c>
      <c r="D164" s="286">
        <v>125.351537048962</v>
      </c>
      <c r="E164" s="285">
        <f t="shared" si="6"/>
        <v>125.351537048962</v>
      </c>
      <c r="F164" s="295"/>
      <c r="G164" s="199" t="str">
        <f t="shared" si="7"/>
        <v/>
      </c>
      <c r="H164" s="287" t="str">
        <f t="shared" si="8"/>
        <v/>
      </c>
      <c r="I164" s="288"/>
    </row>
    <row r="165" spans="1:9">
      <c r="A165" s="283">
        <v>163</v>
      </c>
      <c r="B165" s="284">
        <v>44360</v>
      </c>
      <c r="C165" s="285">
        <v>97.811784000000003</v>
      </c>
      <c r="D165" s="286">
        <v>125.351537048962</v>
      </c>
      <c r="E165" s="285">
        <f t="shared" si="6"/>
        <v>97.811784000000003</v>
      </c>
      <c r="F165" s="295"/>
      <c r="G165" s="199" t="str">
        <f t="shared" si="7"/>
        <v/>
      </c>
      <c r="H165" s="287" t="str">
        <f t="shared" si="8"/>
        <v/>
      </c>
      <c r="I165" s="288"/>
    </row>
    <row r="166" spans="1:9">
      <c r="A166" s="283">
        <v>164</v>
      </c>
      <c r="B166" s="284">
        <v>44361</v>
      </c>
      <c r="C166" s="285">
        <v>73.399113999999997</v>
      </c>
      <c r="D166" s="286">
        <v>125.351537048962</v>
      </c>
      <c r="E166" s="285">
        <f t="shared" si="6"/>
        <v>73.399113999999997</v>
      </c>
      <c r="F166" s="295"/>
      <c r="G166" s="199" t="str">
        <f t="shared" si="7"/>
        <v/>
      </c>
      <c r="H166" s="287" t="str">
        <f t="shared" si="8"/>
        <v/>
      </c>
      <c r="I166" s="288"/>
    </row>
    <row r="167" spans="1:9">
      <c r="A167" s="283">
        <v>165</v>
      </c>
      <c r="B167" s="284">
        <v>44362</v>
      </c>
      <c r="C167" s="285">
        <v>113.459914</v>
      </c>
      <c r="D167" s="286">
        <v>125.351537048962</v>
      </c>
      <c r="E167" s="285">
        <f t="shared" si="6"/>
        <v>113.459914</v>
      </c>
      <c r="F167" s="295"/>
      <c r="G167" s="199" t="str">
        <f t="shared" si="7"/>
        <v>J</v>
      </c>
      <c r="H167" s="287" t="str">
        <f t="shared" si="8"/>
        <v>125,4</v>
      </c>
      <c r="I167" s="288"/>
    </row>
    <row r="168" spans="1:9">
      <c r="A168" s="283">
        <v>166</v>
      </c>
      <c r="B168" s="284">
        <v>44363</v>
      </c>
      <c r="C168" s="285">
        <v>105.002115</v>
      </c>
      <c r="D168" s="286">
        <v>125.351537048962</v>
      </c>
      <c r="E168" s="285">
        <f t="shared" si="6"/>
        <v>105.002115</v>
      </c>
      <c r="F168" s="295"/>
      <c r="G168" s="199" t="str">
        <f t="shared" si="7"/>
        <v/>
      </c>
      <c r="H168" s="287" t="str">
        <f t="shared" si="8"/>
        <v/>
      </c>
      <c r="I168" s="288"/>
    </row>
    <row r="169" spans="1:9">
      <c r="A169" s="283">
        <v>167</v>
      </c>
      <c r="B169" s="284">
        <v>44364</v>
      </c>
      <c r="C169" s="285">
        <v>96.281922999999992</v>
      </c>
      <c r="D169" s="286">
        <v>125.351537048962</v>
      </c>
      <c r="E169" s="285">
        <f t="shared" si="6"/>
        <v>96.281922999999992</v>
      </c>
      <c r="F169" s="295"/>
      <c r="G169" s="199" t="str">
        <f t="shared" si="7"/>
        <v/>
      </c>
      <c r="H169" s="287" t="str">
        <f t="shared" si="8"/>
        <v/>
      </c>
      <c r="I169" s="288"/>
    </row>
    <row r="170" spans="1:9">
      <c r="A170" s="283">
        <v>168</v>
      </c>
      <c r="B170" s="284">
        <v>44365</v>
      </c>
      <c r="C170" s="285">
        <v>119.670856</v>
      </c>
      <c r="D170" s="286">
        <v>125.351537048962</v>
      </c>
      <c r="E170" s="285">
        <f t="shared" si="6"/>
        <v>119.670856</v>
      </c>
      <c r="F170" s="295"/>
      <c r="G170" s="199" t="str">
        <f t="shared" si="7"/>
        <v/>
      </c>
      <c r="H170" s="287" t="str">
        <f t="shared" si="8"/>
        <v/>
      </c>
      <c r="I170" s="288"/>
    </row>
    <row r="171" spans="1:9">
      <c r="A171" s="283">
        <v>169</v>
      </c>
      <c r="B171" s="284">
        <v>44366</v>
      </c>
      <c r="C171" s="285">
        <v>91.510205999999997</v>
      </c>
      <c r="D171" s="286">
        <v>125.351537048962</v>
      </c>
      <c r="E171" s="285">
        <f t="shared" si="6"/>
        <v>91.510205999999997</v>
      </c>
      <c r="F171" s="295"/>
      <c r="G171" s="199" t="str">
        <f t="shared" si="7"/>
        <v/>
      </c>
      <c r="H171" s="287" t="str">
        <f t="shared" si="8"/>
        <v/>
      </c>
      <c r="I171" s="288"/>
    </row>
    <row r="172" spans="1:9">
      <c r="A172" s="283">
        <v>170</v>
      </c>
      <c r="B172" s="284">
        <v>44367</v>
      </c>
      <c r="C172" s="285">
        <v>246.63001600000001</v>
      </c>
      <c r="D172" s="286">
        <v>125.351537048962</v>
      </c>
      <c r="E172" s="285">
        <f t="shared" si="6"/>
        <v>125.351537048962</v>
      </c>
      <c r="F172" s="295"/>
      <c r="G172" s="199" t="str">
        <f t="shared" si="7"/>
        <v/>
      </c>
      <c r="H172" s="287" t="str">
        <f t="shared" si="8"/>
        <v/>
      </c>
      <c r="I172" s="288"/>
    </row>
    <row r="173" spans="1:9">
      <c r="A173" s="283">
        <v>171</v>
      </c>
      <c r="B173" s="284">
        <v>44368</v>
      </c>
      <c r="C173" s="285">
        <v>176.27571599999999</v>
      </c>
      <c r="D173" s="286">
        <v>125.351537048962</v>
      </c>
      <c r="E173" s="285">
        <f t="shared" si="6"/>
        <v>125.351537048962</v>
      </c>
      <c r="F173" s="295"/>
      <c r="G173" s="199" t="str">
        <f t="shared" si="7"/>
        <v/>
      </c>
      <c r="H173" s="287" t="str">
        <f t="shared" si="8"/>
        <v/>
      </c>
      <c r="I173" s="288"/>
    </row>
    <row r="174" spans="1:9">
      <c r="A174" s="283">
        <v>172</v>
      </c>
      <c r="B174" s="284">
        <v>44369</v>
      </c>
      <c r="C174" s="285">
        <v>118.335488</v>
      </c>
      <c r="D174" s="286">
        <v>125.351537048962</v>
      </c>
      <c r="E174" s="285">
        <f t="shared" si="6"/>
        <v>118.335488</v>
      </c>
      <c r="F174" s="295"/>
      <c r="G174" s="199" t="str">
        <f t="shared" si="7"/>
        <v/>
      </c>
      <c r="H174" s="287" t="str">
        <f t="shared" si="8"/>
        <v/>
      </c>
      <c r="I174" s="288"/>
    </row>
    <row r="175" spans="1:9">
      <c r="A175" s="283">
        <v>173</v>
      </c>
      <c r="B175" s="284">
        <v>44370</v>
      </c>
      <c r="C175" s="285">
        <v>145.481784</v>
      </c>
      <c r="D175" s="286">
        <v>125.351537048962</v>
      </c>
      <c r="E175" s="285">
        <f t="shared" si="6"/>
        <v>125.351537048962</v>
      </c>
      <c r="F175" s="295"/>
      <c r="G175" s="199" t="str">
        <f t="shared" si="7"/>
        <v/>
      </c>
      <c r="H175" s="287" t="str">
        <f t="shared" si="8"/>
        <v/>
      </c>
      <c r="I175" s="288"/>
    </row>
    <row r="176" spans="1:9">
      <c r="A176" s="283">
        <v>174</v>
      </c>
      <c r="B176" s="284">
        <v>44371</v>
      </c>
      <c r="C176" s="285">
        <v>137.70521299999999</v>
      </c>
      <c r="D176" s="286">
        <v>125.351537048962</v>
      </c>
      <c r="E176" s="285">
        <f t="shared" si="6"/>
        <v>125.351537048962</v>
      </c>
      <c r="F176" s="295"/>
      <c r="G176" s="199" t="str">
        <f t="shared" si="7"/>
        <v/>
      </c>
      <c r="H176" s="287" t="str">
        <f t="shared" si="8"/>
        <v/>
      </c>
      <c r="I176" s="288"/>
    </row>
    <row r="177" spans="1:9">
      <c r="A177" s="283">
        <v>175</v>
      </c>
      <c r="B177" s="284">
        <v>44372</v>
      </c>
      <c r="C177" s="285">
        <v>113.49160999999999</v>
      </c>
      <c r="D177" s="286">
        <v>125.351537048962</v>
      </c>
      <c r="E177" s="285">
        <f t="shared" si="6"/>
        <v>113.49160999999999</v>
      </c>
      <c r="F177" s="295"/>
      <c r="G177" s="199" t="str">
        <f t="shared" si="7"/>
        <v/>
      </c>
      <c r="H177" s="287" t="str">
        <f t="shared" si="8"/>
        <v/>
      </c>
      <c r="I177" s="288"/>
    </row>
    <row r="178" spans="1:9">
      <c r="A178" s="283">
        <v>176</v>
      </c>
      <c r="B178" s="284">
        <v>44373</v>
      </c>
      <c r="C178" s="285">
        <v>125.754402</v>
      </c>
      <c r="D178" s="286">
        <v>125.351537048962</v>
      </c>
      <c r="E178" s="285">
        <f t="shared" si="6"/>
        <v>125.351537048962</v>
      </c>
      <c r="F178" s="295"/>
      <c r="G178" s="199" t="str">
        <f t="shared" si="7"/>
        <v/>
      </c>
      <c r="H178" s="287" t="str">
        <f t="shared" si="8"/>
        <v/>
      </c>
      <c r="I178" s="288"/>
    </row>
    <row r="179" spans="1:9">
      <c r="A179" s="283">
        <v>177</v>
      </c>
      <c r="B179" s="284">
        <v>44374</v>
      </c>
      <c r="C179" s="285">
        <v>158.12182400000003</v>
      </c>
      <c r="D179" s="286">
        <v>125.351537048962</v>
      </c>
      <c r="E179" s="285">
        <f t="shared" si="6"/>
        <v>125.351537048962</v>
      </c>
      <c r="F179" s="295"/>
      <c r="G179" s="199" t="str">
        <f t="shared" si="7"/>
        <v/>
      </c>
      <c r="H179" s="287" t="str">
        <f t="shared" si="8"/>
        <v/>
      </c>
      <c r="I179" s="288"/>
    </row>
    <row r="180" spans="1:9">
      <c r="A180" s="283">
        <v>178</v>
      </c>
      <c r="B180" s="284">
        <v>44375</v>
      </c>
      <c r="C180" s="285">
        <v>127.662875</v>
      </c>
      <c r="D180" s="286">
        <v>125.351537048962</v>
      </c>
      <c r="E180" s="285">
        <f t="shared" si="6"/>
        <v>125.351537048962</v>
      </c>
      <c r="F180" s="295"/>
      <c r="G180" s="199" t="str">
        <f t="shared" si="7"/>
        <v/>
      </c>
      <c r="H180" s="287" t="str">
        <f t="shared" si="8"/>
        <v/>
      </c>
      <c r="I180" s="288"/>
    </row>
    <row r="181" spans="1:9">
      <c r="A181" s="283">
        <v>179</v>
      </c>
      <c r="B181" s="284">
        <v>44376</v>
      </c>
      <c r="C181" s="285">
        <v>71.419916000000001</v>
      </c>
      <c r="D181" s="286">
        <v>125.351537048962</v>
      </c>
      <c r="E181" s="285">
        <f t="shared" si="6"/>
        <v>71.419916000000001</v>
      </c>
      <c r="F181" s="295"/>
      <c r="G181" s="199" t="str">
        <f t="shared" si="7"/>
        <v/>
      </c>
      <c r="H181" s="287" t="str">
        <f t="shared" si="8"/>
        <v/>
      </c>
      <c r="I181" s="288"/>
    </row>
    <row r="182" spans="1:9">
      <c r="A182" s="283">
        <v>180</v>
      </c>
      <c r="B182" s="284">
        <v>44377</v>
      </c>
      <c r="C182" s="285">
        <v>68.185704000000001</v>
      </c>
      <c r="D182" s="286">
        <v>125.351537048962</v>
      </c>
      <c r="E182" s="285">
        <f t="shared" si="6"/>
        <v>68.185704000000001</v>
      </c>
      <c r="F182" s="295"/>
      <c r="G182" s="199" t="str">
        <f t="shared" si="7"/>
        <v/>
      </c>
      <c r="H182" s="287" t="str">
        <f t="shared" si="8"/>
        <v/>
      </c>
      <c r="I182" s="288"/>
    </row>
    <row r="183" spans="1:9">
      <c r="A183" s="283">
        <v>181</v>
      </c>
      <c r="B183" s="284">
        <v>44378</v>
      </c>
      <c r="C183" s="285">
        <v>53.796086000000003</v>
      </c>
      <c r="D183" s="286">
        <v>123.29855563491931</v>
      </c>
      <c r="E183" s="285">
        <f t="shared" si="6"/>
        <v>53.796086000000003</v>
      </c>
      <c r="F183" s="295"/>
      <c r="G183" s="199" t="str">
        <f t="shared" si="7"/>
        <v/>
      </c>
      <c r="H183" s="287" t="str">
        <f t="shared" si="8"/>
        <v/>
      </c>
      <c r="I183" s="288"/>
    </row>
    <row r="184" spans="1:9">
      <c r="A184" s="283">
        <v>182</v>
      </c>
      <c r="B184" s="284">
        <v>44379</v>
      </c>
      <c r="C184" s="285">
        <v>81.503188999999992</v>
      </c>
      <c r="D184" s="286">
        <v>123.29855563491931</v>
      </c>
      <c r="E184" s="285">
        <f t="shared" si="6"/>
        <v>81.503188999999992</v>
      </c>
      <c r="F184" s="295"/>
      <c r="G184" s="199" t="str">
        <f t="shared" si="7"/>
        <v/>
      </c>
      <c r="H184" s="287" t="str">
        <f t="shared" si="8"/>
        <v/>
      </c>
      <c r="I184" s="288"/>
    </row>
    <row r="185" spans="1:9">
      <c r="A185" s="283">
        <v>183</v>
      </c>
      <c r="B185" s="284">
        <v>44380</v>
      </c>
      <c r="C185" s="285">
        <v>108.56993399999999</v>
      </c>
      <c r="D185" s="286">
        <v>123.29855563491931</v>
      </c>
      <c r="E185" s="285">
        <f t="shared" si="6"/>
        <v>108.56993399999999</v>
      </c>
      <c r="F185" s="295"/>
      <c r="G185" s="199" t="str">
        <f t="shared" si="7"/>
        <v/>
      </c>
      <c r="H185" s="287" t="str">
        <f t="shared" si="8"/>
        <v/>
      </c>
      <c r="I185" s="288"/>
    </row>
    <row r="186" spans="1:9">
      <c r="A186" s="283">
        <v>184</v>
      </c>
      <c r="B186" s="284">
        <v>44381</v>
      </c>
      <c r="C186" s="285">
        <v>175.185033</v>
      </c>
      <c r="D186" s="286">
        <v>123.29855563491931</v>
      </c>
      <c r="E186" s="285">
        <f t="shared" si="6"/>
        <v>123.29855563491931</v>
      </c>
      <c r="F186" s="288"/>
      <c r="G186" s="199" t="str">
        <f t="shared" si="7"/>
        <v/>
      </c>
      <c r="H186" s="287" t="str">
        <f t="shared" si="8"/>
        <v/>
      </c>
      <c r="I186" s="288"/>
    </row>
    <row r="187" spans="1:9">
      <c r="A187" s="283">
        <v>185</v>
      </c>
      <c r="B187" s="284">
        <v>44382</v>
      </c>
      <c r="C187" s="285">
        <v>185.587073</v>
      </c>
      <c r="D187" s="286">
        <v>123.29855563491931</v>
      </c>
      <c r="E187" s="285">
        <f t="shared" si="6"/>
        <v>123.29855563491931</v>
      </c>
      <c r="F187" s="295"/>
      <c r="G187" s="199" t="str">
        <f t="shared" si="7"/>
        <v/>
      </c>
      <c r="H187" s="287" t="str">
        <f t="shared" si="8"/>
        <v/>
      </c>
      <c r="I187" s="288"/>
    </row>
    <row r="188" spans="1:9">
      <c r="A188" s="283">
        <v>186</v>
      </c>
      <c r="B188" s="284">
        <v>44383</v>
      </c>
      <c r="C188" s="285">
        <v>170.100931</v>
      </c>
      <c r="D188" s="286">
        <v>123.29855563491931</v>
      </c>
      <c r="E188" s="285">
        <f t="shared" si="6"/>
        <v>123.29855563491931</v>
      </c>
      <c r="F188" s="295"/>
      <c r="G188" s="199" t="str">
        <f t="shared" si="7"/>
        <v/>
      </c>
      <c r="H188" s="287" t="str">
        <f t="shared" si="8"/>
        <v/>
      </c>
      <c r="I188" s="288"/>
    </row>
    <row r="189" spans="1:9">
      <c r="A189" s="283">
        <v>187</v>
      </c>
      <c r="B189" s="284">
        <v>44384</v>
      </c>
      <c r="C189" s="285">
        <v>99.963304000000008</v>
      </c>
      <c r="D189" s="286">
        <v>123.29855563491931</v>
      </c>
      <c r="E189" s="285">
        <f t="shared" si="6"/>
        <v>99.963304000000008</v>
      </c>
      <c r="F189" s="295"/>
      <c r="G189" s="199" t="str">
        <f t="shared" si="7"/>
        <v/>
      </c>
      <c r="H189" s="287" t="str">
        <f t="shared" si="8"/>
        <v/>
      </c>
      <c r="I189" s="288"/>
    </row>
    <row r="190" spans="1:9">
      <c r="A190" s="283">
        <v>188</v>
      </c>
      <c r="B190" s="284">
        <v>44385</v>
      </c>
      <c r="C190" s="285">
        <v>118.725815</v>
      </c>
      <c r="D190" s="286">
        <v>123.29855563491931</v>
      </c>
      <c r="E190" s="285">
        <f t="shared" si="6"/>
        <v>118.725815</v>
      </c>
      <c r="F190" s="295"/>
      <c r="G190" s="199" t="str">
        <f t="shared" si="7"/>
        <v/>
      </c>
      <c r="H190" s="287" t="str">
        <f t="shared" si="8"/>
        <v/>
      </c>
      <c r="I190" s="288"/>
    </row>
    <row r="191" spans="1:9">
      <c r="A191" s="283">
        <v>189</v>
      </c>
      <c r="B191" s="284">
        <v>44386</v>
      </c>
      <c r="C191" s="285">
        <v>106.795575</v>
      </c>
      <c r="D191" s="286">
        <v>123.29855563491931</v>
      </c>
      <c r="E191" s="285">
        <f t="shared" si="6"/>
        <v>106.795575</v>
      </c>
      <c r="F191" s="295"/>
      <c r="G191" s="199" t="str">
        <f t="shared" si="7"/>
        <v/>
      </c>
      <c r="H191" s="287" t="str">
        <f t="shared" si="8"/>
        <v/>
      </c>
      <c r="I191" s="288"/>
    </row>
    <row r="192" spans="1:9">
      <c r="A192" s="283">
        <v>190</v>
      </c>
      <c r="B192" s="284">
        <v>44387</v>
      </c>
      <c r="C192" s="285">
        <v>101.932551</v>
      </c>
      <c r="D192" s="286">
        <v>123.29855563491931</v>
      </c>
      <c r="E192" s="285">
        <f t="shared" si="6"/>
        <v>101.932551</v>
      </c>
      <c r="F192" s="295"/>
      <c r="G192" s="199" t="str">
        <f t="shared" si="7"/>
        <v/>
      </c>
      <c r="H192" s="287" t="str">
        <f t="shared" si="8"/>
        <v/>
      </c>
      <c r="I192" s="288"/>
    </row>
    <row r="193" spans="1:9">
      <c r="A193" s="283">
        <v>191</v>
      </c>
      <c r="B193" s="284">
        <v>44388</v>
      </c>
      <c r="C193" s="285">
        <v>129.88429199999999</v>
      </c>
      <c r="D193" s="286">
        <v>123.29855563491931</v>
      </c>
      <c r="E193" s="285">
        <f t="shared" si="6"/>
        <v>123.29855563491931</v>
      </c>
      <c r="F193" s="295"/>
      <c r="G193" s="199" t="str">
        <f t="shared" si="7"/>
        <v/>
      </c>
      <c r="H193" s="287" t="str">
        <f t="shared" si="8"/>
        <v/>
      </c>
      <c r="I193" s="288"/>
    </row>
    <row r="194" spans="1:9">
      <c r="A194" s="283">
        <v>192</v>
      </c>
      <c r="B194" s="284">
        <v>44389</v>
      </c>
      <c r="C194" s="285">
        <v>268.86065399999995</v>
      </c>
      <c r="D194" s="286">
        <v>123.29855563491931</v>
      </c>
      <c r="E194" s="285">
        <f t="shared" si="6"/>
        <v>123.29855563491931</v>
      </c>
      <c r="F194" s="295"/>
      <c r="G194" s="199" t="str">
        <f t="shared" si="7"/>
        <v/>
      </c>
      <c r="H194" s="287" t="str">
        <f t="shared" si="8"/>
        <v/>
      </c>
      <c r="I194" s="288"/>
    </row>
    <row r="195" spans="1:9">
      <c r="A195" s="283">
        <v>193</v>
      </c>
      <c r="B195" s="284">
        <v>44390</v>
      </c>
      <c r="C195" s="285">
        <v>180.85604799999999</v>
      </c>
      <c r="D195" s="286">
        <v>123.29855563491931</v>
      </c>
      <c r="E195" s="285">
        <f t="shared" ref="E195:E258" si="9">IF(C195&gt;D195,D195,C195)</f>
        <v>123.29855563491931</v>
      </c>
      <c r="F195" s="295"/>
      <c r="G195" s="199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87" t="str">
        <f t="shared" ref="H195:H258" si="11">IF(DAY($B195)=15,TEXT(D195,"#,0"),"")</f>
        <v/>
      </c>
      <c r="I195" s="288"/>
    </row>
    <row r="196" spans="1:9">
      <c r="A196" s="283">
        <v>194</v>
      </c>
      <c r="B196" s="284">
        <v>44391</v>
      </c>
      <c r="C196" s="285">
        <v>192.086625</v>
      </c>
      <c r="D196" s="286">
        <v>123.29855563491931</v>
      </c>
      <c r="E196" s="285">
        <f t="shared" si="9"/>
        <v>123.29855563491931</v>
      </c>
      <c r="F196" s="295"/>
      <c r="G196" s="199" t="str">
        <f t="shared" si="10"/>
        <v/>
      </c>
      <c r="H196" s="287" t="str">
        <f t="shared" si="11"/>
        <v/>
      </c>
      <c r="I196" s="288"/>
    </row>
    <row r="197" spans="1:9">
      <c r="A197" s="283">
        <v>195</v>
      </c>
      <c r="B197" s="284">
        <v>44392</v>
      </c>
      <c r="C197" s="285">
        <v>191.57317800000001</v>
      </c>
      <c r="D197" s="286">
        <v>123.29855563491931</v>
      </c>
      <c r="E197" s="285">
        <f t="shared" si="9"/>
        <v>123.29855563491931</v>
      </c>
      <c r="F197" s="295"/>
      <c r="G197" s="199" t="str">
        <f t="shared" si="10"/>
        <v>J</v>
      </c>
      <c r="H197" s="287" t="str">
        <f t="shared" si="11"/>
        <v>123,3</v>
      </c>
      <c r="I197" s="288"/>
    </row>
    <row r="198" spans="1:9">
      <c r="A198" s="283">
        <v>196</v>
      </c>
      <c r="B198" s="284">
        <v>44393</v>
      </c>
      <c r="C198" s="285">
        <v>169.40523099999999</v>
      </c>
      <c r="D198" s="286">
        <v>123.29855563491931</v>
      </c>
      <c r="E198" s="285">
        <f t="shared" si="9"/>
        <v>123.29855563491931</v>
      </c>
      <c r="F198" s="295"/>
      <c r="G198" s="199" t="str">
        <f t="shared" si="10"/>
        <v/>
      </c>
      <c r="H198" s="287" t="str">
        <f t="shared" si="11"/>
        <v/>
      </c>
      <c r="I198" s="288"/>
    </row>
    <row r="199" spans="1:9">
      <c r="A199" s="283">
        <v>197</v>
      </c>
      <c r="B199" s="284">
        <v>44394</v>
      </c>
      <c r="C199" s="285">
        <v>110.35884300000001</v>
      </c>
      <c r="D199" s="286">
        <v>123.29855563491931</v>
      </c>
      <c r="E199" s="285">
        <f t="shared" si="9"/>
        <v>110.35884300000001</v>
      </c>
      <c r="F199" s="295"/>
      <c r="G199" s="199" t="str">
        <f t="shared" si="10"/>
        <v/>
      </c>
      <c r="H199" s="287" t="str">
        <f t="shared" si="11"/>
        <v/>
      </c>
      <c r="I199" s="288"/>
    </row>
    <row r="200" spans="1:9">
      <c r="A200" s="283">
        <v>198</v>
      </c>
      <c r="B200" s="284">
        <v>44395</v>
      </c>
      <c r="C200" s="285">
        <v>164.72330299999999</v>
      </c>
      <c r="D200" s="286">
        <v>123.29855563491931</v>
      </c>
      <c r="E200" s="285">
        <f t="shared" si="9"/>
        <v>123.29855563491931</v>
      </c>
      <c r="F200" s="295"/>
      <c r="G200" s="199" t="str">
        <f t="shared" si="10"/>
        <v/>
      </c>
      <c r="H200" s="287" t="str">
        <f t="shared" si="11"/>
        <v/>
      </c>
      <c r="I200" s="288"/>
    </row>
    <row r="201" spans="1:9">
      <c r="A201" s="283">
        <v>199</v>
      </c>
      <c r="B201" s="284">
        <v>44396</v>
      </c>
      <c r="C201" s="285">
        <v>90.316018999999997</v>
      </c>
      <c r="D201" s="286">
        <v>123.29855563491931</v>
      </c>
      <c r="E201" s="285">
        <f t="shared" si="9"/>
        <v>90.316018999999997</v>
      </c>
      <c r="F201" s="295"/>
      <c r="G201" s="199" t="str">
        <f t="shared" si="10"/>
        <v/>
      </c>
      <c r="H201" s="287" t="str">
        <f t="shared" si="11"/>
        <v/>
      </c>
      <c r="I201" s="288"/>
    </row>
    <row r="202" spans="1:9">
      <c r="A202" s="283">
        <v>200</v>
      </c>
      <c r="B202" s="284">
        <v>44397</v>
      </c>
      <c r="C202" s="285">
        <v>60.917413000000003</v>
      </c>
      <c r="D202" s="286">
        <v>123.29855563491931</v>
      </c>
      <c r="E202" s="285">
        <f t="shared" si="9"/>
        <v>60.917413000000003</v>
      </c>
      <c r="F202" s="295"/>
      <c r="G202" s="199" t="str">
        <f t="shared" si="10"/>
        <v/>
      </c>
      <c r="H202" s="287" t="str">
        <f t="shared" si="11"/>
        <v/>
      </c>
      <c r="I202" s="288"/>
    </row>
    <row r="203" spans="1:9">
      <c r="A203" s="283">
        <v>201</v>
      </c>
      <c r="B203" s="284">
        <v>44398</v>
      </c>
      <c r="C203" s="285">
        <v>54.755584000000006</v>
      </c>
      <c r="D203" s="286">
        <v>123.29855563491931</v>
      </c>
      <c r="E203" s="285">
        <f t="shared" si="9"/>
        <v>54.755584000000006</v>
      </c>
      <c r="F203" s="295"/>
      <c r="G203" s="199" t="str">
        <f t="shared" si="10"/>
        <v/>
      </c>
      <c r="H203" s="287" t="str">
        <f t="shared" si="11"/>
        <v/>
      </c>
      <c r="I203" s="288"/>
    </row>
    <row r="204" spans="1:9">
      <c r="A204" s="283">
        <v>202</v>
      </c>
      <c r="B204" s="284">
        <v>44399</v>
      </c>
      <c r="C204" s="285">
        <v>107.60022900000001</v>
      </c>
      <c r="D204" s="286">
        <v>123.29855563491931</v>
      </c>
      <c r="E204" s="285">
        <f t="shared" si="9"/>
        <v>107.60022900000001</v>
      </c>
      <c r="F204" s="295"/>
      <c r="G204" s="199" t="str">
        <f t="shared" si="10"/>
        <v/>
      </c>
      <c r="H204" s="287" t="str">
        <f t="shared" si="11"/>
        <v/>
      </c>
      <c r="I204" s="288"/>
    </row>
    <row r="205" spans="1:9">
      <c r="A205" s="283">
        <v>203</v>
      </c>
      <c r="B205" s="284">
        <v>44400</v>
      </c>
      <c r="C205" s="285">
        <v>186.93583600000002</v>
      </c>
      <c r="D205" s="286">
        <v>123.29855563491931</v>
      </c>
      <c r="E205" s="285">
        <f t="shared" si="9"/>
        <v>123.29855563491931</v>
      </c>
      <c r="F205" s="295"/>
      <c r="G205" s="199" t="str">
        <f t="shared" si="10"/>
        <v/>
      </c>
      <c r="H205" s="287" t="str">
        <f t="shared" si="11"/>
        <v/>
      </c>
      <c r="I205" s="288"/>
    </row>
    <row r="206" spans="1:9">
      <c r="A206" s="283">
        <v>204</v>
      </c>
      <c r="B206" s="284">
        <v>44401</v>
      </c>
      <c r="C206" s="285">
        <v>132.45695499999999</v>
      </c>
      <c r="D206" s="286">
        <v>123.29855563491931</v>
      </c>
      <c r="E206" s="285">
        <f t="shared" si="9"/>
        <v>123.29855563491931</v>
      </c>
      <c r="F206" s="295"/>
      <c r="G206" s="199" t="str">
        <f t="shared" si="10"/>
        <v/>
      </c>
      <c r="H206" s="287" t="str">
        <f t="shared" si="11"/>
        <v/>
      </c>
      <c r="I206" s="288"/>
    </row>
    <row r="207" spans="1:9">
      <c r="A207" s="283">
        <v>205</v>
      </c>
      <c r="B207" s="284">
        <v>44402</v>
      </c>
      <c r="C207" s="285">
        <v>99.542224000000004</v>
      </c>
      <c r="D207" s="286">
        <v>123.29855563491931</v>
      </c>
      <c r="E207" s="285">
        <f t="shared" si="9"/>
        <v>99.542224000000004</v>
      </c>
      <c r="F207" s="295"/>
      <c r="G207" s="199" t="str">
        <f t="shared" si="10"/>
        <v/>
      </c>
      <c r="H207" s="287" t="str">
        <f t="shared" si="11"/>
        <v/>
      </c>
      <c r="I207" s="288"/>
    </row>
    <row r="208" spans="1:9">
      <c r="A208" s="283">
        <v>206</v>
      </c>
      <c r="B208" s="284">
        <v>44403</v>
      </c>
      <c r="C208" s="285">
        <v>96.480999999999995</v>
      </c>
      <c r="D208" s="286">
        <v>123.29855563491931</v>
      </c>
      <c r="E208" s="285">
        <f t="shared" si="9"/>
        <v>96.480999999999995</v>
      </c>
      <c r="F208" s="295"/>
      <c r="G208" s="199" t="str">
        <f t="shared" si="10"/>
        <v/>
      </c>
      <c r="H208" s="287" t="str">
        <f t="shared" si="11"/>
        <v/>
      </c>
      <c r="I208" s="288"/>
    </row>
    <row r="209" spans="1:9">
      <c r="A209" s="283">
        <v>207</v>
      </c>
      <c r="B209" s="284">
        <v>44404</v>
      </c>
      <c r="C209" s="285">
        <v>97.773696000000001</v>
      </c>
      <c r="D209" s="286">
        <v>123.29855563491931</v>
      </c>
      <c r="E209" s="285">
        <f t="shared" si="9"/>
        <v>97.773696000000001</v>
      </c>
      <c r="F209" s="295"/>
      <c r="G209" s="199" t="str">
        <f t="shared" si="10"/>
        <v/>
      </c>
      <c r="H209" s="287" t="str">
        <f t="shared" si="11"/>
        <v/>
      </c>
      <c r="I209" s="288"/>
    </row>
    <row r="210" spans="1:9">
      <c r="A210" s="283">
        <v>208</v>
      </c>
      <c r="B210" s="284">
        <v>44405</v>
      </c>
      <c r="C210" s="285">
        <v>141.26927699999999</v>
      </c>
      <c r="D210" s="286">
        <v>123.29855563491931</v>
      </c>
      <c r="E210" s="285">
        <f t="shared" si="9"/>
        <v>123.29855563491931</v>
      </c>
      <c r="F210" s="295"/>
      <c r="G210" s="199" t="str">
        <f t="shared" si="10"/>
        <v/>
      </c>
      <c r="H210" s="287" t="str">
        <f t="shared" si="11"/>
        <v/>
      </c>
      <c r="I210" s="288"/>
    </row>
    <row r="211" spans="1:9">
      <c r="A211" s="283">
        <v>209</v>
      </c>
      <c r="B211" s="284">
        <v>44406</v>
      </c>
      <c r="C211" s="285">
        <v>126.49508999999999</v>
      </c>
      <c r="D211" s="286">
        <v>123.29855563491931</v>
      </c>
      <c r="E211" s="285">
        <f t="shared" si="9"/>
        <v>123.29855563491931</v>
      </c>
      <c r="F211" s="295"/>
      <c r="G211" s="199" t="str">
        <f t="shared" si="10"/>
        <v/>
      </c>
      <c r="H211" s="287" t="str">
        <f t="shared" si="11"/>
        <v/>
      </c>
      <c r="I211" s="288"/>
    </row>
    <row r="212" spans="1:9">
      <c r="A212" s="283">
        <v>210</v>
      </c>
      <c r="B212" s="284">
        <v>44407</v>
      </c>
      <c r="C212" s="285">
        <v>139.68963100000002</v>
      </c>
      <c r="D212" s="286">
        <v>123.29855563491931</v>
      </c>
      <c r="E212" s="285">
        <f t="shared" si="9"/>
        <v>123.29855563491931</v>
      </c>
      <c r="F212" s="295"/>
      <c r="G212" s="199" t="str">
        <f t="shared" si="10"/>
        <v/>
      </c>
      <c r="H212" s="287" t="str">
        <f t="shared" si="11"/>
        <v/>
      </c>
      <c r="I212" s="288"/>
    </row>
    <row r="213" spans="1:9">
      <c r="A213" s="283">
        <v>211</v>
      </c>
      <c r="B213" s="284">
        <v>44408</v>
      </c>
      <c r="C213" s="285">
        <v>231.40021200000001</v>
      </c>
      <c r="D213" s="286">
        <v>123.29855563491931</v>
      </c>
      <c r="E213" s="285">
        <f t="shared" si="9"/>
        <v>123.29855563491931</v>
      </c>
      <c r="F213" s="295"/>
      <c r="G213" s="199" t="str">
        <f t="shared" si="10"/>
        <v/>
      </c>
      <c r="H213" s="287" t="str">
        <f t="shared" si="11"/>
        <v/>
      </c>
      <c r="I213" s="288"/>
    </row>
    <row r="214" spans="1:9">
      <c r="A214" s="283">
        <v>212</v>
      </c>
      <c r="B214" s="284">
        <v>44409</v>
      </c>
      <c r="C214" s="285">
        <v>105.18641799999999</v>
      </c>
      <c r="D214" s="286">
        <v>119.88224746277839</v>
      </c>
      <c r="E214" s="285">
        <f t="shared" si="9"/>
        <v>105.18641799999999</v>
      </c>
      <c r="F214" s="295"/>
      <c r="G214" s="199" t="str">
        <f t="shared" si="10"/>
        <v/>
      </c>
      <c r="H214" s="287" t="str">
        <f t="shared" si="11"/>
        <v/>
      </c>
      <c r="I214" s="288"/>
    </row>
    <row r="215" spans="1:9">
      <c r="A215" s="283">
        <v>213</v>
      </c>
      <c r="B215" s="284">
        <v>44410</v>
      </c>
      <c r="C215" s="285">
        <v>65.453483000000006</v>
      </c>
      <c r="D215" s="286">
        <v>119.88224746277839</v>
      </c>
      <c r="E215" s="285">
        <f t="shared" si="9"/>
        <v>65.453483000000006</v>
      </c>
      <c r="F215" s="295"/>
      <c r="G215" s="199" t="str">
        <f t="shared" si="10"/>
        <v/>
      </c>
      <c r="H215" s="287" t="str">
        <f t="shared" si="11"/>
        <v/>
      </c>
      <c r="I215" s="288"/>
    </row>
    <row r="216" spans="1:9">
      <c r="A216" s="283">
        <v>214</v>
      </c>
      <c r="B216" s="284">
        <v>44411</v>
      </c>
      <c r="C216" s="285">
        <v>81.197506000000004</v>
      </c>
      <c r="D216" s="286">
        <v>119.88224746277839</v>
      </c>
      <c r="E216" s="285">
        <f t="shared" si="9"/>
        <v>81.197506000000004</v>
      </c>
      <c r="F216" s="288"/>
      <c r="G216" s="199" t="str">
        <f t="shared" si="10"/>
        <v/>
      </c>
      <c r="H216" s="287" t="str">
        <f t="shared" si="11"/>
        <v/>
      </c>
      <c r="I216" s="288"/>
    </row>
    <row r="217" spans="1:9">
      <c r="A217" s="283">
        <v>215</v>
      </c>
      <c r="B217" s="284">
        <v>44412</v>
      </c>
      <c r="C217" s="285">
        <v>117.955557</v>
      </c>
      <c r="D217" s="286">
        <v>119.88224746277839</v>
      </c>
      <c r="E217" s="285">
        <f t="shared" si="9"/>
        <v>117.955557</v>
      </c>
      <c r="F217" s="295"/>
      <c r="G217" s="199" t="str">
        <f t="shared" si="10"/>
        <v/>
      </c>
      <c r="H217" s="287" t="str">
        <f t="shared" si="11"/>
        <v/>
      </c>
      <c r="I217" s="288"/>
    </row>
    <row r="218" spans="1:9">
      <c r="A218" s="283">
        <v>216</v>
      </c>
      <c r="B218" s="284">
        <v>44413</v>
      </c>
      <c r="C218" s="285">
        <v>126.16914299999999</v>
      </c>
      <c r="D218" s="286">
        <v>119.88224746277839</v>
      </c>
      <c r="E218" s="285">
        <f t="shared" si="9"/>
        <v>119.88224746277839</v>
      </c>
      <c r="F218" s="295"/>
      <c r="G218" s="199" t="str">
        <f t="shared" si="10"/>
        <v/>
      </c>
      <c r="H218" s="287" t="str">
        <f t="shared" si="11"/>
        <v/>
      </c>
      <c r="I218" s="288"/>
    </row>
    <row r="219" spans="1:9">
      <c r="A219" s="283">
        <v>217</v>
      </c>
      <c r="B219" s="284">
        <v>44414</v>
      </c>
      <c r="C219" s="285">
        <v>136.28642299999998</v>
      </c>
      <c r="D219" s="286">
        <v>119.88224746277839</v>
      </c>
      <c r="E219" s="285">
        <f t="shared" si="9"/>
        <v>119.88224746277839</v>
      </c>
      <c r="F219" s="295"/>
      <c r="G219" s="199" t="str">
        <f t="shared" si="10"/>
        <v/>
      </c>
      <c r="H219" s="287" t="str">
        <f t="shared" si="11"/>
        <v/>
      </c>
      <c r="I219" s="288"/>
    </row>
    <row r="220" spans="1:9">
      <c r="A220" s="283">
        <v>218</v>
      </c>
      <c r="B220" s="284">
        <v>44415</v>
      </c>
      <c r="C220" s="285">
        <v>161.55721499999999</v>
      </c>
      <c r="D220" s="286">
        <v>119.88224746277839</v>
      </c>
      <c r="E220" s="285">
        <f t="shared" si="9"/>
        <v>119.88224746277839</v>
      </c>
      <c r="F220" s="295"/>
      <c r="G220" s="199" t="str">
        <f t="shared" si="10"/>
        <v/>
      </c>
      <c r="H220" s="287" t="str">
        <f t="shared" si="11"/>
        <v/>
      </c>
      <c r="I220" s="288"/>
    </row>
    <row r="221" spans="1:9">
      <c r="A221" s="283">
        <v>219</v>
      </c>
      <c r="B221" s="284">
        <v>44416</v>
      </c>
      <c r="C221" s="285">
        <v>90.907698999999994</v>
      </c>
      <c r="D221" s="286">
        <v>119.88224746277839</v>
      </c>
      <c r="E221" s="285">
        <f t="shared" si="9"/>
        <v>90.907698999999994</v>
      </c>
      <c r="F221" s="295"/>
      <c r="G221" s="199" t="str">
        <f t="shared" si="10"/>
        <v/>
      </c>
      <c r="H221" s="287" t="str">
        <f t="shared" si="11"/>
        <v/>
      </c>
      <c r="I221" s="288"/>
    </row>
    <row r="222" spans="1:9">
      <c r="A222" s="283">
        <v>220</v>
      </c>
      <c r="B222" s="284">
        <v>44417</v>
      </c>
      <c r="C222" s="285">
        <v>83.164895000000001</v>
      </c>
      <c r="D222" s="286">
        <v>119.88224746277839</v>
      </c>
      <c r="E222" s="285">
        <f t="shared" si="9"/>
        <v>83.164895000000001</v>
      </c>
      <c r="F222" s="295"/>
      <c r="G222" s="199" t="str">
        <f t="shared" si="10"/>
        <v/>
      </c>
      <c r="H222" s="287" t="str">
        <f t="shared" si="11"/>
        <v/>
      </c>
      <c r="I222" s="288"/>
    </row>
    <row r="223" spans="1:9">
      <c r="A223" s="283">
        <v>221</v>
      </c>
      <c r="B223" s="284">
        <v>44418</v>
      </c>
      <c r="C223" s="285">
        <v>63.678758999999999</v>
      </c>
      <c r="D223" s="286">
        <v>119.88224746277839</v>
      </c>
      <c r="E223" s="285">
        <f t="shared" si="9"/>
        <v>63.678758999999999</v>
      </c>
      <c r="F223" s="295"/>
      <c r="G223" s="199" t="str">
        <f t="shared" si="10"/>
        <v/>
      </c>
      <c r="H223" s="287" t="str">
        <f t="shared" si="11"/>
        <v/>
      </c>
      <c r="I223" s="288"/>
    </row>
    <row r="224" spans="1:9">
      <c r="A224" s="283">
        <v>222</v>
      </c>
      <c r="B224" s="284">
        <v>44419</v>
      </c>
      <c r="C224" s="285">
        <v>70.815956999999997</v>
      </c>
      <c r="D224" s="286">
        <v>119.88224746277839</v>
      </c>
      <c r="E224" s="285">
        <f t="shared" si="9"/>
        <v>70.815956999999997</v>
      </c>
      <c r="F224" s="295"/>
      <c r="G224" s="199" t="str">
        <f t="shared" si="10"/>
        <v/>
      </c>
      <c r="H224" s="287" t="str">
        <f t="shared" si="11"/>
        <v/>
      </c>
      <c r="I224" s="288"/>
    </row>
    <row r="225" spans="1:9">
      <c r="A225" s="283">
        <v>223</v>
      </c>
      <c r="B225" s="284">
        <v>44420</v>
      </c>
      <c r="C225" s="285">
        <v>105.14086700000001</v>
      </c>
      <c r="D225" s="286">
        <v>119.88224746277839</v>
      </c>
      <c r="E225" s="285">
        <f t="shared" si="9"/>
        <v>105.14086700000001</v>
      </c>
      <c r="F225" s="295"/>
      <c r="G225" s="199" t="str">
        <f t="shared" si="10"/>
        <v/>
      </c>
      <c r="H225" s="287" t="str">
        <f t="shared" si="11"/>
        <v/>
      </c>
      <c r="I225" s="288"/>
    </row>
    <row r="226" spans="1:9">
      <c r="A226" s="283">
        <v>224</v>
      </c>
      <c r="B226" s="284">
        <v>44421</v>
      </c>
      <c r="C226" s="285">
        <v>77.892179999999996</v>
      </c>
      <c r="D226" s="286">
        <v>119.88224746277839</v>
      </c>
      <c r="E226" s="285">
        <f t="shared" si="9"/>
        <v>77.892179999999996</v>
      </c>
      <c r="F226" s="295"/>
      <c r="G226" s="199" t="str">
        <f t="shared" si="10"/>
        <v/>
      </c>
      <c r="H226" s="287" t="str">
        <f t="shared" si="11"/>
        <v/>
      </c>
      <c r="I226" s="288"/>
    </row>
    <row r="227" spans="1:9">
      <c r="A227" s="283">
        <v>225</v>
      </c>
      <c r="B227" s="284">
        <v>44422</v>
      </c>
      <c r="C227" s="285">
        <v>88.148240000000001</v>
      </c>
      <c r="D227" s="286">
        <v>119.88224746277839</v>
      </c>
      <c r="E227" s="285">
        <f t="shared" si="9"/>
        <v>88.148240000000001</v>
      </c>
      <c r="F227" s="295"/>
      <c r="G227" s="199" t="str">
        <f t="shared" si="10"/>
        <v/>
      </c>
      <c r="H227" s="287" t="str">
        <f t="shared" si="11"/>
        <v/>
      </c>
      <c r="I227" s="288"/>
    </row>
    <row r="228" spans="1:9">
      <c r="A228" s="283">
        <v>226</v>
      </c>
      <c r="B228" s="284">
        <v>44423</v>
      </c>
      <c r="C228" s="285">
        <v>135.297934</v>
      </c>
      <c r="D228" s="286">
        <v>119.88224746277839</v>
      </c>
      <c r="E228" s="285">
        <f t="shared" si="9"/>
        <v>119.88224746277839</v>
      </c>
      <c r="F228" s="295"/>
      <c r="G228" s="199" t="str">
        <f t="shared" si="10"/>
        <v>A</v>
      </c>
      <c r="H228" s="287" t="str">
        <f t="shared" si="11"/>
        <v>119,9</v>
      </c>
      <c r="I228" s="288"/>
    </row>
    <row r="229" spans="1:9">
      <c r="A229" s="283">
        <v>227</v>
      </c>
      <c r="B229" s="284">
        <v>44424</v>
      </c>
      <c r="C229" s="285">
        <v>245.533017</v>
      </c>
      <c r="D229" s="286">
        <v>119.88224746277839</v>
      </c>
      <c r="E229" s="285">
        <f t="shared" si="9"/>
        <v>119.88224746277839</v>
      </c>
      <c r="F229" s="295"/>
      <c r="G229" s="199" t="str">
        <f t="shared" si="10"/>
        <v/>
      </c>
      <c r="H229" s="287" t="str">
        <f t="shared" si="11"/>
        <v/>
      </c>
      <c r="I229" s="288"/>
    </row>
    <row r="230" spans="1:9">
      <c r="A230" s="283">
        <v>228</v>
      </c>
      <c r="B230" s="284">
        <v>44425</v>
      </c>
      <c r="C230" s="285">
        <v>263.963548</v>
      </c>
      <c r="D230" s="286">
        <v>119.88224746277839</v>
      </c>
      <c r="E230" s="285">
        <f t="shared" si="9"/>
        <v>119.88224746277839</v>
      </c>
      <c r="F230" s="288"/>
      <c r="G230" s="199" t="str">
        <f t="shared" si="10"/>
        <v/>
      </c>
      <c r="H230" s="287" t="str">
        <f t="shared" si="11"/>
        <v/>
      </c>
      <c r="I230" s="288"/>
    </row>
    <row r="231" spans="1:9">
      <c r="A231" s="283">
        <v>229</v>
      </c>
      <c r="B231" s="284">
        <v>44426</v>
      </c>
      <c r="C231" s="285">
        <v>194.14330000000001</v>
      </c>
      <c r="D231" s="286">
        <v>119.88224746277839</v>
      </c>
      <c r="E231" s="285">
        <f t="shared" si="9"/>
        <v>119.88224746277839</v>
      </c>
      <c r="F231" s="295"/>
      <c r="G231" s="199" t="str">
        <f t="shared" si="10"/>
        <v/>
      </c>
      <c r="H231" s="287" t="str">
        <f t="shared" si="11"/>
        <v/>
      </c>
      <c r="I231" s="288"/>
    </row>
    <row r="232" spans="1:9">
      <c r="A232" s="283">
        <v>230</v>
      </c>
      <c r="B232" s="284">
        <v>44427</v>
      </c>
      <c r="C232" s="285">
        <v>100.684027</v>
      </c>
      <c r="D232" s="286">
        <v>119.88224746277839</v>
      </c>
      <c r="E232" s="285">
        <f t="shared" si="9"/>
        <v>100.684027</v>
      </c>
      <c r="F232" s="295"/>
      <c r="G232" s="199" t="str">
        <f t="shared" si="10"/>
        <v/>
      </c>
      <c r="H232" s="287" t="str">
        <f t="shared" si="11"/>
        <v/>
      </c>
      <c r="I232" s="288"/>
    </row>
    <row r="233" spans="1:9">
      <c r="A233" s="283">
        <v>231</v>
      </c>
      <c r="B233" s="284">
        <v>44428</v>
      </c>
      <c r="C233" s="285">
        <v>70.081975999999997</v>
      </c>
      <c r="D233" s="286">
        <v>119.88224746277839</v>
      </c>
      <c r="E233" s="285">
        <f t="shared" si="9"/>
        <v>70.081975999999997</v>
      </c>
      <c r="F233" s="295"/>
      <c r="G233" s="199" t="str">
        <f t="shared" si="10"/>
        <v/>
      </c>
      <c r="H233" s="287" t="str">
        <f t="shared" si="11"/>
        <v/>
      </c>
      <c r="I233" s="288"/>
    </row>
    <row r="234" spans="1:9">
      <c r="A234" s="283">
        <v>232</v>
      </c>
      <c r="B234" s="284">
        <v>44429</v>
      </c>
      <c r="C234" s="285">
        <v>75.086092000000008</v>
      </c>
      <c r="D234" s="286">
        <v>119.88224746277839</v>
      </c>
      <c r="E234" s="285">
        <f t="shared" si="9"/>
        <v>75.086092000000008</v>
      </c>
      <c r="F234" s="295"/>
      <c r="G234" s="199" t="str">
        <f t="shared" si="10"/>
        <v/>
      </c>
      <c r="H234" s="287" t="str">
        <f t="shared" si="11"/>
        <v/>
      </c>
      <c r="I234" s="288"/>
    </row>
    <row r="235" spans="1:9">
      <c r="A235" s="283">
        <v>233</v>
      </c>
      <c r="B235" s="284">
        <v>44430</v>
      </c>
      <c r="C235" s="285">
        <v>136.11590799999999</v>
      </c>
      <c r="D235" s="286">
        <v>119.88224746277839</v>
      </c>
      <c r="E235" s="285">
        <f t="shared" si="9"/>
        <v>119.88224746277839</v>
      </c>
      <c r="F235" s="295"/>
      <c r="G235" s="199" t="str">
        <f t="shared" si="10"/>
        <v/>
      </c>
      <c r="H235" s="287" t="str">
        <f t="shared" si="11"/>
        <v/>
      </c>
      <c r="I235" s="288"/>
    </row>
    <row r="236" spans="1:9">
      <c r="A236" s="283">
        <v>234</v>
      </c>
      <c r="B236" s="284">
        <v>44431</v>
      </c>
      <c r="C236" s="285">
        <v>225.82956899999999</v>
      </c>
      <c r="D236" s="286">
        <v>119.88224746277839</v>
      </c>
      <c r="E236" s="285">
        <f t="shared" si="9"/>
        <v>119.88224746277839</v>
      </c>
      <c r="F236" s="295"/>
      <c r="G236" s="199" t="str">
        <f t="shared" si="10"/>
        <v/>
      </c>
      <c r="H236" s="287" t="str">
        <f t="shared" si="11"/>
        <v/>
      </c>
      <c r="I236" s="288"/>
    </row>
    <row r="237" spans="1:9">
      <c r="A237" s="283">
        <v>235</v>
      </c>
      <c r="B237" s="284">
        <v>44432</v>
      </c>
      <c r="C237" s="285">
        <v>200.029304</v>
      </c>
      <c r="D237" s="286">
        <v>119.88224746277839</v>
      </c>
      <c r="E237" s="285">
        <f t="shared" si="9"/>
        <v>119.88224746277839</v>
      </c>
      <c r="F237" s="295"/>
      <c r="G237" s="199" t="str">
        <f t="shared" si="10"/>
        <v/>
      </c>
      <c r="H237" s="287" t="str">
        <f t="shared" si="11"/>
        <v/>
      </c>
      <c r="I237" s="288"/>
    </row>
    <row r="238" spans="1:9">
      <c r="A238" s="283">
        <v>236</v>
      </c>
      <c r="B238" s="284">
        <v>44433</v>
      </c>
      <c r="C238" s="285">
        <v>84.560342000000006</v>
      </c>
      <c r="D238" s="286">
        <v>119.88224746277839</v>
      </c>
      <c r="E238" s="285">
        <f t="shared" si="9"/>
        <v>84.560342000000006</v>
      </c>
      <c r="F238" s="295"/>
      <c r="G238" s="199" t="str">
        <f t="shared" si="10"/>
        <v/>
      </c>
      <c r="H238" s="287" t="str">
        <f t="shared" si="11"/>
        <v/>
      </c>
      <c r="I238" s="288"/>
    </row>
    <row r="239" spans="1:9">
      <c r="A239" s="283">
        <v>237</v>
      </c>
      <c r="B239" s="284">
        <v>44434</v>
      </c>
      <c r="C239" s="285">
        <v>43.339019</v>
      </c>
      <c r="D239" s="286">
        <v>119.88224746277839</v>
      </c>
      <c r="E239" s="285">
        <f t="shared" si="9"/>
        <v>43.339019</v>
      </c>
      <c r="F239" s="295"/>
      <c r="G239" s="199" t="str">
        <f t="shared" si="10"/>
        <v/>
      </c>
      <c r="H239" s="287" t="str">
        <f t="shared" si="11"/>
        <v/>
      </c>
      <c r="I239" s="288"/>
    </row>
    <row r="240" spans="1:9">
      <c r="A240" s="283">
        <v>238</v>
      </c>
      <c r="B240" s="284">
        <v>44435</v>
      </c>
      <c r="C240" s="285">
        <v>80.722854999999996</v>
      </c>
      <c r="D240" s="286">
        <v>119.88224746277839</v>
      </c>
      <c r="E240" s="285">
        <f t="shared" si="9"/>
        <v>80.722854999999996</v>
      </c>
      <c r="F240" s="295"/>
      <c r="G240" s="199" t="str">
        <f t="shared" si="10"/>
        <v/>
      </c>
      <c r="H240" s="287" t="str">
        <f t="shared" si="11"/>
        <v/>
      </c>
      <c r="I240" s="288"/>
    </row>
    <row r="241" spans="1:9">
      <c r="A241" s="283">
        <v>239</v>
      </c>
      <c r="B241" s="284">
        <v>44436</v>
      </c>
      <c r="C241" s="285">
        <v>164.137237</v>
      </c>
      <c r="D241" s="286">
        <v>119.88224746277839</v>
      </c>
      <c r="E241" s="285">
        <f t="shared" si="9"/>
        <v>119.88224746277839</v>
      </c>
      <c r="F241" s="295"/>
      <c r="G241" s="199" t="str">
        <f t="shared" si="10"/>
        <v/>
      </c>
      <c r="H241" s="287" t="str">
        <f t="shared" si="11"/>
        <v/>
      </c>
      <c r="I241" s="288"/>
    </row>
    <row r="242" spans="1:9">
      <c r="A242" s="283">
        <v>240</v>
      </c>
      <c r="B242" s="284">
        <v>44437</v>
      </c>
      <c r="C242" s="285">
        <v>107.65733099999999</v>
      </c>
      <c r="D242" s="286">
        <v>119.88224746277839</v>
      </c>
      <c r="E242" s="285">
        <f t="shared" si="9"/>
        <v>107.65733099999999</v>
      </c>
      <c r="F242" s="295"/>
      <c r="G242" s="199" t="str">
        <f t="shared" si="10"/>
        <v/>
      </c>
      <c r="H242" s="287" t="str">
        <f t="shared" si="11"/>
        <v/>
      </c>
      <c r="I242" s="288"/>
    </row>
    <row r="243" spans="1:9">
      <c r="A243" s="283">
        <v>241</v>
      </c>
      <c r="B243" s="284">
        <v>44438</v>
      </c>
      <c r="C243" s="285">
        <v>70.595690000000005</v>
      </c>
      <c r="D243" s="286">
        <v>119.88224746277839</v>
      </c>
      <c r="E243" s="285">
        <f t="shared" si="9"/>
        <v>70.595690000000005</v>
      </c>
      <c r="F243" s="295"/>
      <c r="G243" s="199" t="str">
        <f t="shared" si="10"/>
        <v/>
      </c>
      <c r="H243" s="287" t="str">
        <f t="shared" si="11"/>
        <v/>
      </c>
      <c r="I243" s="288"/>
    </row>
    <row r="244" spans="1:9">
      <c r="A244" s="283">
        <v>242</v>
      </c>
      <c r="B244" s="284">
        <v>44439</v>
      </c>
      <c r="C244" s="285">
        <v>79.50084600000001</v>
      </c>
      <c r="D244" s="286">
        <v>119.88224746277839</v>
      </c>
      <c r="E244" s="285">
        <f t="shared" si="9"/>
        <v>79.50084600000001</v>
      </c>
      <c r="F244" s="295"/>
      <c r="G244" s="199" t="str">
        <f t="shared" si="10"/>
        <v/>
      </c>
      <c r="H244" s="287" t="str">
        <f t="shared" si="11"/>
        <v/>
      </c>
      <c r="I244" s="288"/>
    </row>
    <row r="245" spans="1:9">
      <c r="A245" s="283">
        <v>243</v>
      </c>
      <c r="B245" s="284">
        <v>44440</v>
      </c>
      <c r="C245" s="285">
        <v>106.17876099999999</v>
      </c>
      <c r="D245" s="286">
        <v>117.97446350125541</v>
      </c>
      <c r="E245" s="285">
        <f t="shared" si="9"/>
        <v>106.17876099999999</v>
      </c>
      <c r="F245" s="295"/>
      <c r="G245" s="199" t="str">
        <f t="shared" si="10"/>
        <v/>
      </c>
      <c r="H245" s="287" t="str">
        <f t="shared" si="11"/>
        <v/>
      </c>
      <c r="I245" s="288"/>
    </row>
    <row r="246" spans="1:9">
      <c r="A246" s="283">
        <v>244</v>
      </c>
      <c r="B246" s="284">
        <v>44441</v>
      </c>
      <c r="C246" s="285">
        <v>31.283776000000003</v>
      </c>
      <c r="D246" s="286">
        <v>117.97446350125541</v>
      </c>
      <c r="E246" s="285">
        <f t="shared" si="9"/>
        <v>31.283776000000003</v>
      </c>
      <c r="F246" s="295"/>
      <c r="G246" s="199" t="str">
        <f t="shared" si="10"/>
        <v/>
      </c>
      <c r="H246" s="287" t="str">
        <f t="shared" si="11"/>
        <v/>
      </c>
      <c r="I246" s="288"/>
    </row>
    <row r="247" spans="1:9">
      <c r="A247" s="283">
        <v>245</v>
      </c>
      <c r="B247" s="284">
        <v>44442</v>
      </c>
      <c r="C247" s="285">
        <v>18.009798</v>
      </c>
      <c r="D247" s="286">
        <v>117.97446350125541</v>
      </c>
      <c r="E247" s="285">
        <f t="shared" si="9"/>
        <v>18.009798</v>
      </c>
      <c r="F247" s="288"/>
      <c r="G247" s="199" t="str">
        <f t="shared" si="10"/>
        <v/>
      </c>
      <c r="H247" s="287" t="str">
        <f t="shared" si="11"/>
        <v/>
      </c>
      <c r="I247" s="288"/>
    </row>
    <row r="248" spans="1:9">
      <c r="A248" s="283">
        <v>246</v>
      </c>
      <c r="B248" s="284">
        <v>44443</v>
      </c>
      <c r="C248" s="285">
        <v>30.801286000000001</v>
      </c>
      <c r="D248" s="286">
        <v>117.97446350125541</v>
      </c>
      <c r="E248" s="285">
        <f t="shared" si="9"/>
        <v>30.801286000000001</v>
      </c>
      <c r="F248" s="295"/>
      <c r="G248" s="199" t="str">
        <f t="shared" si="10"/>
        <v/>
      </c>
      <c r="H248" s="287" t="str">
        <f t="shared" si="11"/>
        <v/>
      </c>
      <c r="I248" s="288"/>
    </row>
    <row r="249" spans="1:9">
      <c r="A249" s="283">
        <v>247</v>
      </c>
      <c r="B249" s="284">
        <v>44444</v>
      </c>
      <c r="C249" s="285">
        <v>76.818422999999996</v>
      </c>
      <c r="D249" s="286">
        <v>117.97446350125541</v>
      </c>
      <c r="E249" s="285">
        <f t="shared" si="9"/>
        <v>76.818422999999996</v>
      </c>
      <c r="F249" s="295"/>
      <c r="G249" s="199" t="str">
        <f t="shared" si="10"/>
        <v/>
      </c>
      <c r="H249" s="287" t="str">
        <f t="shared" si="11"/>
        <v/>
      </c>
      <c r="I249" s="288"/>
    </row>
    <row r="250" spans="1:9">
      <c r="A250" s="283">
        <v>248</v>
      </c>
      <c r="B250" s="284">
        <v>44445</v>
      </c>
      <c r="C250" s="285">
        <v>139.00310899999999</v>
      </c>
      <c r="D250" s="286">
        <v>117.97446350125541</v>
      </c>
      <c r="E250" s="285">
        <f t="shared" si="9"/>
        <v>117.97446350125541</v>
      </c>
      <c r="F250" s="295"/>
      <c r="G250" s="199" t="str">
        <f t="shared" si="10"/>
        <v/>
      </c>
      <c r="H250" s="287" t="str">
        <f t="shared" si="11"/>
        <v/>
      </c>
      <c r="I250" s="288"/>
    </row>
    <row r="251" spans="1:9">
      <c r="A251" s="283">
        <v>249</v>
      </c>
      <c r="B251" s="284">
        <v>44446</v>
      </c>
      <c r="C251" s="285">
        <v>224.04742100000001</v>
      </c>
      <c r="D251" s="286">
        <v>117.97446350125541</v>
      </c>
      <c r="E251" s="285">
        <f t="shared" si="9"/>
        <v>117.97446350125541</v>
      </c>
      <c r="F251" s="295"/>
      <c r="G251" s="199" t="str">
        <f t="shared" si="10"/>
        <v/>
      </c>
      <c r="H251" s="287" t="str">
        <f t="shared" si="11"/>
        <v/>
      </c>
      <c r="I251" s="288"/>
    </row>
    <row r="252" spans="1:9">
      <c r="A252" s="283">
        <v>250</v>
      </c>
      <c r="B252" s="284">
        <v>44447</v>
      </c>
      <c r="C252" s="285">
        <v>131.33592899999999</v>
      </c>
      <c r="D252" s="286">
        <v>117.97446350125541</v>
      </c>
      <c r="E252" s="285">
        <f t="shared" si="9"/>
        <v>117.97446350125541</v>
      </c>
      <c r="F252" s="295"/>
      <c r="G252" s="199" t="str">
        <f t="shared" si="10"/>
        <v/>
      </c>
      <c r="H252" s="287" t="str">
        <f t="shared" si="11"/>
        <v/>
      </c>
      <c r="I252" s="288"/>
    </row>
    <row r="253" spans="1:9">
      <c r="A253" s="283">
        <v>251</v>
      </c>
      <c r="B253" s="284">
        <v>44448</v>
      </c>
      <c r="C253" s="285">
        <v>116.04786800000001</v>
      </c>
      <c r="D253" s="286">
        <v>117.97446350125541</v>
      </c>
      <c r="E253" s="285">
        <f t="shared" si="9"/>
        <v>116.04786800000001</v>
      </c>
      <c r="F253" s="295"/>
      <c r="G253" s="199" t="str">
        <f t="shared" si="10"/>
        <v/>
      </c>
      <c r="H253" s="287" t="str">
        <f t="shared" si="11"/>
        <v/>
      </c>
      <c r="I253" s="288"/>
    </row>
    <row r="254" spans="1:9">
      <c r="A254" s="283">
        <v>252</v>
      </c>
      <c r="B254" s="284">
        <v>44449</v>
      </c>
      <c r="C254" s="285">
        <v>65.756388000000001</v>
      </c>
      <c r="D254" s="286">
        <v>117.97446350125541</v>
      </c>
      <c r="E254" s="285">
        <f t="shared" si="9"/>
        <v>65.756388000000001</v>
      </c>
      <c r="F254" s="295"/>
      <c r="G254" s="199" t="str">
        <f t="shared" si="10"/>
        <v/>
      </c>
      <c r="H254" s="287" t="str">
        <f t="shared" si="11"/>
        <v/>
      </c>
      <c r="I254" s="288"/>
    </row>
    <row r="255" spans="1:9">
      <c r="A255" s="283">
        <v>253</v>
      </c>
      <c r="B255" s="284">
        <v>44450</v>
      </c>
      <c r="C255" s="285">
        <v>33.642375999999999</v>
      </c>
      <c r="D255" s="286">
        <v>117.97446350125541</v>
      </c>
      <c r="E255" s="285">
        <f t="shared" si="9"/>
        <v>33.642375999999999</v>
      </c>
      <c r="F255" s="295"/>
      <c r="G255" s="199" t="str">
        <f t="shared" si="10"/>
        <v/>
      </c>
      <c r="H255" s="287" t="str">
        <f t="shared" si="11"/>
        <v/>
      </c>
      <c r="I255" s="288"/>
    </row>
    <row r="256" spans="1:9">
      <c r="A256" s="283">
        <v>254</v>
      </c>
      <c r="B256" s="284">
        <v>44451</v>
      </c>
      <c r="C256" s="285">
        <v>46.564877000000003</v>
      </c>
      <c r="D256" s="286">
        <v>117.97446350125541</v>
      </c>
      <c r="E256" s="285">
        <f t="shared" si="9"/>
        <v>46.564877000000003</v>
      </c>
      <c r="F256" s="295"/>
      <c r="G256" s="199" t="str">
        <f t="shared" si="10"/>
        <v/>
      </c>
      <c r="H256" s="287" t="str">
        <f t="shared" si="11"/>
        <v/>
      </c>
      <c r="I256" s="288"/>
    </row>
    <row r="257" spans="1:9">
      <c r="A257" s="283">
        <v>255</v>
      </c>
      <c r="B257" s="284">
        <v>44452</v>
      </c>
      <c r="C257" s="285">
        <v>152.68408700000001</v>
      </c>
      <c r="D257" s="286">
        <v>117.97446350125541</v>
      </c>
      <c r="E257" s="285">
        <f t="shared" si="9"/>
        <v>117.97446350125541</v>
      </c>
      <c r="F257" s="295"/>
      <c r="G257" s="199" t="str">
        <f t="shared" si="10"/>
        <v/>
      </c>
      <c r="H257" s="287" t="str">
        <f t="shared" si="11"/>
        <v/>
      </c>
      <c r="I257" s="288"/>
    </row>
    <row r="258" spans="1:9">
      <c r="A258" s="283">
        <v>256</v>
      </c>
      <c r="B258" s="284">
        <v>44453</v>
      </c>
      <c r="C258" s="285">
        <v>117.793465</v>
      </c>
      <c r="D258" s="286">
        <v>117.97446350125541</v>
      </c>
      <c r="E258" s="285">
        <f t="shared" si="9"/>
        <v>117.793465</v>
      </c>
      <c r="F258" s="295"/>
      <c r="G258" s="199" t="str">
        <f t="shared" si="10"/>
        <v/>
      </c>
      <c r="H258" s="287" t="str">
        <f t="shared" si="11"/>
        <v/>
      </c>
      <c r="I258" s="288"/>
    </row>
    <row r="259" spans="1:9">
      <c r="A259" s="283">
        <v>257</v>
      </c>
      <c r="B259" s="284">
        <v>44454</v>
      </c>
      <c r="C259" s="285">
        <v>45.131029000000005</v>
      </c>
      <c r="D259" s="286">
        <v>117.97446350125541</v>
      </c>
      <c r="E259" s="285">
        <f t="shared" ref="E259:E322" si="12">IF(C259&gt;D259,D259,C259)</f>
        <v>45.131029000000005</v>
      </c>
      <c r="F259" s="295"/>
      <c r="G259" s="199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S</v>
      </c>
      <c r="H259" s="287" t="str">
        <f t="shared" ref="H259:H322" si="14">IF(DAY($B259)=15,TEXT(D259,"#,0"),"")</f>
        <v>118,0</v>
      </c>
      <c r="I259" s="288"/>
    </row>
    <row r="260" spans="1:9">
      <c r="A260" s="283">
        <v>258</v>
      </c>
      <c r="B260" s="284">
        <v>44455</v>
      </c>
      <c r="C260" s="285">
        <v>82.342123000000001</v>
      </c>
      <c r="D260" s="286">
        <v>117.97446350125541</v>
      </c>
      <c r="E260" s="285">
        <f t="shared" si="12"/>
        <v>82.342123000000001</v>
      </c>
      <c r="F260" s="295"/>
      <c r="G260" s="199" t="str">
        <f t="shared" si="13"/>
        <v/>
      </c>
      <c r="H260" s="287" t="str">
        <f t="shared" si="14"/>
        <v/>
      </c>
      <c r="I260" s="288"/>
    </row>
    <row r="261" spans="1:9">
      <c r="A261" s="283">
        <v>259</v>
      </c>
      <c r="B261" s="284">
        <v>44456</v>
      </c>
      <c r="C261" s="285">
        <v>51.168244000000008</v>
      </c>
      <c r="D261" s="286">
        <v>117.97446350125541</v>
      </c>
      <c r="E261" s="285">
        <f t="shared" si="12"/>
        <v>51.168244000000008</v>
      </c>
      <c r="G261" s="199" t="str">
        <f t="shared" si="13"/>
        <v/>
      </c>
      <c r="H261" s="287" t="str">
        <f t="shared" si="14"/>
        <v/>
      </c>
      <c r="I261" s="288"/>
    </row>
    <row r="262" spans="1:9">
      <c r="A262" s="283">
        <v>260</v>
      </c>
      <c r="B262" s="284">
        <v>44457</v>
      </c>
      <c r="C262" s="285">
        <v>108.26396200000001</v>
      </c>
      <c r="D262" s="286">
        <v>117.97446350125541</v>
      </c>
      <c r="E262" s="285">
        <f t="shared" si="12"/>
        <v>108.26396200000001</v>
      </c>
      <c r="F262" s="295"/>
      <c r="G262" s="199" t="str">
        <f t="shared" si="13"/>
        <v/>
      </c>
      <c r="H262" s="287" t="str">
        <f t="shared" si="14"/>
        <v/>
      </c>
      <c r="I262" s="288"/>
    </row>
    <row r="263" spans="1:9">
      <c r="A263" s="283">
        <v>261</v>
      </c>
      <c r="B263" s="284">
        <v>44458</v>
      </c>
      <c r="C263" s="285">
        <v>91.990882999999997</v>
      </c>
      <c r="D263" s="286">
        <v>117.97446350125541</v>
      </c>
      <c r="E263" s="285">
        <f t="shared" si="12"/>
        <v>91.990882999999997</v>
      </c>
      <c r="F263" s="295"/>
      <c r="G263" s="199" t="str">
        <f t="shared" si="13"/>
        <v/>
      </c>
      <c r="H263" s="287" t="str">
        <f t="shared" si="14"/>
        <v/>
      </c>
      <c r="I263" s="288"/>
    </row>
    <row r="264" spans="1:9">
      <c r="A264" s="283">
        <v>262</v>
      </c>
      <c r="B264" s="284">
        <v>44459</v>
      </c>
      <c r="C264" s="285">
        <v>196.96962100000002</v>
      </c>
      <c r="D264" s="286">
        <v>117.97446350125541</v>
      </c>
      <c r="E264" s="285">
        <f t="shared" si="12"/>
        <v>117.97446350125541</v>
      </c>
      <c r="F264" s="295"/>
      <c r="G264" s="199" t="str">
        <f t="shared" si="13"/>
        <v/>
      </c>
      <c r="H264" s="287" t="str">
        <f t="shared" si="14"/>
        <v/>
      </c>
      <c r="I264" s="288"/>
    </row>
    <row r="265" spans="1:9">
      <c r="A265" s="283">
        <v>263</v>
      </c>
      <c r="B265" s="284">
        <v>44460</v>
      </c>
      <c r="C265" s="285">
        <v>221.25798699999999</v>
      </c>
      <c r="D265" s="286">
        <v>117.97446350125541</v>
      </c>
      <c r="E265" s="285">
        <f t="shared" si="12"/>
        <v>117.97446350125541</v>
      </c>
      <c r="F265" s="295"/>
      <c r="G265" s="199" t="str">
        <f t="shared" si="13"/>
        <v/>
      </c>
      <c r="H265" s="287" t="str">
        <f t="shared" si="14"/>
        <v/>
      </c>
      <c r="I265" s="288"/>
    </row>
    <row r="266" spans="1:9">
      <c r="A266" s="283">
        <v>264</v>
      </c>
      <c r="B266" s="284">
        <v>44461</v>
      </c>
      <c r="C266" s="285">
        <v>154.246115</v>
      </c>
      <c r="D266" s="286">
        <v>117.97446350125541</v>
      </c>
      <c r="E266" s="285">
        <f t="shared" si="12"/>
        <v>117.97446350125541</v>
      </c>
      <c r="F266" s="295"/>
      <c r="G266" s="199" t="str">
        <f t="shared" si="13"/>
        <v/>
      </c>
      <c r="H266" s="287" t="str">
        <f t="shared" si="14"/>
        <v/>
      </c>
      <c r="I266" s="288"/>
    </row>
    <row r="267" spans="1:9">
      <c r="A267" s="283">
        <v>265</v>
      </c>
      <c r="B267" s="284">
        <v>44462</v>
      </c>
      <c r="C267" s="285">
        <v>208.75555300000002</v>
      </c>
      <c r="D267" s="286">
        <v>117.97446350125541</v>
      </c>
      <c r="E267" s="285">
        <f t="shared" si="12"/>
        <v>117.97446350125541</v>
      </c>
      <c r="F267" s="295"/>
      <c r="G267" s="199" t="str">
        <f t="shared" si="13"/>
        <v/>
      </c>
      <c r="H267" s="287" t="str">
        <f t="shared" si="14"/>
        <v/>
      </c>
      <c r="I267" s="288"/>
    </row>
    <row r="268" spans="1:9">
      <c r="A268" s="283">
        <v>266</v>
      </c>
      <c r="B268" s="284">
        <v>44463</v>
      </c>
      <c r="C268" s="285">
        <v>120.70046499999999</v>
      </c>
      <c r="D268" s="286">
        <v>117.97446350125541</v>
      </c>
      <c r="E268" s="285">
        <f t="shared" si="12"/>
        <v>117.97446350125541</v>
      </c>
      <c r="F268" s="295"/>
      <c r="G268" s="199" t="str">
        <f t="shared" si="13"/>
        <v/>
      </c>
      <c r="H268" s="287" t="str">
        <f t="shared" si="14"/>
        <v/>
      </c>
      <c r="I268" s="288"/>
    </row>
    <row r="269" spans="1:9">
      <c r="A269" s="283">
        <v>267</v>
      </c>
      <c r="B269" s="284">
        <v>44464</v>
      </c>
      <c r="C269" s="285">
        <v>118.211063</v>
      </c>
      <c r="D269" s="286">
        <v>117.97446350125541</v>
      </c>
      <c r="E269" s="285">
        <f t="shared" si="12"/>
        <v>117.97446350125541</v>
      </c>
      <c r="F269" s="295"/>
      <c r="G269" s="199" t="str">
        <f t="shared" si="13"/>
        <v/>
      </c>
      <c r="H269" s="287" t="str">
        <f t="shared" si="14"/>
        <v/>
      </c>
      <c r="I269" s="288"/>
    </row>
    <row r="270" spans="1:9">
      <c r="A270" s="283">
        <v>268</v>
      </c>
      <c r="B270" s="284">
        <v>44465</v>
      </c>
      <c r="C270" s="285">
        <v>100.70335300000001</v>
      </c>
      <c r="D270" s="286">
        <v>117.97446350125541</v>
      </c>
      <c r="E270" s="285">
        <f t="shared" si="12"/>
        <v>100.70335300000001</v>
      </c>
      <c r="F270" s="295"/>
      <c r="G270" s="199" t="str">
        <f t="shared" si="13"/>
        <v/>
      </c>
      <c r="H270" s="287" t="str">
        <f t="shared" si="14"/>
        <v/>
      </c>
      <c r="I270" s="288"/>
    </row>
    <row r="271" spans="1:9">
      <c r="A271" s="283">
        <v>269</v>
      </c>
      <c r="B271" s="284">
        <v>44466</v>
      </c>
      <c r="C271" s="285">
        <v>77.789228000000008</v>
      </c>
      <c r="D271" s="286">
        <v>117.97446350125541</v>
      </c>
      <c r="E271" s="285">
        <f t="shared" si="12"/>
        <v>77.789228000000008</v>
      </c>
      <c r="F271" s="295"/>
      <c r="G271" s="199" t="str">
        <f t="shared" si="13"/>
        <v/>
      </c>
      <c r="H271" s="287" t="str">
        <f t="shared" si="14"/>
        <v/>
      </c>
      <c r="I271" s="288"/>
    </row>
    <row r="272" spans="1:9">
      <c r="A272" s="283">
        <v>270</v>
      </c>
      <c r="B272" s="284">
        <v>44467</v>
      </c>
      <c r="C272" s="285">
        <v>58.146766000000007</v>
      </c>
      <c r="D272" s="286">
        <v>117.97446350125541</v>
      </c>
      <c r="E272" s="285">
        <f t="shared" si="12"/>
        <v>58.146766000000007</v>
      </c>
      <c r="F272" s="295"/>
      <c r="G272" s="199" t="str">
        <f t="shared" si="13"/>
        <v/>
      </c>
      <c r="H272" s="287" t="str">
        <f t="shared" si="14"/>
        <v/>
      </c>
      <c r="I272" s="288"/>
    </row>
    <row r="273" spans="1:9">
      <c r="A273" s="283">
        <v>271</v>
      </c>
      <c r="B273" s="284">
        <v>44468</v>
      </c>
      <c r="C273" s="285">
        <v>121.07462099999999</v>
      </c>
      <c r="D273" s="286">
        <v>117.97446350125541</v>
      </c>
      <c r="E273" s="285">
        <f t="shared" si="12"/>
        <v>117.97446350125541</v>
      </c>
      <c r="F273" s="295"/>
      <c r="G273" s="199" t="str">
        <f t="shared" si="13"/>
        <v/>
      </c>
      <c r="H273" s="287" t="str">
        <f t="shared" si="14"/>
        <v/>
      </c>
      <c r="I273" s="288"/>
    </row>
    <row r="274" spans="1:9">
      <c r="A274" s="283">
        <v>272</v>
      </c>
      <c r="B274" s="284">
        <v>44469</v>
      </c>
      <c r="C274" s="285">
        <v>83.121623999999997</v>
      </c>
      <c r="D274" s="286">
        <v>117.97446350125541</v>
      </c>
      <c r="E274" s="285">
        <f t="shared" si="12"/>
        <v>83.121623999999997</v>
      </c>
      <c r="F274" s="295"/>
      <c r="G274" s="199" t="str">
        <f t="shared" si="13"/>
        <v/>
      </c>
      <c r="H274" s="287" t="str">
        <f t="shared" si="14"/>
        <v/>
      </c>
      <c r="I274" s="288"/>
    </row>
    <row r="275" spans="1:9">
      <c r="A275" s="283">
        <v>273</v>
      </c>
      <c r="B275" s="284">
        <v>44470</v>
      </c>
      <c r="C275" s="285">
        <v>38.951037999999997</v>
      </c>
      <c r="D275" s="286">
        <v>137.65287575629179</v>
      </c>
      <c r="E275" s="285">
        <f t="shared" si="12"/>
        <v>38.951037999999997</v>
      </c>
      <c r="F275" s="295"/>
      <c r="G275" s="199" t="str">
        <f t="shared" si="13"/>
        <v/>
      </c>
      <c r="H275" s="287" t="str">
        <f t="shared" si="14"/>
        <v/>
      </c>
      <c r="I275" s="288"/>
    </row>
    <row r="276" spans="1:9">
      <c r="A276" s="283">
        <v>274</v>
      </c>
      <c r="B276" s="284">
        <v>44471</v>
      </c>
      <c r="C276" s="285">
        <v>180.029405</v>
      </c>
      <c r="D276" s="286">
        <v>137.65287575629179</v>
      </c>
      <c r="E276" s="285">
        <f t="shared" si="12"/>
        <v>137.65287575629179</v>
      </c>
      <c r="F276" s="295"/>
      <c r="G276" s="199" t="str">
        <f t="shared" si="13"/>
        <v/>
      </c>
      <c r="H276" s="287" t="str">
        <f t="shared" si="14"/>
        <v/>
      </c>
      <c r="I276" s="288"/>
    </row>
    <row r="277" spans="1:9">
      <c r="A277" s="283">
        <v>275</v>
      </c>
      <c r="B277" s="284">
        <v>44472</v>
      </c>
      <c r="C277" s="285">
        <v>246.73464799999999</v>
      </c>
      <c r="D277" s="286">
        <v>137.65287575629179</v>
      </c>
      <c r="E277" s="285">
        <f t="shared" si="12"/>
        <v>137.65287575629179</v>
      </c>
      <c r="F277" s="288"/>
      <c r="G277" s="199" t="str">
        <f t="shared" si="13"/>
        <v/>
      </c>
      <c r="H277" s="287" t="str">
        <f t="shared" si="14"/>
        <v/>
      </c>
      <c r="I277" s="288"/>
    </row>
    <row r="278" spans="1:9">
      <c r="A278" s="283">
        <v>276</v>
      </c>
      <c r="B278" s="284">
        <v>44473</v>
      </c>
      <c r="C278" s="285">
        <v>215.60562900000002</v>
      </c>
      <c r="D278" s="286">
        <v>137.65287575629179</v>
      </c>
      <c r="E278" s="285">
        <f t="shared" si="12"/>
        <v>137.65287575629179</v>
      </c>
      <c r="F278" s="295"/>
      <c r="G278" s="199" t="str">
        <f t="shared" si="13"/>
        <v/>
      </c>
      <c r="H278" s="287" t="str">
        <f t="shared" si="14"/>
        <v/>
      </c>
      <c r="I278" s="288"/>
    </row>
    <row r="279" spans="1:9">
      <c r="A279" s="283">
        <v>277</v>
      </c>
      <c r="B279" s="284">
        <v>44474</v>
      </c>
      <c r="C279" s="285">
        <v>169.06775399999998</v>
      </c>
      <c r="D279" s="286">
        <v>137.65287575629179</v>
      </c>
      <c r="E279" s="285">
        <f t="shared" si="12"/>
        <v>137.65287575629179</v>
      </c>
      <c r="F279" s="295"/>
      <c r="G279" s="199" t="str">
        <f t="shared" si="13"/>
        <v/>
      </c>
      <c r="H279" s="287" t="str">
        <f t="shared" si="14"/>
        <v/>
      </c>
      <c r="I279" s="288"/>
    </row>
    <row r="280" spans="1:9">
      <c r="A280" s="283">
        <v>278</v>
      </c>
      <c r="B280" s="284">
        <v>44475</v>
      </c>
      <c r="C280" s="285">
        <v>125.546941</v>
      </c>
      <c r="D280" s="286">
        <v>137.65287575629179</v>
      </c>
      <c r="E280" s="285">
        <f t="shared" si="12"/>
        <v>125.546941</v>
      </c>
      <c r="F280" s="295"/>
      <c r="G280" s="199" t="str">
        <f t="shared" si="13"/>
        <v/>
      </c>
      <c r="H280" s="287" t="str">
        <f t="shared" si="14"/>
        <v/>
      </c>
      <c r="I280" s="288"/>
    </row>
    <row r="281" spans="1:9">
      <c r="A281" s="283">
        <v>279</v>
      </c>
      <c r="B281" s="284">
        <v>44476</v>
      </c>
      <c r="C281" s="285">
        <v>105.950447</v>
      </c>
      <c r="D281" s="286">
        <v>137.65287575629179</v>
      </c>
      <c r="E281" s="285">
        <f t="shared" si="12"/>
        <v>105.950447</v>
      </c>
      <c r="F281" s="295"/>
      <c r="G281" s="199" t="str">
        <f t="shared" si="13"/>
        <v/>
      </c>
      <c r="H281" s="287" t="str">
        <f t="shared" si="14"/>
        <v/>
      </c>
      <c r="I281" s="288"/>
    </row>
    <row r="282" spans="1:9">
      <c r="A282" s="283">
        <v>280</v>
      </c>
      <c r="B282" s="284">
        <v>44477</v>
      </c>
      <c r="C282" s="285">
        <v>90.928991999999994</v>
      </c>
      <c r="D282" s="286">
        <v>137.65287575629179</v>
      </c>
      <c r="E282" s="285">
        <f t="shared" si="12"/>
        <v>90.928991999999994</v>
      </c>
      <c r="F282" s="295"/>
      <c r="G282" s="199" t="str">
        <f t="shared" si="13"/>
        <v/>
      </c>
      <c r="H282" s="287" t="str">
        <f t="shared" si="14"/>
        <v/>
      </c>
      <c r="I282" s="288"/>
    </row>
    <row r="283" spans="1:9">
      <c r="A283" s="283">
        <v>281</v>
      </c>
      <c r="B283" s="284">
        <v>44478</v>
      </c>
      <c r="C283" s="285">
        <v>122.182894</v>
      </c>
      <c r="D283" s="286">
        <v>137.65287575629179</v>
      </c>
      <c r="E283" s="285">
        <f t="shared" si="12"/>
        <v>122.182894</v>
      </c>
      <c r="F283" s="295"/>
      <c r="G283" s="199" t="str">
        <f t="shared" si="13"/>
        <v/>
      </c>
      <c r="H283" s="287" t="str">
        <f t="shared" si="14"/>
        <v/>
      </c>
      <c r="I283" s="288"/>
    </row>
    <row r="284" spans="1:9">
      <c r="A284" s="283">
        <v>282</v>
      </c>
      <c r="B284" s="284">
        <v>44479</v>
      </c>
      <c r="C284" s="285">
        <v>201.51575700000001</v>
      </c>
      <c r="D284" s="286">
        <v>137.65287575629179</v>
      </c>
      <c r="E284" s="285">
        <f t="shared" si="12"/>
        <v>137.65287575629179</v>
      </c>
      <c r="F284" s="295"/>
      <c r="G284" s="199" t="str">
        <f t="shared" si="13"/>
        <v/>
      </c>
      <c r="H284" s="287" t="str">
        <f t="shared" si="14"/>
        <v/>
      </c>
      <c r="I284" s="288"/>
    </row>
    <row r="285" spans="1:9">
      <c r="A285" s="283">
        <v>283</v>
      </c>
      <c r="B285" s="284">
        <v>44480</v>
      </c>
      <c r="C285" s="285">
        <v>170.37476599999999</v>
      </c>
      <c r="D285" s="286">
        <v>137.65287575629179</v>
      </c>
      <c r="E285" s="285">
        <f t="shared" si="12"/>
        <v>137.65287575629179</v>
      </c>
      <c r="F285" s="295"/>
      <c r="G285" s="199" t="str">
        <f t="shared" si="13"/>
        <v/>
      </c>
      <c r="H285" s="287" t="str">
        <f t="shared" si="14"/>
        <v/>
      </c>
      <c r="I285" s="288"/>
    </row>
    <row r="286" spans="1:9">
      <c r="A286" s="283">
        <v>284</v>
      </c>
      <c r="B286" s="284">
        <v>44481</v>
      </c>
      <c r="C286" s="285">
        <v>151.59590900000001</v>
      </c>
      <c r="D286" s="286">
        <v>137.65287575629179</v>
      </c>
      <c r="E286" s="285">
        <f t="shared" si="12"/>
        <v>137.65287575629179</v>
      </c>
      <c r="F286" s="295"/>
      <c r="G286" s="199" t="str">
        <f t="shared" si="13"/>
        <v/>
      </c>
      <c r="H286" s="287" t="str">
        <f t="shared" si="14"/>
        <v/>
      </c>
      <c r="I286" s="288"/>
    </row>
    <row r="287" spans="1:9">
      <c r="A287" s="283">
        <v>285</v>
      </c>
      <c r="B287" s="284">
        <v>44482</v>
      </c>
      <c r="C287" s="285">
        <v>178.21547899999999</v>
      </c>
      <c r="D287" s="286">
        <v>137.65287575629179</v>
      </c>
      <c r="E287" s="285">
        <f t="shared" si="12"/>
        <v>137.65287575629179</v>
      </c>
      <c r="F287" s="295"/>
      <c r="G287" s="199" t="str">
        <f t="shared" si="13"/>
        <v/>
      </c>
      <c r="H287" s="287" t="str">
        <f t="shared" si="14"/>
        <v/>
      </c>
      <c r="I287" s="288"/>
    </row>
    <row r="288" spans="1:9">
      <c r="A288" s="283">
        <v>286</v>
      </c>
      <c r="B288" s="284">
        <v>44483</v>
      </c>
      <c r="C288" s="285">
        <v>76.062578999999999</v>
      </c>
      <c r="D288" s="286">
        <v>137.65287575629179</v>
      </c>
      <c r="E288" s="285">
        <f t="shared" si="12"/>
        <v>76.062578999999999</v>
      </c>
      <c r="F288" s="295"/>
      <c r="G288" s="199" t="str">
        <f t="shared" si="13"/>
        <v/>
      </c>
      <c r="H288" s="287" t="str">
        <f t="shared" si="14"/>
        <v/>
      </c>
      <c r="I288" s="288"/>
    </row>
    <row r="289" spans="1:9">
      <c r="A289" s="283">
        <v>287</v>
      </c>
      <c r="B289" s="284">
        <v>44484</v>
      </c>
      <c r="C289" s="285">
        <v>59.871079999999999</v>
      </c>
      <c r="D289" s="286">
        <v>137.65287575629179</v>
      </c>
      <c r="E289" s="285">
        <f t="shared" si="12"/>
        <v>59.871079999999999</v>
      </c>
      <c r="F289" s="295"/>
      <c r="G289" s="199" t="str">
        <f t="shared" si="13"/>
        <v>O</v>
      </c>
      <c r="H289" s="287" t="str">
        <f t="shared" si="14"/>
        <v>137,7</v>
      </c>
      <c r="I289" s="288"/>
    </row>
    <row r="290" spans="1:9">
      <c r="A290" s="283">
        <v>288</v>
      </c>
      <c r="B290" s="284">
        <v>44485</v>
      </c>
      <c r="C290" s="285">
        <v>51.861211000000004</v>
      </c>
      <c r="D290" s="286">
        <v>137.65287575629179</v>
      </c>
      <c r="E290" s="285">
        <f t="shared" si="12"/>
        <v>51.861211000000004</v>
      </c>
      <c r="F290" s="295"/>
      <c r="G290" s="199" t="str">
        <f t="shared" si="13"/>
        <v/>
      </c>
      <c r="H290" s="287" t="str">
        <f t="shared" si="14"/>
        <v/>
      </c>
      <c r="I290" s="288"/>
    </row>
    <row r="291" spans="1:9">
      <c r="A291" s="283">
        <v>289</v>
      </c>
      <c r="B291" s="284">
        <v>44486</v>
      </c>
      <c r="C291" s="285">
        <v>54.082636000000001</v>
      </c>
      <c r="D291" s="286">
        <v>137.65287575629179</v>
      </c>
      <c r="E291" s="285">
        <f t="shared" si="12"/>
        <v>54.082636000000001</v>
      </c>
      <c r="F291" s="295"/>
      <c r="G291" s="199" t="str">
        <f t="shared" si="13"/>
        <v/>
      </c>
      <c r="H291" s="287" t="str">
        <f t="shared" si="14"/>
        <v/>
      </c>
      <c r="I291" s="288"/>
    </row>
    <row r="292" spans="1:9">
      <c r="A292" s="283">
        <v>290</v>
      </c>
      <c r="B292" s="284">
        <v>44487</v>
      </c>
      <c r="C292" s="285">
        <v>68.709242000000003</v>
      </c>
      <c r="D292" s="286">
        <v>137.65287575629179</v>
      </c>
      <c r="E292" s="285">
        <f t="shared" si="12"/>
        <v>68.709242000000003</v>
      </c>
      <c r="F292" s="295"/>
      <c r="G292" s="199" t="str">
        <f t="shared" si="13"/>
        <v/>
      </c>
      <c r="H292" s="287" t="str">
        <f t="shared" si="14"/>
        <v/>
      </c>
      <c r="I292" s="288"/>
    </row>
    <row r="293" spans="1:9">
      <c r="A293" s="283">
        <v>291</v>
      </c>
      <c r="B293" s="284">
        <v>44488</v>
      </c>
      <c r="C293" s="285">
        <v>183.80529100000001</v>
      </c>
      <c r="D293" s="286">
        <v>137.65287575629179</v>
      </c>
      <c r="E293" s="285">
        <f t="shared" si="12"/>
        <v>137.65287575629179</v>
      </c>
      <c r="F293" s="295"/>
      <c r="G293" s="199" t="str">
        <f t="shared" si="13"/>
        <v/>
      </c>
      <c r="H293" s="287" t="str">
        <f t="shared" si="14"/>
        <v/>
      </c>
      <c r="I293" s="288"/>
    </row>
    <row r="294" spans="1:9">
      <c r="A294" s="283">
        <v>292</v>
      </c>
      <c r="B294" s="284">
        <v>44489</v>
      </c>
      <c r="C294" s="285">
        <v>217.53779500000002</v>
      </c>
      <c r="D294" s="286">
        <v>137.65287575629179</v>
      </c>
      <c r="E294" s="285">
        <f t="shared" si="12"/>
        <v>137.65287575629179</v>
      </c>
      <c r="F294" s="295"/>
      <c r="G294" s="199" t="str">
        <f t="shared" si="13"/>
        <v/>
      </c>
      <c r="H294" s="287" t="str">
        <f t="shared" si="14"/>
        <v/>
      </c>
      <c r="I294" s="288"/>
    </row>
    <row r="295" spans="1:9">
      <c r="A295" s="283">
        <v>293</v>
      </c>
      <c r="B295" s="284">
        <v>44490</v>
      </c>
      <c r="C295" s="285">
        <v>113.226527</v>
      </c>
      <c r="D295" s="286">
        <v>137.65287575629179</v>
      </c>
      <c r="E295" s="285">
        <f t="shared" si="12"/>
        <v>113.226527</v>
      </c>
      <c r="F295" s="295"/>
      <c r="G295" s="199" t="str">
        <f t="shared" si="13"/>
        <v/>
      </c>
      <c r="H295" s="287" t="str">
        <f t="shared" si="14"/>
        <v/>
      </c>
      <c r="I295" s="288"/>
    </row>
    <row r="296" spans="1:9">
      <c r="A296" s="283">
        <v>294</v>
      </c>
      <c r="B296" s="284">
        <v>44491</v>
      </c>
      <c r="C296" s="285">
        <v>168.466004</v>
      </c>
      <c r="D296" s="286">
        <v>137.65287575629179</v>
      </c>
      <c r="E296" s="285">
        <f t="shared" si="12"/>
        <v>137.65287575629179</v>
      </c>
      <c r="F296" s="295"/>
      <c r="G296" s="199" t="str">
        <f t="shared" si="13"/>
        <v/>
      </c>
      <c r="H296" s="287" t="str">
        <f t="shared" si="14"/>
        <v/>
      </c>
      <c r="I296" s="288"/>
    </row>
    <row r="297" spans="1:9">
      <c r="A297" s="283">
        <v>295</v>
      </c>
      <c r="B297" s="284">
        <v>44492</v>
      </c>
      <c r="C297" s="285">
        <v>77.004344000000003</v>
      </c>
      <c r="D297" s="286">
        <v>137.65287575629179</v>
      </c>
      <c r="E297" s="285">
        <f t="shared" si="12"/>
        <v>77.004344000000003</v>
      </c>
      <c r="F297" s="295"/>
      <c r="G297" s="199" t="str">
        <f t="shared" si="13"/>
        <v/>
      </c>
      <c r="H297" s="287" t="str">
        <f t="shared" si="14"/>
        <v/>
      </c>
      <c r="I297" s="288"/>
    </row>
    <row r="298" spans="1:9">
      <c r="A298" s="283">
        <v>296</v>
      </c>
      <c r="B298" s="284">
        <v>44493</v>
      </c>
      <c r="C298" s="285">
        <v>53.182631999999998</v>
      </c>
      <c r="D298" s="286">
        <v>137.65287575629179</v>
      </c>
      <c r="E298" s="285">
        <f t="shared" si="12"/>
        <v>53.182631999999998</v>
      </c>
      <c r="F298" s="295"/>
      <c r="G298" s="199" t="str">
        <f t="shared" si="13"/>
        <v/>
      </c>
      <c r="H298" s="287" t="str">
        <f t="shared" si="14"/>
        <v/>
      </c>
      <c r="I298" s="288"/>
    </row>
    <row r="299" spans="1:9">
      <c r="A299" s="283">
        <v>297</v>
      </c>
      <c r="B299" s="284">
        <v>44494</v>
      </c>
      <c r="C299" s="285">
        <v>37.105714999999996</v>
      </c>
      <c r="D299" s="286">
        <v>137.65287575629179</v>
      </c>
      <c r="E299" s="285">
        <f t="shared" si="12"/>
        <v>37.105714999999996</v>
      </c>
      <c r="F299" s="295"/>
      <c r="G299" s="199" t="str">
        <f t="shared" si="13"/>
        <v/>
      </c>
      <c r="H299" s="287" t="str">
        <f t="shared" si="14"/>
        <v/>
      </c>
      <c r="I299" s="288"/>
    </row>
    <row r="300" spans="1:9">
      <c r="A300" s="283">
        <v>298</v>
      </c>
      <c r="B300" s="284">
        <v>44495</v>
      </c>
      <c r="C300" s="285">
        <v>77.953000000000003</v>
      </c>
      <c r="D300" s="286">
        <v>137.65287575629179</v>
      </c>
      <c r="E300" s="285">
        <f t="shared" si="12"/>
        <v>77.953000000000003</v>
      </c>
      <c r="F300" s="295"/>
      <c r="G300" s="199" t="str">
        <f t="shared" si="13"/>
        <v/>
      </c>
      <c r="H300" s="287" t="str">
        <f t="shared" si="14"/>
        <v/>
      </c>
      <c r="I300" s="288"/>
    </row>
    <row r="301" spans="1:9">
      <c r="A301" s="283">
        <v>299</v>
      </c>
      <c r="B301" s="284">
        <v>44496</v>
      </c>
      <c r="C301" s="285">
        <v>43.982450999999998</v>
      </c>
      <c r="D301" s="286">
        <v>137.65287575629179</v>
      </c>
      <c r="E301" s="285">
        <f t="shared" si="12"/>
        <v>43.982450999999998</v>
      </c>
      <c r="F301" s="295"/>
      <c r="G301" s="199" t="str">
        <f t="shared" si="13"/>
        <v/>
      </c>
      <c r="H301" s="287" t="str">
        <f t="shared" si="14"/>
        <v/>
      </c>
      <c r="I301" s="288"/>
    </row>
    <row r="302" spans="1:9">
      <c r="A302" s="283">
        <v>300</v>
      </c>
      <c r="B302" s="284">
        <v>44497</v>
      </c>
      <c r="C302" s="285">
        <v>159.33919700000001</v>
      </c>
      <c r="D302" s="286">
        <v>137.65287575629179</v>
      </c>
      <c r="E302" s="285">
        <f t="shared" si="12"/>
        <v>137.65287575629179</v>
      </c>
      <c r="F302" s="295"/>
      <c r="G302" s="199" t="str">
        <f t="shared" si="13"/>
        <v/>
      </c>
      <c r="H302" s="287" t="str">
        <f t="shared" si="14"/>
        <v/>
      </c>
      <c r="I302" s="288"/>
    </row>
    <row r="303" spans="1:9">
      <c r="A303" s="283">
        <v>301</v>
      </c>
      <c r="B303" s="284">
        <v>44498</v>
      </c>
      <c r="C303" s="285">
        <v>214.27010000000001</v>
      </c>
      <c r="D303" s="286">
        <v>137.65287575629179</v>
      </c>
      <c r="E303" s="285">
        <f t="shared" si="12"/>
        <v>137.65287575629179</v>
      </c>
      <c r="F303" s="295"/>
      <c r="G303" s="199" t="str">
        <f t="shared" si="13"/>
        <v/>
      </c>
      <c r="H303" s="287" t="str">
        <f t="shared" si="14"/>
        <v/>
      </c>
      <c r="I303" s="288"/>
    </row>
    <row r="304" spans="1:9">
      <c r="A304" s="283">
        <v>302</v>
      </c>
      <c r="B304" s="284">
        <v>44499</v>
      </c>
      <c r="C304" s="285">
        <v>278.11968000000002</v>
      </c>
      <c r="D304" s="286">
        <v>137.65287575629179</v>
      </c>
      <c r="E304" s="285">
        <f t="shared" si="12"/>
        <v>137.65287575629179</v>
      </c>
      <c r="F304" s="295"/>
      <c r="G304" s="199" t="str">
        <f t="shared" si="13"/>
        <v/>
      </c>
      <c r="H304" s="287" t="str">
        <f t="shared" si="14"/>
        <v/>
      </c>
      <c r="I304" s="288"/>
    </row>
    <row r="305" spans="1:9">
      <c r="A305" s="283">
        <v>303</v>
      </c>
      <c r="B305" s="284">
        <v>44500</v>
      </c>
      <c r="C305" s="285">
        <v>319.05814199999998</v>
      </c>
      <c r="D305" s="286">
        <v>137.65287575629179</v>
      </c>
      <c r="E305" s="285">
        <f t="shared" si="12"/>
        <v>137.65287575629179</v>
      </c>
      <c r="F305" s="295"/>
      <c r="G305" s="199" t="str">
        <f t="shared" si="13"/>
        <v/>
      </c>
      <c r="H305" s="287" t="str">
        <f t="shared" si="14"/>
        <v/>
      </c>
      <c r="I305" s="288"/>
    </row>
    <row r="306" spans="1:9">
      <c r="A306" s="283">
        <v>304</v>
      </c>
      <c r="B306" s="284">
        <v>44501</v>
      </c>
      <c r="C306" s="285">
        <v>299.69549800000004</v>
      </c>
      <c r="D306" s="286">
        <v>183.91599168072182</v>
      </c>
      <c r="E306" s="285">
        <f t="shared" si="12"/>
        <v>183.91599168072182</v>
      </c>
      <c r="F306" s="295"/>
      <c r="G306" s="199" t="str">
        <f t="shared" si="13"/>
        <v/>
      </c>
      <c r="H306" s="287" t="str">
        <f t="shared" si="14"/>
        <v/>
      </c>
      <c r="I306" s="288"/>
    </row>
    <row r="307" spans="1:9">
      <c r="A307" s="283">
        <v>305</v>
      </c>
      <c r="B307" s="284">
        <v>44502</v>
      </c>
      <c r="C307" s="285">
        <v>291.50226099999998</v>
      </c>
      <c r="D307" s="286">
        <v>183.91599168072182</v>
      </c>
      <c r="E307" s="285">
        <f t="shared" si="12"/>
        <v>183.91599168072182</v>
      </c>
      <c r="F307" s="295"/>
      <c r="G307" s="199" t="str">
        <f t="shared" si="13"/>
        <v/>
      </c>
      <c r="H307" s="287" t="str">
        <f t="shared" si="14"/>
        <v/>
      </c>
      <c r="I307" s="288"/>
    </row>
    <row r="308" spans="1:9">
      <c r="A308" s="283">
        <v>306</v>
      </c>
      <c r="B308" s="284">
        <v>44503</v>
      </c>
      <c r="C308" s="285">
        <v>237.950671</v>
      </c>
      <c r="D308" s="286">
        <v>183.91599168072182</v>
      </c>
      <c r="E308" s="285">
        <f t="shared" si="12"/>
        <v>183.91599168072182</v>
      </c>
      <c r="F308" s="288"/>
      <c r="G308" s="199" t="str">
        <f t="shared" si="13"/>
        <v/>
      </c>
      <c r="H308" s="287" t="str">
        <f t="shared" si="14"/>
        <v/>
      </c>
      <c r="I308" s="288"/>
    </row>
    <row r="309" spans="1:9">
      <c r="A309" s="283">
        <v>307</v>
      </c>
      <c r="B309" s="284">
        <v>44504</v>
      </c>
      <c r="C309" s="285">
        <v>168.53924499999999</v>
      </c>
      <c r="D309" s="286">
        <v>183.91599168072182</v>
      </c>
      <c r="E309" s="285">
        <f t="shared" si="12"/>
        <v>168.53924499999999</v>
      </c>
      <c r="F309" s="295"/>
      <c r="G309" s="199" t="str">
        <f t="shared" si="13"/>
        <v/>
      </c>
      <c r="H309" s="287" t="str">
        <f t="shared" si="14"/>
        <v/>
      </c>
      <c r="I309" s="288"/>
    </row>
    <row r="310" spans="1:9">
      <c r="A310" s="283">
        <v>308</v>
      </c>
      <c r="B310" s="284">
        <v>44505</v>
      </c>
      <c r="C310" s="285">
        <v>235.832258</v>
      </c>
      <c r="D310" s="286">
        <v>183.91599168072182</v>
      </c>
      <c r="E310" s="285">
        <f t="shared" si="12"/>
        <v>183.91599168072182</v>
      </c>
      <c r="F310" s="295"/>
      <c r="G310" s="199" t="str">
        <f t="shared" si="13"/>
        <v/>
      </c>
      <c r="H310" s="287" t="str">
        <f t="shared" si="14"/>
        <v/>
      </c>
      <c r="I310" s="288"/>
    </row>
    <row r="311" spans="1:9">
      <c r="A311" s="283">
        <v>309</v>
      </c>
      <c r="B311" s="284">
        <v>44506</v>
      </c>
      <c r="C311" s="285">
        <v>273.58592900000002</v>
      </c>
      <c r="D311" s="286">
        <v>183.91599168072182</v>
      </c>
      <c r="E311" s="285">
        <f t="shared" si="12"/>
        <v>183.91599168072182</v>
      </c>
      <c r="F311" s="295"/>
      <c r="G311" s="199" t="str">
        <f t="shared" si="13"/>
        <v/>
      </c>
      <c r="H311" s="287" t="str">
        <f t="shared" si="14"/>
        <v/>
      </c>
      <c r="I311" s="288"/>
    </row>
    <row r="312" spans="1:9">
      <c r="A312" s="283">
        <v>310</v>
      </c>
      <c r="B312" s="284">
        <v>44507</v>
      </c>
      <c r="C312" s="285">
        <v>295.07356299999998</v>
      </c>
      <c r="D312" s="286">
        <v>183.91599168072182</v>
      </c>
      <c r="E312" s="285">
        <f t="shared" si="12"/>
        <v>183.91599168072182</v>
      </c>
      <c r="F312" s="295"/>
      <c r="G312" s="199" t="str">
        <f t="shared" si="13"/>
        <v/>
      </c>
      <c r="H312" s="287" t="str">
        <f t="shared" si="14"/>
        <v/>
      </c>
      <c r="I312" s="288"/>
    </row>
    <row r="313" spans="1:9">
      <c r="A313" s="283">
        <v>311</v>
      </c>
      <c r="B313" s="284">
        <v>44508</v>
      </c>
      <c r="C313" s="285">
        <v>280.99368700000002</v>
      </c>
      <c r="D313" s="286">
        <v>183.91599168072182</v>
      </c>
      <c r="E313" s="285">
        <f t="shared" si="12"/>
        <v>183.91599168072182</v>
      </c>
      <c r="F313" s="295"/>
      <c r="G313" s="199" t="str">
        <f t="shared" si="13"/>
        <v/>
      </c>
      <c r="H313" s="287" t="str">
        <f t="shared" si="14"/>
        <v/>
      </c>
      <c r="I313" s="288"/>
    </row>
    <row r="314" spans="1:9">
      <c r="A314" s="283">
        <v>312</v>
      </c>
      <c r="B314" s="284">
        <v>44509</v>
      </c>
      <c r="C314" s="285">
        <v>186.78594799999999</v>
      </c>
      <c r="D314" s="286">
        <v>183.91599168072182</v>
      </c>
      <c r="E314" s="285">
        <f t="shared" si="12"/>
        <v>183.91599168072182</v>
      </c>
      <c r="F314" s="295"/>
      <c r="G314" s="199" t="str">
        <f t="shared" si="13"/>
        <v/>
      </c>
      <c r="H314" s="287" t="str">
        <f t="shared" si="14"/>
        <v/>
      </c>
      <c r="I314" s="288"/>
    </row>
    <row r="315" spans="1:9">
      <c r="A315" s="283">
        <v>313</v>
      </c>
      <c r="B315" s="284">
        <v>44510</v>
      </c>
      <c r="C315" s="285">
        <v>90.312099000000003</v>
      </c>
      <c r="D315" s="286">
        <v>183.91599168072182</v>
      </c>
      <c r="E315" s="285">
        <f t="shared" si="12"/>
        <v>90.312099000000003</v>
      </c>
      <c r="F315" s="295"/>
      <c r="G315" s="199" t="str">
        <f t="shared" si="13"/>
        <v/>
      </c>
      <c r="H315" s="287" t="str">
        <f t="shared" si="14"/>
        <v/>
      </c>
      <c r="I315" s="288"/>
    </row>
    <row r="316" spans="1:9">
      <c r="A316" s="283">
        <v>314</v>
      </c>
      <c r="B316" s="284">
        <v>44511</v>
      </c>
      <c r="C316" s="285">
        <v>58.269220999999995</v>
      </c>
      <c r="D316" s="286">
        <v>183.91599168072182</v>
      </c>
      <c r="E316" s="285">
        <f t="shared" si="12"/>
        <v>58.269220999999995</v>
      </c>
      <c r="F316" s="295"/>
      <c r="G316" s="199" t="str">
        <f t="shared" si="13"/>
        <v/>
      </c>
      <c r="H316" s="287" t="str">
        <f t="shared" si="14"/>
        <v/>
      </c>
      <c r="I316" s="288"/>
    </row>
    <row r="317" spans="1:9">
      <c r="A317" s="283">
        <v>315</v>
      </c>
      <c r="B317" s="284">
        <v>44512</v>
      </c>
      <c r="C317" s="285">
        <v>80.060960999999992</v>
      </c>
      <c r="D317" s="286">
        <v>183.91599168072182</v>
      </c>
      <c r="E317" s="285">
        <f t="shared" si="12"/>
        <v>80.060960999999992</v>
      </c>
      <c r="F317" s="295"/>
      <c r="G317" s="199" t="str">
        <f t="shared" si="13"/>
        <v/>
      </c>
      <c r="H317" s="287" t="str">
        <f t="shared" si="14"/>
        <v/>
      </c>
      <c r="I317" s="288"/>
    </row>
    <row r="318" spans="1:9">
      <c r="A318" s="283">
        <v>316</v>
      </c>
      <c r="B318" s="284">
        <v>44513</v>
      </c>
      <c r="C318" s="285">
        <v>127.323469</v>
      </c>
      <c r="D318" s="286">
        <v>183.91599168072182</v>
      </c>
      <c r="E318" s="285">
        <f t="shared" si="12"/>
        <v>127.323469</v>
      </c>
      <c r="F318" s="295"/>
      <c r="G318" s="199" t="str">
        <f t="shared" si="13"/>
        <v/>
      </c>
      <c r="H318" s="287" t="str">
        <f t="shared" si="14"/>
        <v/>
      </c>
      <c r="I318" s="288"/>
    </row>
    <row r="319" spans="1:9">
      <c r="A319" s="283">
        <v>317</v>
      </c>
      <c r="B319" s="284">
        <v>44514</v>
      </c>
      <c r="C319" s="285">
        <v>228.946844</v>
      </c>
      <c r="D319" s="286">
        <v>183.91599168072182</v>
      </c>
      <c r="E319" s="285">
        <f t="shared" si="12"/>
        <v>183.91599168072182</v>
      </c>
      <c r="F319" s="295"/>
      <c r="G319" s="199" t="str">
        <f t="shared" si="13"/>
        <v/>
      </c>
      <c r="H319" s="287" t="str">
        <f t="shared" si="14"/>
        <v/>
      </c>
      <c r="I319" s="288"/>
    </row>
    <row r="320" spans="1:9">
      <c r="A320" s="283">
        <v>318</v>
      </c>
      <c r="B320" s="284">
        <v>44515</v>
      </c>
      <c r="C320" s="285">
        <v>277.06861099999998</v>
      </c>
      <c r="D320" s="286">
        <v>183.91599168072182</v>
      </c>
      <c r="E320" s="285">
        <f t="shared" si="12"/>
        <v>183.91599168072182</v>
      </c>
      <c r="F320" s="295"/>
      <c r="G320" s="199" t="str">
        <f t="shared" si="13"/>
        <v>N</v>
      </c>
      <c r="H320" s="287" t="str">
        <f t="shared" si="14"/>
        <v>183,9</v>
      </c>
      <c r="I320" s="288"/>
    </row>
    <row r="321" spans="1:9">
      <c r="A321" s="283">
        <v>319</v>
      </c>
      <c r="B321" s="284">
        <v>44516</v>
      </c>
      <c r="C321" s="285">
        <v>219.117536</v>
      </c>
      <c r="D321" s="286">
        <v>183.91599168072182</v>
      </c>
      <c r="E321" s="285">
        <f t="shared" si="12"/>
        <v>183.91599168072182</v>
      </c>
      <c r="F321" s="295"/>
      <c r="G321" s="199" t="str">
        <f t="shared" si="13"/>
        <v/>
      </c>
      <c r="H321" s="287" t="str">
        <f t="shared" si="14"/>
        <v/>
      </c>
      <c r="I321" s="288"/>
    </row>
    <row r="322" spans="1:9">
      <c r="A322" s="283">
        <v>320</v>
      </c>
      <c r="B322" s="284">
        <v>44517</v>
      </c>
      <c r="C322" s="285">
        <v>289.03383500000001</v>
      </c>
      <c r="D322" s="286">
        <v>183.91599168072182</v>
      </c>
      <c r="E322" s="285">
        <f t="shared" si="12"/>
        <v>183.91599168072182</v>
      </c>
      <c r="F322" s="288"/>
      <c r="G322" s="199" t="str">
        <f t="shared" si="13"/>
        <v/>
      </c>
      <c r="H322" s="287" t="str">
        <f t="shared" si="14"/>
        <v/>
      </c>
      <c r="I322" s="288"/>
    </row>
    <row r="323" spans="1:9">
      <c r="A323" s="283">
        <v>321</v>
      </c>
      <c r="B323" s="284">
        <v>44518</v>
      </c>
      <c r="C323" s="285">
        <v>219.48581099999998</v>
      </c>
      <c r="D323" s="286">
        <v>183.91599168072182</v>
      </c>
      <c r="E323" s="285">
        <f t="shared" ref="E323:E386" si="15">IF(C323&gt;D323,D323,C323)</f>
        <v>183.91599168072182</v>
      </c>
      <c r="F323" s="295"/>
      <c r="G323" s="199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87" t="str">
        <f t="shared" ref="H323:H386" si="17">IF(DAY($B323)=15,TEXT(D323,"#,0"),"")</f>
        <v/>
      </c>
      <c r="I323" s="288"/>
    </row>
    <row r="324" spans="1:9">
      <c r="A324" s="283">
        <v>322</v>
      </c>
      <c r="B324" s="284">
        <v>44519</v>
      </c>
      <c r="C324" s="285">
        <v>154.32178400000001</v>
      </c>
      <c r="D324" s="286">
        <v>183.91599168072182</v>
      </c>
      <c r="E324" s="285">
        <f t="shared" si="15"/>
        <v>154.32178400000001</v>
      </c>
      <c r="F324" s="295"/>
      <c r="G324" s="199" t="str">
        <f t="shared" si="16"/>
        <v/>
      </c>
      <c r="H324" s="287" t="str">
        <f t="shared" si="17"/>
        <v/>
      </c>
      <c r="I324" s="288"/>
    </row>
    <row r="325" spans="1:9">
      <c r="A325" s="283">
        <v>323</v>
      </c>
      <c r="B325" s="284">
        <v>44520</v>
      </c>
      <c r="C325" s="285">
        <v>82.706244999999996</v>
      </c>
      <c r="D325" s="286">
        <v>183.91599168072182</v>
      </c>
      <c r="E325" s="285">
        <f t="shared" si="15"/>
        <v>82.706244999999996</v>
      </c>
      <c r="F325" s="295"/>
      <c r="G325" s="199" t="str">
        <f t="shared" si="16"/>
        <v/>
      </c>
      <c r="H325" s="287" t="str">
        <f t="shared" si="17"/>
        <v/>
      </c>
      <c r="I325" s="288"/>
    </row>
    <row r="326" spans="1:9">
      <c r="A326" s="283">
        <v>324</v>
      </c>
      <c r="B326" s="284">
        <v>44521</v>
      </c>
      <c r="C326" s="285">
        <v>82.870231000000004</v>
      </c>
      <c r="D326" s="286">
        <v>183.91599168072182</v>
      </c>
      <c r="E326" s="285">
        <f t="shared" si="15"/>
        <v>82.870231000000004</v>
      </c>
      <c r="F326" s="295"/>
      <c r="G326" s="199" t="str">
        <f t="shared" si="16"/>
        <v/>
      </c>
      <c r="H326" s="287" t="str">
        <f t="shared" si="17"/>
        <v/>
      </c>
      <c r="I326" s="288"/>
    </row>
    <row r="327" spans="1:9">
      <c r="A327" s="283">
        <v>325</v>
      </c>
      <c r="B327" s="284">
        <v>44522</v>
      </c>
      <c r="C327" s="285">
        <v>165.635772</v>
      </c>
      <c r="D327" s="286">
        <v>183.91599168072182</v>
      </c>
      <c r="E327" s="285">
        <f t="shared" si="15"/>
        <v>165.635772</v>
      </c>
      <c r="F327" s="295"/>
      <c r="G327" s="199" t="str">
        <f t="shared" si="16"/>
        <v/>
      </c>
      <c r="H327" s="287" t="str">
        <f t="shared" si="17"/>
        <v/>
      </c>
      <c r="I327" s="288"/>
    </row>
    <row r="328" spans="1:9">
      <c r="A328" s="283">
        <v>326</v>
      </c>
      <c r="B328" s="284">
        <v>44523</v>
      </c>
      <c r="C328" s="285">
        <v>218.25683600000002</v>
      </c>
      <c r="D328" s="286">
        <v>183.91599168072182</v>
      </c>
      <c r="E328" s="285">
        <f t="shared" si="15"/>
        <v>183.91599168072182</v>
      </c>
      <c r="F328" s="295"/>
      <c r="G328" s="199" t="str">
        <f t="shared" si="16"/>
        <v/>
      </c>
      <c r="H328" s="287" t="str">
        <f t="shared" si="17"/>
        <v/>
      </c>
      <c r="I328" s="288"/>
    </row>
    <row r="329" spans="1:9">
      <c r="A329" s="283">
        <v>327</v>
      </c>
      <c r="B329" s="284">
        <v>44524</v>
      </c>
      <c r="C329" s="285">
        <v>184.35867199999998</v>
      </c>
      <c r="D329" s="286">
        <v>183.91599168072182</v>
      </c>
      <c r="E329" s="285">
        <f t="shared" si="15"/>
        <v>183.91599168072182</v>
      </c>
      <c r="F329" s="295"/>
      <c r="G329" s="199" t="str">
        <f t="shared" si="16"/>
        <v/>
      </c>
      <c r="H329" s="287" t="str">
        <f t="shared" si="17"/>
        <v/>
      </c>
      <c r="I329" s="288"/>
    </row>
    <row r="330" spans="1:9">
      <c r="A330" s="283">
        <v>328</v>
      </c>
      <c r="B330" s="284">
        <v>44525</v>
      </c>
      <c r="C330" s="285">
        <v>249.63063500000001</v>
      </c>
      <c r="D330" s="286">
        <v>183.91599168072182</v>
      </c>
      <c r="E330" s="285">
        <f t="shared" si="15"/>
        <v>183.91599168072182</v>
      </c>
      <c r="F330" s="295"/>
      <c r="G330" s="199" t="str">
        <f t="shared" si="16"/>
        <v/>
      </c>
      <c r="H330" s="287" t="str">
        <f t="shared" si="17"/>
        <v/>
      </c>
      <c r="I330" s="288"/>
    </row>
    <row r="331" spans="1:9">
      <c r="A331" s="283">
        <v>329</v>
      </c>
      <c r="B331" s="284">
        <v>44526</v>
      </c>
      <c r="C331" s="285">
        <v>259.45731499999999</v>
      </c>
      <c r="D331" s="286">
        <v>183.91599168072182</v>
      </c>
      <c r="E331" s="285">
        <f t="shared" si="15"/>
        <v>183.91599168072182</v>
      </c>
      <c r="F331" s="295"/>
      <c r="G331" s="199" t="str">
        <f t="shared" si="16"/>
        <v/>
      </c>
      <c r="H331" s="287" t="str">
        <f t="shared" si="17"/>
        <v/>
      </c>
      <c r="I331" s="288"/>
    </row>
    <row r="332" spans="1:9">
      <c r="A332" s="283">
        <v>330</v>
      </c>
      <c r="B332" s="284">
        <v>44527</v>
      </c>
      <c r="C332" s="285">
        <v>368.92429399999997</v>
      </c>
      <c r="D332" s="286">
        <v>183.91599168072182</v>
      </c>
      <c r="E332" s="285">
        <f t="shared" si="15"/>
        <v>183.91599168072182</v>
      </c>
      <c r="F332" s="295"/>
      <c r="G332" s="199" t="str">
        <f t="shared" si="16"/>
        <v/>
      </c>
      <c r="H332" s="287" t="str">
        <f t="shared" si="17"/>
        <v/>
      </c>
      <c r="I332" s="288"/>
    </row>
    <row r="333" spans="1:9">
      <c r="A333" s="283">
        <v>331</v>
      </c>
      <c r="B333" s="284">
        <v>44528</v>
      </c>
      <c r="C333" s="285">
        <v>350.86932999999999</v>
      </c>
      <c r="D333" s="286">
        <v>183.91599168072182</v>
      </c>
      <c r="E333" s="285">
        <f t="shared" si="15"/>
        <v>183.91599168072182</v>
      </c>
      <c r="F333" s="295"/>
      <c r="G333" s="199" t="str">
        <f t="shared" si="16"/>
        <v/>
      </c>
      <c r="H333" s="287" t="str">
        <f t="shared" si="17"/>
        <v/>
      </c>
      <c r="I333" s="288"/>
    </row>
    <row r="334" spans="1:9">
      <c r="A334" s="283">
        <v>332</v>
      </c>
      <c r="B334" s="284">
        <v>44529</v>
      </c>
      <c r="C334" s="285">
        <v>309.36684100000002</v>
      </c>
      <c r="D334" s="286">
        <v>183.91599168072182</v>
      </c>
      <c r="E334" s="285">
        <f t="shared" si="15"/>
        <v>183.91599168072182</v>
      </c>
      <c r="F334" s="295"/>
      <c r="G334" s="199" t="str">
        <f t="shared" si="16"/>
        <v/>
      </c>
      <c r="H334" s="287" t="str">
        <f t="shared" si="17"/>
        <v/>
      </c>
      <c r="I334" s="288"/>
    </row>
    <row r="335" spans="1:9">
      <c r="A335" s="283">
        <v>333</v>
      </c>
      <c r="B335" s="284">
        <v>44530</v>
      </c>
      <c r="C335" s="285">
        <v>81.179220000000001</v>
      </c>
      <c r="D335" s="286">
        <v>183.91599168072182</v>
      </c>
      <c r="E335" s="285">
        <f>IF(C335&gt;D335,D335,C335)</f>
        <v>81.179220000000001</v>
      </c>
      <c r="F335" s="295"/>
      <c r="G335" s="199" t="str">
        <f t="shared" si="16"/>
        <v/>
      </c>
      <c r="H335" s="287" t="str">
        <f t="shared" si="17"/>
        <v/>
      </c>
      <c r="I335" s="288"/>
    </row>
    <row r="336" spans="1:9">
      <c r="A336" s="283">
        <v>334</v>
      </c>
      <c r="B336" s="284">
        <v>44531</v>
      </c>
      <c r="C336" s="285">
        <v>232.544557</v>
      </c>
      <c r="D336" s="286">
        <v>181.48844898808721</v>
      </c>
      <c r="E336" s="285">
        <f t="shared" si="15"/>
        <v>181.48844898808721</v>
      </c>
      <c r="F336" s="288"/>
      <c r="G336" s="199" t="str">
        <f t="shared" si="16"/>
        <v/>
      </c>
      <c r="H336" s="287" t="str">
        <f t="shared" si="17"/>
        <v/>
      </c>
      <c r="I336" s="288"/>
    </row>
    <row r="337" spans="1:9">
      <c r="A337" s="283">
        <v>335</v>
      </c>
      <c r="B337" s="284">
        <v>44532</v>
      </c>
      <c r="C337" s="285">
        <v>335.888712</v>
      </c>
      <c r="D337" s="286">
        <v>181.48844898808721</v>
      </c>
      <c r="E337" s="285">
        <f t="shared" si="15"/>
        <v>181.48844898808721</v>
      </c>
      <c r="F337" s="288"/>
      <c r="G337" s="199" t="str">
        <f t="shared" si="16"/>
        <v/>
      </c>
      <c r="H337" s="287" t="str">
        <f t="shared" si="17"/>
        <v/>
      </c>
      <c r="I337" s="288"/>
    </row>
    <row r="338" spans="1:9">
      <c r="A338" s="283">
        <v>336</v>
      </c>
      <c r="B338" s="284">
        <v>44533</v>
      </c>
      <c r="C338" s="285">
        <v>294.46888000000001</v>
      </c>
      <c r="D338" s="286">
        <v>181.48844898808721</v>
      </c>
      <c r="E338" s="285">
        <f t="shared" si="15"/>
        <v>181.48844898808721</v>
      </c>
      <c r="F338" s="295"/>
      <c r="G338" s="199" t="str">
        <f t="shared" si="16"/>
        <v/>
      </c>
      <c r="H338" s="287" t="str">
        <f t="shared" si="17"/>
        <v/>
      </c>
      <c r="I338" s="288"/>
    </row>
    <row r="339" spans="1:9">
      <c r="A339" s="283">
        <v>337</v>
      </c>
      <c r="B339" s="284">
        <v>44534</v>
      </c>
      <c r="C339" s="285">
        <v>319.34332300000005</v>
      </c>
      <c r="D339" s="286">
        <v>181.48844898808721</v>
      </c>
      <c r="E339" s="285">
        <f t="shared" si="15"/>
        <v>181.48844898808721</v>
      </c>
      <c r="F339" s="295"/>
      <c r="G339" s="199" t="str">
        <f t="shared" si="16"/>
        <v/>
      </c>
      <c r="H339" s="287" t="str">
        <f t="shared" si="17"/>
        <v/>
      </c>
      <c r="I339" s="288"/>
    </row>
    <row r="340" spans="1:9">
      <c r="A340" s="283">
        <v>338</v>
      </c>
      <c r="B340" s="284">
        <v>44535</v>
      </c>
      <c r="C340" s="285">
        <v>390.431468</v>
      </c>
      <c r="D340" s="286">
        <v>181.48844898808721</v>
      </c>
      <c r="E340" s="285">
        <f t="shared" si="15"/>
        <v>181.48844898808721</v>
      </c>
      <c r="F340" s="295"/>
      <c r="G340" s="199" t="str">
        <f t="shared" si="16"/>
        <v/>
      </c>
      <c r="H340" s="287" t="str">
        <f t="shared" si="17"/>
        <v/>
      </c>
      <c r="I340" s="288"/>
    </row>
    <row r="341" spans="1:9">
      <c r="A341" s="283">
        <v>339</v>
      </c>
      <c r="B341" s="284">
        <v>44536</v>
      </c>
      <c r="C341" s="285">
        <v>282.71306300000003</v>
      </c>
      <c r="D341" s="286">
        <v>181.48844898808721</v>
      </c>
      <c r="E341" s="285">
        <f t="shared" si="15"/>
        <v>181.48844898808721</v>
      </c>
      <c r="F341" s="295"/>
      <c r="G341" s="199" t="str">
        <f t="shared" si="16"/>
        <v/>
      </c>
      <c r="H341" s="287" t="str">
        <f t="shared" si="17"/>
        <v/>
      </c>
      <c r="I341" s="288"/>
    </row>
    <row r="342" spans="1:9">
      <c r="A342" s="283">
        <v>340</v>
      </c>
      <c r="B342" s="284">
        <v>44537</v>
      </c>
      <c r="C342" s="285">
        <v>301.43451800000003</v>
      </c>
      <c r="D342" s="286">
        <v>181.48844898808721</v>
      </c>
      <c r="E342" s="285">
        <f t="shared" si="15"/>
        <v>181.48844898808721</v>
      </c>
      <c r="F342" s="295"/>
      <c r="G342" s="199" t="str">
        <f t="shared" si="16"/>
        <v/>
      </c>
      <c r="H342" s="287" t="str">
        <f t="shared" si="17"/>
        <v/>
      </c>
      <c r="I342" s="288"/>
    </row>
    <row r="343" spans="1:9">
      <c r="A343" s="283">
        <v>341</v>
      </c>
      <c r="B343" s="284">
        <v>44538</v>
      </c>
      <c r="C343" s="285">
        <v>423.290907</v>
      </c>
      <c r="D343" s="286">
        <v>181.48844898808721</v>
      </c>
      <c r="E343" s="285">
        <f t="shared" si="15"/>
        <v>181.48844898808721</v>
      </c>
      <c r="F343" s="295"/>
      <c r="G343" s="199" t="str">
        <f t="shared" si="16"/>
        <v/>
      </c>
      <c r="H343" s="287" t="str">
        <f t="shared" si="17"/>
        <v/>
      </c>
      <c r="I343" s="288"/>
    </row>
    <row r="344" spans="1:9">
      <c r="A344" s="283">
        <v>342</v>
      </c>
      <c r="B344" s="284">
        <v>44539</v>
      </c>
      <c r="C344" s="285">
        <v>386.413881</v>
      </c>
      <c r="D344" s="286">
        <v>181.48844898808721</v>
      </c>
      <c r="E344" s="285">
        <f t="shared" si="15"/>
        <v>181.48844898808721</v>
      </c>
      <c r="F344" s="295"/>
      <c r="G344" s="199" t="str">
        <f t="shared" si="16"/>
        <v/>
      </c>
      <c r="H344" s="287" t="str">
        <f t="shared" si="17"/>
        <v/>
      </c>
      <c r="I344" s="288"/>
    </row>
    <row r="345" spans="1:9">
      <c r="A345" s="283">
        <v>343</v>
      </c>
      <c r="B345" s="284">
        <v>44540</v>
      </c>
      <c r="C345" s="285">
        <v>417.06543199999999</v>
      </c>
      <c r="D345" s="286">
        <v>181.48844898808721</v>
      </c>
      <c r="E345" s="285">
        <f t="shared" si="15"/>
        <v>181.48844898808721</v>
      </c>
      <c r="F345" s="295"/>
      <c r="G345" s="199" t="str">
        <f t="shared" si="16"/>
        <v/>
      </c>
      <c r="H345" s="287" t="str">
        <f t="shared" si="17"/>
        <v/>
      </c>
      <c r="I345" s="288"/>
    </row>
    <row r="346" spans="1:9">
      <c r="A346" s="283">
        <v>344</v>
      </c>
      <c r="B346" s="284">
        <v>44541</v>
      </c>
      <c r="C346" s="285">
        <v>260.26738699999999</v>
      </c>
      <c r="D346" s="286">
        <v>181.48844898808721</v>
      </c>
      <c r="E346" s="285">
        <f t="shared" si="15"/>
        <v>181.48844898808721</v>
      </c>
      <c r="F346" s="295"/>
      <c r="G346" s="199" t="str">
        <f t="shared" si="16"/>
        <v/>
      </c>
      <c r="H346" s="287" t="str">
        <f t="shared" si="17"/>
        <v/>
      </c>
      <c r="I346" s="288"/>
    </row>
    <row r="347" spans="1:9">
      <c r="A347" s="283">
        <v>345</v>
      </c>
      <c r="B347" s="284">
        <v>44542</v>
      </c>
      <c r="C347" s="285">
        <v>99.339613</v>
      </c>
      <c r="D347" s="286">
        <v>181.48844898808721</v>
      </c>
      <c r="E347" s="285">
        <f t="shared" si="15"/>
        <v>99.339613</v>
      </c>
      <c r="F347" s="295"/>
      <c r="G347" s="199" t="str">
        <f t="shared" si="16"/>
        <v/>
      </c>
      <c r="H347" s="287" t="str">
        <f t="shared" si="17"/>
        <v/>
      </c>
      <c r="I347" s="288"/>
    </row>
    <row r="348" spans="1:9">
      <c r="A348" s="283">
        <v>346</v>
      </c>
      <c r="B348" s="284">
        <v>44543</v>
      </c>
      <c r="C348" s="285">
        <v>92.522605999999996</v>
      </c>
      <c r="D348" s="286">
        <v>181.48844898808721</v>
      </c>
      <c r="E348" s="285">
        <f t="shared" si="15"/>
        <v>92.522605999999996</v>
      </c>
      <c r="F348" s="295"/>
      <c r="G348" s="199" t="str">
        <f t="shared" si="16"/>
        <v/>
      </c>
      <c r="H348" s="287" t="str">
        <f t="shared" si="17"/>
        <v/>
      </c>
      <c r="I348" s="288"/>
    </row>
    <row r="349" spans="1:9">
      <c r="A349" s="283">
        <v>347</v>
      </c>
      <c r="B349" s="284">
        <v>44544</v>
      </c>
      <c r="C349" s="285">
        <v>60.134847999999998</v>
      </c>
      <c r="D349" s="286">
        <v>181.48844898808721</v>
      </c>
      <c r="E349" s="285">
        <f t="shared" si="15"/>
        <v>60.134847999999998</v>
      </c>
      <c r="F349" s="295"/>
      <c r="G349" s="199" t="str">
        <f t="shared" si="16"/>
        <v/>
      </c>
      <c r="H349" s="287" t="str">
        <f t="shared" si="17"/>
        <v/>
      </c>
      <c r="I349" s="288"/>
    </row>
    <row r="350" spans="1:9">
      <c r="A350" s="283">
        <v>348</v>
      </c>
      <c r="B350" s="284">
        <v>44545</v>
      </c>
      <c r="C350" s="285">
        <v>107.19634500000001</v>
      </c>
      <c r="D350" s="286">
        <v>181.48844898808721</v>
      </c>
      <c r="E350" s="285">
        <f t="shared" si="15"/>
        <v>107.19634500000001</v>
      </c>
      <c r="F350" s="295"/>
      <c r="G350" s="199" t="str">
        <f t="shared" si="16"/>
        <v>D</v>
      </c>
      <c r="H350" s="287" t="str">
        <f t="shared" si="17"/>
        <v>181,5</v>
      </c>
      <c r="I350" s="288"/>
    </row>
    <row r="351" spans="1:9">
      <c r="A351" s="283">
        <v>349</v>
      </c>
      <c r="B351" s="284">
        <v>44546</v>
      </c>
      <c r="C351" s="285">
        <v>147.83759000000001</v>
      </c>
      <c r="D351" s="286">
        <v>181.48844898808721</v>
      </c>
      <c r="E351" s="285">
        <f t="shared" si="15"/>
        <v>147.83759000000001</v>
      </c>
      <c r="F351" s="288"/>
      <c r="G351" s="199" t="str">
        <f t="shared" si="16"/>
        <v/>
      </c>
      <c r="H351" s="287" t="str">
        <f t="shared" si="17"/>
        <v/>
      </c>
      <c r="I351" s="288"/>
    </row>
    <row r="352" spans="1:9">
      <c r="A352" s="283">
        <v>350</v>
      </c>
      <c r="B352" s="284">
        <v>44547</v>
      </c>
      <c r="C352" s="285">
        <v>113.43557700000001</v>
      </c>
      <c r="D352" s="286">
        <v>181.48844898808721</v>
      </c>
      <c r="E352" s="285">
        <f t="shared" si="15"/>
        <v>113.43557700000001</v>
      </c>
      <c r="F352" s="295"/>
      <c r="G352" s="199" t="str">
        <f t="shared" si="16"/>
        <v/>
      </c>
      <c r="H352" s="287" t="str">
        <f t="shared" si="17"/>
        <v/>
      </c>
      <c r="I352" s="288"/>
    </row>
    <row r="353" spans="1:9">
      <c r="A353" s="283">
        <v>351</v>
      </c>
      <c r="B353" s="284">
        <v>44548</v>
      </c>
      <c r="C353" s="285">
        <v>83.44778500000001</v>
      </c>
      <c r="D353" s="286">
        <v>181.48844898808721</v>
      </c>
      <c r="E353" s="285">
        <f t="shared" si="15"/>
        <v>83.44778500000001</v>
      </c>
      <c r="F353" s="295"/>
      <c r="G353" s="199" t="str">
        <f t="shared" si="16"/>
        <v/>
      </c>
      <c r="H353" s="287" t="str">
        <f t="shared" si="17"/>
        <v/>
      </c>
      <c r="I353" s="288"/>
    </row>
    <row r="354" spans="1:9">
      <c r="A354" s="283">
        <v>352</v>
      </c>
      <c r="B354" s="284">
        <v>44549</v>
      </c>
      <c r="C354" s="285">
        <v>122.511708</v>
      </c>
      <c r="D354" s="286">
        <v>181.48844898808721</v>
      </c>
      <c r="E354" s="285">
        <f t="shared" si="15"/>
        <v>122.511708</v>
      </c>
      <c r="F354" s="295"/>
      <c r="G354" s="199" t="str">
        <f t="shared" si="16"/>
        <v/>
      </c>
      <c r="H354" s="287" t="str">
        <f t="shared" si="17"/>
        <v/>
      </c>
      <c r="I354" s="288"/>
    </row>
    <row r="355" spans="1:9">
      <c r="A355" s="283">
        <v>353</v>
      </c>
      <c r="B355" s="284">
        <v>44550</v>
      </c>
      <c r="C355" s="285">
        <v>119.95667200000001</v>
      </c>
      <c r="D355" s="286">
        <v>181.48844898808721</v>
      </c>
      <c r="E355" s="285">
        <f t="shared" si="15"/>
        <v>119.95667200000001</v>
      </c>
      <c r="F355" s="295"/>
      <c r="G355" s="199" t="str">
        <f t="shared" si="16"/>
        <v/>
      </c>
      <c r="H355" s="287" t="str">
        <f t="shared" si="17"/>
        <v/>
      </c>
      <c r="I355" s="288"/>
    </row>
    <row r="356" spans="1:9">
      <c r="A356" s="283">
        <v>354</v>
      </c>
      <c r="B356" s="284">
        <v>44551</v>
      </c>
      <c r="C356" s="285">
        <v>131.44721999999999</v>
      </c>
      <c r="D356" s="286">
        <v>181.48844898808721</v>
      </c>
      <c r="E356" s="285">
        <f t="shared" si="15"/>
        <v>131.44721999999999</v>
      </c>
      <c r="F356" s="295"/>
      <c r="G356" s="199" t="str">
        <f t="shared" si="16"/>
        <v/>
      </c>
      <c r="H356" s="287" t="str">
        <f t="shared" si="17"/>
        <v/>
      </c>
      <c r="I356" s="288"/>
    </row>
    <row r="357" spans="1:9">
      <c r="A357" s="283">
        <v>355</v>
      </c>
      <c r="B357" s="284">
        <v>44552</v>
      </c>
      <c r="C357" s="285">
        <v>141.58955900000001</v>
      </c>
      <c r="D357" s="286">
        <v>181.48844898808721</v>
      </c>
      <c r="E357" s="285">
        <f t="shared" si="15"/>
        <v>141.58955900000001</v>
      </c>
      <c r="F357" s="295"/>
      <c r="G357" s="199" t="str">
        <f t="shared" si="16"/>
        <v/>
      </c>
      <c r="H357" s="287" t="str">
        <f t="shared" si="17"/>
        <v/>
      </c>
      <c r="I357" s="288"/>
    </row>
    <row r="358" spans="1:9">
      <c r="A358" s="283">
        <v>356</v>
      </c>
      <c r="B358" s="284">
        <v>44553</v>
      </c>
      <c r="C358" s="285">
        <v>162.02903400000002</v>
      </c>
      <c r="D358" s="286">
        <v>181.48844898808721</v>
      </c>
      <c r="E358" s="285">
        <f t="shared" si="15"/>
        <v>162.02903400000002</v>
      </c>
      <c r="F358" s="295"/>
      <c r="G358" s="199" t="str">
        <f t="shared" si="16"/>
        <v/>
      </c>
      <c r="H358" s="287" t="str">
        <f t="shared" si="17"/>
        <v/>
      </c>
      <c r="I358" s="288"/>
    </row>
    <row r="359" spans="1:9">
      <c r="A359" s="283">
        <v>357</v>
      </c>
      <c r="B359" s="284">
        <v>44554</v>
      </c>
      <c r="C359" s="285">
        <v>198.19191800000002</v>
      </c>
      <c r="D359" s="286">
        <v>181.48844898808721</v>
      </c>
      <c r="E359" s="285">
        <f t="shared" si="15"/>
        <v>181.48844898808721</v>
      </c>
      <c r="F359" s="295"/>
      <c r="G359" s="199" t="str">
        <f t="shared" si="16"/>
        <v/>
      </c>
      <c r="H359" s="287" t="str">
        <f t="shared" si="17"/>
        <v/>
      </c>
      <c r="I359" s="288"/>
    </row>
    <row r="360" spans="1:9">
      <c r="A360" s="283">
        <v>358</v>
      </c>
      <c r="B360" s="284">
        <v>44555</v>
      </c>
      <c r="C360" s="285">
        <v>160.13652400000001</v>
      </c>
      <c r="D360" s="286">
        <v>181.48844898808721</v>
      </c>
      <c r="E360" s="285">
        <f t="shared" si="15"/>
        <v>160.13652400000001</v>
      </c>
      <c r="F360" s="295"/>
      <c r="G360" s="199" t="str">
        <f t="shared" si="16"/>
        <v/>
      </c>
      <c r="H360" s="287" t="str">
        <f t="shared" si="17"/>
        <v/>
      </c>
      <c r="I360" s="288"/>
    </row>
    <row r="361" spans="1:9">
      <c r="A361" s="283">
        <v>359</v>
      </c>
      <c r="B361" s="284">
        <v>44556</v>
      </c>
      <c r="C361" s="285">
        <v>235.75559799999999</v>
      </c>
      <c r="D361" s="286">
        <v>181.48844898808721</v>
      </c>
      <c r="E361" s="285">
        <f t="shared" si="15"/>
        <v>181.48844898808721</v>
      </c>
      <c r="F361" s="295"/>
      <c r="G361" s="199" t="str">
        <f t="shared" si="16"/>
        <v/>
      </c>
      <c r="H361" s="287" t="str">
        <f t="shared" si="17"/>
        <v/>
      </c>
      <c r="I361" s="288"/>
    </row>
    <row r="362" spans="1:9">
      <c r="A362" s="283">
        <v>360</v>
      </c>
      <c r="B362" s="284">
        <v>44557</v>
      </c>
      <c r="C362" s="285">
        <v>391.16017499999998</v>
      </c>
      <c r="D362" s="286">
        <v>181.48844898808721</v>
      </c>
      <c r="E362" s="285">
        <f t="shared" si="15"/>
        <v>181.48844898808721</v>
      </c>
      <c r="F362" s="295"/>
      <c r="G362" s="199" t="str">
        <f t="shared" si="16"/>
        <v/>
      </c>
      <c r="H362" s="287" t="str">
        <f t="shared" si="17"/>
        <v/>
      </c>
      <c r="I362" s="288"/>
    </row>
    <row r="363" spans="1:9">
      <c r="A363" s="283">
        <v>361</v>
      </c>
      <c r="B363" s="284">
        <v>44558</v>
      </c>
      <c r="C363" s="285">
        <v>378.93791299999998</v>
      </c>
      <c r="D363" s="286">
        <v>181.48844898808721</v>
      </c>
      <c r="E363" s="285">
        <f t="shared" si="15"/>
        <v>181.48844898808721</v>
      </c>
      <c r="F363" s="295"/>
      <c r="G363" s="199" t="str">
        <f t="shared" si="16"/>
        <v/>
      </c>
      <c r="H363" s="287" t="str">
        <f t="shared" si="17"/>
        <v/>
      </c>
      <c r="I363" s="288"/>
    </row>
    <row r="364" spans="1:9">
      <c r="A364" s="283">
        <v>362</v>
      </c>
      <c r="B364" s="284">
        <v>44559</v>
      </c>
      <c r="C364" s="285">
        <v>214.95647399999999</v>
      </c>
      <c r="D364" s="286">
        <v>181.48844898808721</v>
      </c>
      <c r="E364" s="285">
        <f t="shared" si="15"/>
        <v>181.48844898808721</v>
      </c>
      <c r="F364" s="295"/>
      <c r="G364" s="199" t="str">
        <f t="shared" si="16"/>
        <v/>
      </c>
      <c r="H364" s="287" t="str">
        <f t="shared" si="17"/>
        <v/>
      </c>
      <c r="I364" s="288"/>
    </row>
    <row r="365" spans="1:9">
      <c r="A365" s="283">
        <v>363</v>
      </c>
      <c r="B365" s="284">
        <v>44560</v>
      </c>
      <c r="C365" s="285">
        <v>93.661178000000007</v>
      </c>
      <c r="D365" s="286">
        <v>181.48844898808721</v>
      </c>
      <c r="E365" s="285">
        <f t="shared" si="15"/>
        <v>93.661178000000007</v>
      </c>
      <c r="F365" s="295"/>
      <c r="G365" s="199" t="str">
        <f t="shared" si="16"/>
        <v/>
      </c>
      <c r="H365" s="287" t="str">
        <f t="shared" si="17"/>
        <v/>
      </c>
      <c r="I365" s="288"/>
    </row>
    <row r="366" spans="1:9">
      <c r="A366" s="283">
        <v>364</v>
      </c>
      <c r="B366" s="284">
        <v>44561</v>
      </c>
      <c r="C366" s="285">
        <v>120.17953900000001</v>
      </c>
      <c r="D366" s="286">
        <v>181.48844898808721</v>
      </c>
      <c r="E366" s="285">
        <f t="shared" si="15"/>
        <v>120.17953900000001</v>
      </c>
      <c r="F366" s="295"/>
      <c r="G366" s="199" t="str">
        <f t="shared" si="16"/>
        <v/>
      </c>
      <c r="H366" s="287" t="str">
        <f t="shared" si="17"/>
        <v/>
      </c>
      <c r="I366" s="288"/>
    </row>
    <row r="367" spans="1:9">
      <c r="A367" s="283">
        <v>365</v>
      </c>
      <c r="B367" s="284">
        <v>44562</v>
      </c>
      <c r="C367" s="285">
        <v>139.46703399999998</v>
      </c>
      <c r="D367" s="286">
        <v>208.83536998292288</v>
      </c>
      <c r="E367" s="285">
        <f t="shared" si="15"/>
        <v>139.46703399999998</v>
      </c>
      <c r="F367" s="288">
        <f>YEAR(B367)</f>
        <v>2022</v>
      </c>
      <c r="G367" s="199" t="str">
        <f t="shared" si="16"/>
        <v/>
      </c>
      <c r="H367" s="287" t="str">
        <f t="shared" si="17"/>
        <v/>
      </c>
      <c r="I367" s="288"/>
    </row>
    <row r="368" spans="1:9">
      <c r="A368" s="283">
        <v>366</v>
      </c>
      <c r="B368" s="284">
        <v>44563</v>
      </c>
      <c r="C368" s="285">
        <v>103.22410799999999</v>
      </c>
      <c r="D368" s="286">
        <v>208.83536998292288</v>
      </c>
      <c r="E368" s="285">
        <f t="shared" si="15"/>
        <v>103.22410799999999</v>
      </c>
      <c r="F368" s="288"/>
      <c r="G368" s="199" t="str">
        <f t="shared" si="16"/>
        <v/>
      </c>
      <c r="H368" s="287" t="str">
        <f t="shared" si="17"/>
        <v/>
      </c>
      <c r="I368" s="288"/>
    </row>
    <row r="369" spans="1:9">
      <c r="A369" s="283">
        <v>367</v>
      </c>
      <c r="B369" s="284">
        <v>44564</v>
      </c>
      <c r="C369" s="285">
        <v>151.54837499999999</v>
      </c>
      <c r="D369" s="286">
        <v>208.83536998292288</v>
      </c>
      <c r="E369" s="285">
        <f t="shared" si="15"/>
        <v>151.54837499999999</v>
      </c>
      <c r="F369" s="295"/>
      <c r="G369" s="199" t="str">
        <f t="shared" si="16"/>
        <v/>
      </c>
      <c r="H369" s="287" t="str">
        <f t="shared" si="17"/>
        <v/>
      </c>
      <c r="I369" s="288"/>
    </row>
    <row r="370" spans="1:9">
      <c r="A370" s="283">
        <v>368</v>
      </c>
      <c r="B370" s="284">
        <v>44565</v>
      </c>
      <c r="C370" s="285">
        <v>303.59261099999998</v>
      </c>
      <c r="D370" s="286">
        <v>208.83536998292288</v>
      </c>
      <c r="E370" s="285">
        <f t="shared" si="15"/>
        <v>208.83536998292288</v>
      </c>
      <c r="F370" s="295"/>
      <c r="G370" s="199" t="str">
        <f t="shared" si="16"/>
        <v/>
      </c>
      <c r="H370" s="287" t="str">
        <f t="shared" si="17"/>
        <v/>
      </c>
      <c r="I370" s="288"/>
    </row>
    <row r="371" spans="1:9">
      <c r="A371" s="283">
        <v>369</v>
      </c>
      <c r="B371" s="284">
        <v>44566</v>
      </c>
      <c r="C371" s="285">
        <v>291.23929100000004</v>
      </c>
      <c r="D371" s="286">
        <v>208.83536998292288</v>
      </c>
      <c r="E371" s="285">
        <f t="shared" si="15"/>
        <v>208.83536998292288</v>
      </c>
      <c r="F371" s="295"/>
      <c r="G371" s="199" t="str">
        <f t="shared" si="16"/>
        <v/>
      </c>
      <c r="H371" s="287" t="str">
        <f t="shared" si="17"/>
        <v/>
      </c>
      <c r="I371" s="288"/>
    </row>
    <row r="372" spans="1:9">
      <c r="A372" s="283">
        <v>370</v>
      </c>
      <c r="B372" s="284">
        <v>44567</v>
      </c>
      <c r="C372" s="285">
        <v>206.09111899999996</v>
      </c>
      <c r="D372" s="286">
        <v>208.83536998292288</v>
      </c>
      <c r="E372" s="285">
        <f t="shared" si="15"/>
        <v>206.09111899999996</v>
      </c>
      <c r="F372" s="295"/>
      <c r="G372" s="199" t="str">
        <f t="shared" si="16"/>
        <v/>
      </c>
      <c r="H372" s="287" t="str">
        <f t="shared" si="17"/>
        <v/>
      </c>
      <c r="I372" s="288"/>
    </row>
    <row r="373" spans="1:9">
      <c r="A373" s="283">
        <v>371</v>
      </c>
      <c r="B373" s="284">
        <v>44568</v>
      </c>
      <c r="C373" s="285">
        <v>208.52585300000001</v>
      </c>
      <c r="D373" s="286">
        <v>208.83536998292288</v>
      </c>
      <c r="E373" s="285">
        <f t="shared" si="15"/>
        <v>208.52585300000001</v>
      </c>
      <c r="F373" s="295"/>
      <c r="G373" s="199" t="str">
        <f t="shared" si="16"/>
        <v/>
      </c>
      <c r="H373" s="287" t="str">
        <f t="shared" si="17"/>
        <v/>
      </c>
      <c r="I373" s="288"/>
    </row>
    <row r="374" spans="1:9">
      <c r="A374" s="283">
        <v>372</v>
      </c>
      <c r="B374" s="284">
        <v>44569</v>
      </c>
      <c r="C374" s="285">
        <v>261.86103200000002</v>
      </c>
      <c r="D374" s="286">
        <v>208.83536998292288</v>
      </c>
      <c r="E374" s="285">
        <f t="shared" si="15"/>
        <v>208.83536998292288</v>
      </c>
      <c r="F374" s="295"/>
      <c r="G374" s="199" t="str">
        <f t="shared" si="16"/>
        <v/>
      </c>
      <c r="H374" s="287" t="str">
        <f t="shared" si="17"/>
        <v/>
      </c>
      <c r="I374" s="288"/>
    </row>
    <row r="375" spans="1:9">
      <c r="A375" s="283">
        <v>373</v>
      </c>
      <c r="B375" s="284">
        <v>44570</v>
      </c>
      <c r="C375" s="285">
        <v>392.653907</v>
      </c>
      <c r="D375" s="286">
        <v>208.83536998292288</v>
      </c>
      <c r="E375" s="285">
        <f t="shared" si="15"/>
        <v>208.83536998292288</v>
      </c>
      <c r="F375" s="295"/>
      <c r="G375" s="199" t="str">
        <f t="shared" si="16"/>
        <v/>
      </c>
      <c r="H375" s="287" t="str">
        <f t="shared" si="17"/>
        <v/>
      </c>
      <c r="I375" s="288"/>
    </row>
    <row r="376" spans="1:9">
      <c r="A376" s="283">
        <v>374</v>
      </c>
      <c r="B376" s="284">
        <v>44571</v>
      </c>
      <c r="C376" s="285">
        <v>307.09748699999994</v>
      </c>
      <c r="D376" s="286">
        <v>208.83536998292288</v>
      </c>
      <c r="E376" s="285">
        <f t="shared" si="15"/>
        <v>208.83536998292288</v>
      </c>
      <c r="F376" s="295"/>
      <c r="G376" s="199" t="str">
        <f t="shared" si="16"/>
        <v/>
      </c>
      <c r="H376" s="287" t="str">
        <f t="shared" si="17"/>
        <v/>
      </c>
      <c r="I376" s="288"/>
    </row>
    <row r="377" spans="1:9">
      <c r="A377" s="283">
        <v>375</v>
      </c>
      <c r="B377" s="284">
        <v>44572</v>
      </c>
      <c r="C377" s="285">
        <v>245.230052</v>
      </c>
      <c r="D377" s="286">
        <v>208.83536998292288</v>
      </c>
      <c r="E377" s="285">
        <f t="shared" si="15"/>
        <v>208.83536998292288</v>
      </c>
      <c r="F377" s="295"/>
      <c r="G377" s="199" t="str">
        <f t="shared" si="16"/>
        <v/>
      </c>
      <c r="H377" s="287" t="str">
        <f t="shared" si="17"/>
        <v/>
      </c>
      <c r="I377" s="288"/>
    </row>
    <row r="378" spans="1:9">
      <c r="A378" s="283">
        <v>376</v>
      </c>
      <c r="B378" s="284">
        <v>44573</v>
      </c>
      <c r="C378" s="285">
        <v>263.37074200000001</v>
      </c>
      <c r="D378" s="286">
        <v>208.83536998292288</v>
      </c>
      <c r="E378" s="285">
        <f t="shared" si="15"/>
        <v>208.83536998292288</v>
      </c>
      <c r="F378" s="295"/>
      <c r="G378" s="199" t="str">
        <f t="shared" si="16"/>
        <v/>
      </c>
      <c r="H378" s="287" t="str">
        <f t="shared" si="17"/>
        <v/>
      </c>
      <c r="I378" s="288"/>
    </row>
    <row r="379" spans="1:9">
      <c r="A379" s="283">
        <v>377</v>
      </c>
      <c r="B379" s="284">
        <v>44574</v>
      </c>
      <c r="C379" s="285">
        <v>128.97747000000001</v>
      </c>
      <c r="D379" s="286">
        <v>208.83536998292288</v>
      </c>
      <c r="E379" s="285">
        <f t="shared" si="15"/>
        <v>128.97747000000001</v>
      </c>
      <c r="F379" s="295"/>
      <c r="G379" s="199" t="str">
        <f t="shared" si="16"/>
        <v/>
      </c>
      <c r="H379" s="287" t="str">
        <f t="shared" si="17"/>
        <v/>
      </c>
      <c r="I379" s="288"/>
    </row>
    <row r="380" spans="1:9">
      <c r="A380" s="283">
        <v>378</v>
      </c>
      <c r="B380" s="284">
        <v>44575</v>
      </c>
      <c r="C380" s="285">
        <v>84.028486999999998</v>
      </c>
      <c r="D380" s="286">
        <v>208.83536998292288</v>
      </c>
      <c r="E380" s="285">
        <f t="shared" si="15"/>
        <v>84.028486999999998</v>
      </c>
      <c r="F380" s="295"/>
      <c r="G380" s="199" t="str">
        <f t="shared" si="16"/>
        <v/>
      </c>
      <c r="H380" s="287" t="str">
        <f t="shared" si="17"/>
        <v/>
      </c>
      <c r="I380" s="288"/>
    </row>
    <row r="381" spans="1:9">
      <c r="A381" s="283">
        <v>379</v>
      </c>
      <c r="B381" s="284">
        <v>44576</v>
      </c>
      <c r="C381" s="285">
        <v>62.010108000000002</v>
      </c>
      <c r="D381" s="286">
        <v>208.83536998292288</v>
      </c>
      <c r="E381" s="285">
        <f t="shared" si="15"/>
        <v>62.010108000000002</v>
      </c>
      <c r="F381" s="295"/>
      <c r="G381" s="199" t="str">
        <f t="shared" si="16"/>
        <v>E</v>
      </c>
      <c r="H381" s="287" t="str">
        <f t="shared" si="17"/>
        <v>208,8</v>
      </c>
      <c r="I381" s="288"/>
    </row>
    <row r="382" spans="1:9">
      <c r="A382" s="283">
        <v>380</v>
      </c>
      <c r="B382" s="284">
        <v>44577</v>
      </c>
      <c r="C382" s="285">
        <v>64.099561000000008</v>
      </c>
      <c r="D382" s="286">
        <v>208.83536998292288</v>
      </c>
      <c r="E382" s="285">
        <f t="shared" si="15"/>
        <v>64.099561000000008</v>
      </c>
      <c r="F382" s="295"/>
      <c r="G382" s="199" t="str">
        <f t="shared" si="16"/>
        <v/>
      </c>
      <c r="H382" s="287" t="str">
        <f t="shared" si="17"/>
        <v/>
      </c>
      <c r="I382" s="288"/>
    </row>
    <row r="383" spans="1:9">
      <c r="A383" s="283">
        <v>381</v>
      </c>
      <c r="B383" s="284">
        <v>44578</v>
      </c>
      <c r="C383" s="285">
        <v>76.092447000000007</v>
      </c>
      <c r="D383" s="286">
        <v>208.83536998292288</v>
      </c>
      <c r="E383" s="285">
        <f t="shared" si="15"/>
        <v>76.092447000000007</v>
      </c>
      <c r="F383" s="295"/>
      <c r="G383" s="199" t="str">
        <f t="shared" si="16"/>
        <v/>
      </c>
      <c r="H383" s="287" t="str">
        <f t="shared" si="17"/>
        <v/>
      </c>
      <c r="I383" s="288"/>
    </row>
    <row r="384" spans="1:9">
      <c r="A384" s="283">
        <v>382</v>
      </c>
      <c r="B384" s="284">
        <v>44579</v>
      </c>
      <c r="C384" s="285">
        <v>50.593656000000003</v>
      </c>
      <c r="D384" s="286">
        <v>208.83536998292288</v>
      </c>
      <c r="E384" s="285">
        <f t="shared" si="15"/>
        <v>50.593656000000003</v>
      </c>
      <c r="F384" s="295"/>
      <c r="G384" s="199" t="str">
        <f t="shared" si="16"/>
        <v/>
      </c>
      <c r="H384" s="287" t="str">
        <f t="shared" si="17"/>
        <v/>
      </c>
      <c r="I384" s="288"/>
    </row>
    <row r="385" spans="1:9">
      <c r="A385" s="283">
        <v>383</v>
      </c>
      <c r="B385" s="284">
        <v>44580</v>
      </c>
      <c r="C385" s="285">
        <v>95.962306999999996</v>
      </c>
      <c r="D385" s="286">
        <v>208.83536998292288</v>
      </c>
      <c r="E385" s="285">
        <f t="shared" si="15"/>
        <v>95.962306999999996</v>
      </c>
      <c r="F385" s="295"/>
      <c r="G385" s="199" t="str">
        <f t="shared" si="16"/>
        <v/>
      </c>
      <c r="H385" s="287" t="str">
        <f t="shared" si="17"/>
        <v/>
      </c>
      <c r="I385" s="288"/>
    </row>
    <row r="386" spans="1:9">
      <c r="A386" s="283">
        <v>384</v>
      </c>
      <c r="B386" s="284">
        <v>44581</v>
      </c>
      <c r="C386" s="285">
        <v>208.854343</v>
      </c>
      <c r="D386" s="286">
        <v>208.83536998292288</v>
      </c>
      <c r="E386" s="285">
        <f t="shared" si="15"/>
        <v>208.83536998292288</v>
      </c>
      <c r="F386" s="295"/>
      <c r="G386" s="199" t="str">
        <f t="shared" si="16"/>
        <v/>
      </c>
      <c r="H386" s="287" t="str">
        <f t="shared" si="17"/>
        <v/>
      </c>
      <c r="I386" s="288"/>
    </row>
    <row r="387" spans="1:9">
      <c r="A387" s="283">
        <v>385</v>
      </c>
      <c r="B387" s="284">
        <v>44582</v>
      </c>
      <c r="C387" s="285">
        <v>308.52000300000003</v>
      </c>
      <c r="D387" s="286">
        <v>208.83536998292288</v>
      </c>
      <c r="E387" s="285">
        <f t="shared" ref="E387:E395" si="18">IF(C387&gt;D387,D387,C387)</f>
        <v>208.83536998292288</v>
      </c>
      <c r="F387" s="295"/>
      <c r="G387" s="199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87" t="str">
        <f t="shared" ref="H387:H395" si="20">IF(DAY($B387)=15,TEXT(D387,"#,0"),"")</f>
        <v/>
      </c>
      <c r="I387" s="288"/>
    </row>
    <row r="388" spans="1:9">
      <c r="A388" s="283">
        <v>386</v>
      </c>
      <c r="B388" s="284">
        <v>44583</v>
      </c>
      <c r="C388" s="285">
        <v>174.685461</v>
      </c>
      <c r="D388" s="286">
        <v>208.83536998292288</v>
      </c>
      <c r="E388" s="285">
        <f t="shared" si="18"/>
        <v>174.685461</v>
      </c>
      <c r="F388" s="295"/>
      <c r="G388" s="199" t="str">
        <f t="shared" si="19"/>
        <v/>
      </c>
      <c r="H388" s="287" t="str">
        <f t="shared" si="20"/>
        <v/>
      </c>
      <c r="I388" s="288"/>
    </row>
    <row r="389" spans="1:9">
      <c r="A389" s="283">
        <v>387</v>
      </c>
      <c r="B389" s="284">
        <v>44584</v>
      </c>
      <c r="C389" s="285">
        <v>95.040397999999996</v>
      </c>
      <c r="D389" s="286">
        <v>208.83536998292288</v>
      </c>
      <c r="E389" s="285">
        <f t="shared" si="18"/>
        <v>95.040397999999996</v>
      </c>
      <c r="F389" s="295"/>
      <c r="G389" s="199" t="str">
        <f t="shared" si="19"/>
        <v/>
      </c>
      <c r="H389" s="287" t="str">
        <f t="shared" si="20"/>
        <v/>
      </c>
      <c r="I389" s="288"/>
    </row>
    <row r="390" spans="1:9">
      <c r="A390" s="283">
        <v>388</v>
      </c>
      <c r="B390" s="284">
        <v>44585</v>
      </c>
      <c r="C390" s="285">
        <v>82.144214000000005</v>
      </c>
      <c r="D390" s="286">
        <v>208.83536998292288</v>
      </c>
      <c r="E390" s="285">
        <f t="shared" si="18"/>
        <v>82.144214000000005</v>
      </c>
      <c r="F390" s="295"/>
      <c r="G390" s="199" t="str">
        <f t="shared" si="19"/>
        <v/>
      </c>
      <c r="H390" s="287" t="str">
        <f t="shared" si="20"/>
        <v/>
      </c>
      <c r="I390" s="288"/>
    </row>
    <row r="391" spans="1:9">
      <c r="A391" s="283">
        <v>389</v>
      </c>
      <c r="B391" s="284">
        <v>44586</v>
      </c>
      <c r="C391" s="285">
        <v>99.789788000000001</v>
      </c>
      <c r="D391" s="286">
        <v>208.83536998292288</v>
      </c>
      <c r="E391" s="285">
        <f t="shared" si="18"/>
        <v>99.789788000000001</v>
      </c>
      <c r="F391" s="295"/>
      <c r="G391" s="199" t="str">
        <f t="shared" si="19"/>
        <v/>
      </c>
      <c r="H391" s="287" t="str">
        <f t="shared" si="20"/>
        <v/>
      </c>
      <c r="I391" s="288"/>
    </row>
    <row r="392" spans="1:9">
      <c r="A392" s="283">
        <v>390</v>
      </c>
      <c r="B392" s="284">
        <v>44587</v>
      </c>
      <c r="C392" s="285">
        <v>122.86361100000001</v>
      </c>
      <c r="D392" s="286">
        <v>208.83536998292288</v>
      </c>
      <c r="E392" s="285">
        <f t="shared" si="18"/>
        <v>122.86361100000001</v>
      </c>
      <c r="F392" s="295"/>
      <c r="G392" s="199" t="str">
        <f t="shared" si="19"/>
        <v/>
      </c>
      <c r="H392" s="287" t="str">
        <f t="shared" si="20"/>
        <v/>
      </c>
      <c r="I392" s="288"/>
    </row>
    <row r="393" spans="1:9">
      <c r="A393" s="283">
        <v>391</v>
      </c>
      <c r="B393" s="284">
        <v>44588</v>
      </c>
      <c r="C393" s="285">
        <v>134.06142199999999</v>
      </c>
      <c r="D393" s="286">
        <v>208.83536998292288</v>
      </c>
      <c r="E393" s="285">
        <f t="shared" si="18"/>
        <v>134.06142199999999</v>
      </c>
      <c r="F393" s="295"/>
      <c r="G393" s="199" t="str">
        <f t="shared" si="19"/>
        <v/>
      </c>
      <c r="H393" s="287" t="str">
        <f t="shared" si="20"/>
        <v/>
      </c>
      <c r="I393" s="288"/>
    </row>
    <row r="394" spans="1:9">
      <c r="A394" s="283">
        <v>392</v>
      </c>
      <c r="B394" s="284">
        <v>44589</v>
      </c>
      <c r="C394" s="285">
        <v>212.922698</v>
      </c>
      <c r="D394" s="286">
        <v>208.83536998292288</v>
      </c>
      <c r="E394" s="285">
        <f t="shared" si="18"/>
        <v>208.83536998292288</v>
      </c>
      <c r="F394" s="295"/>
      <c r="G394" s="199" t="str">
        <f t="shared" si="19"/>
        <v/>
      </c>
      <c r="H394" s="287" t="str">
        <f t="shared" si="20"/>
        <v/>
      </c>
      <c r="I394" s="288"/>
    </row>
    <row r="395" spans="1:9">
      <c r="A395" s="283">
        <v>393</v>
      </c>
      <c r="B395" s="284">
        <v>44590</v>
      </c>
      <c r="C395" s="285">
        <v>114.510508</v>
      </c>
      <c r="D395" s="286">
        <v>208.83536998292288</v>
      </c>
      <c r="E395" s="285">
        <f t="shared" si="18"/>
        <v>114.510508</v>
      </c>
      <c r="F395" s="295"/>
      <c r="G395" s="199" t="str">
        <f t="shared" si="19"/>
        <v/>
      </c>
      <c r="H395" s="287" t="str">
        <f t="shared" si="20"/>
        <v/>
      </c>
      <c r="I395" s="288"/>
    </row>
    <row r="396" spans="1:9">
      <c r="A396" s="283">
        <v>394</v>
      </c>
      <c r="B396" s="284">
        <v>44591</v>
      </c>
      <c r="C396" s="285">
        <v>91.924535999999989</v>
      </c>
      <c r="D396" s="286">
        <v>208.83536998292288</v>
      </c>
      <c r="E396" s="285">
        <f t="shared" ref="E396" si="21">IF(C396&gt;D396,D396,C396)</f>
        <v>91.924535999999989</v>
      </c>
      <c r="F396" s="295"/>
      <c r="G396" s="199"/>
      <c r="H396" s="287"/>
      <c r="I396" s="288"/>
    </row>
    <row r="397" spans="1:9">
      <c r="A397" s="283">
        <v>395</v>
      </c>
      <c r="B397" s="284">
        <v>44592</v>
      </c>
      <c r="C397" s="285">
        <v>297.63967599999995</v>
      </c>
      <c r="D397" s="286">
        <v>208.83536998292288</v>
      </c>
      <c r="E397" s="285">
        <f t="shared" ref="E397" si="22">IF(C397&gt;D397,D397,C397)</f>
        <v>208.83536998292288</v>
      </c>
      <c r="F397" s="295"/>
      <c r="G397" s="199"/>
      <c r="H397" s="287"/>
      <c r="I397" s="288"/>
    </row>
    <row r="398" spans="1:9">
      <c r="B398" s="284"/>
      <c r="C398" s="285"/>
      <c r="D398" s="286"/>
      <c r="E398" s="285"/>
      <c r="F398" s="295"/>
      <c r="G398" s="199"/>
      <c r="H398" s="287"/>
      <c r="I398" s="288"/>
    </row>
    <row r="399" spans="1:9">
      <c r="B399" s="284"/>
      <c r="C399" s="285"/>
      <c r="D399" s="286"/>
      <c r="E399" s="285"/>
      <c r="F399" s="295"/>
      <c r="G399" s="199"/>
      <c r="H399" s="287"/>
      <c r="I399" s="288"/>
    </row>
    <row r="400" spans="1:9">
      <c r="B400" s="284"/>
      <c r="C400" s="285"/>
      <c r="D400" s="286"/>
      <c r="E400" s="285"/>
      <c r="F400" s="295"/>
      <c r="G400" s="199"/>
      <c r="H400" s="287"/>
      <c r="I400" s="288"/>
    </row>
    <row r="401" spans="2:9">
      <c r="B401" s="284"/>
      <c r="C401" s="285"/>
      <c r="D401" s="286"/>
      <c r="E401" s="285"/>
      <c r="F401" s="295"/>
      <c r="G401" s="199"/>
      <c r="H401" s="287"/>
      <c r="I401" s="288"/>
    </row>
    <row r="402" spans="2:9">
      <c r="B402" s="284"/>
      <c r="C402" s="285"/>
      <c r="D402" s="286"/>
      <c r="E402" s="285"/>
      <c r="F402" s="295"/>
      <c r="G402" s="199"/>
      <c r="H402" s="287"/>
      <c r="I402" s="288"/>
    </row>
    <row r="403" spans="2:9">
      <c r="B403" s="284"/>
      <c r="C403" s="285"/>
      <c r="D403" s="286"/>
      <c r="E403" s="285"/>
      <c r="F403" s="295"/>
      <c r="G403" s="199"/>
      <c r="H403" s="287"/>
      <c r="I403" s="288"/>
    </row>
    <row r="404" spans="2:9">
      <c r="B404" s="284"/>
      <c r="C404" s="285"/>
      <c r="D404" s="286"/>
      <c r="E404" s="285"/>
      <c r="F404" s="295"/>
      <c r="G404" s="199"/>
      <c r="H404" s="287"/>
      <c r="I404" s="288"/>
    </row>
    <row r="405" spans="2:9">
      <c r="B405" s="284"/>
      <c r="C405" s="285"/>
      <c r="D405" s="286"/>
      <c r="E405" s="285"/>
      <c r="F405" s="295"/>
      <c r="G405" s="199"/>
      <c r="H405" s="287"/>
      <c r="I405" s="288"/>
    </row>
    <row r="406" spans="2:9">
      <c r="B406" s="284"/>
      <c r="C406" s="285"/>
      <c r="D406" s="286"/>
      <c r="E406" s="285"/>
      <c r="F406" s="295"/>
      <c r="G406" s="199"/>
      <c r="H406" s="287"/>
      <c r="I406" s="288"/>
    </row>
    <row r="407" spans="2:9">
      <c r="B407" s="284"/>
      <c r="C407" s="285"/>
      <c r="D407" s="286"/>
      <c r="E407" s="285"/>
      <c r="F407" s="295"/>
      <c r="G407" s="199"/>
      <c r="H407" s="287"/>
      <c r="I407" s="288"/>
    </row>
    <row r="408" spans="2:9">
      <c r="B408" s="284"/>
      <c r="C408" s="285"/>
      <c r="D408" s="286"/>
      <c r="E408" s="285"/>
      <c r="F408" s="295"/>
      <c r="G408" s="199"/>
      <c r="H408" s="287"/>
      <c r="I408" s="288"/>
    </row>
    <row r="409" spans="2:9">
      <c r="B409" s="284"/>
      <c r="C409" s="285"/>
      <c r="D409" s="286"/>
      <c r="E409" s="285"/>
      <c r="F409" s="295"/>
      <c r="G409" s="199"/>
      <c r="H409" s="287"/>
      <c r="I409" s="288"/>
    </row>
    <row r="410" spans="2:9">
      <c r="B410" s="284"/>
      <c r="C410" s="285"/>
      <c r="D410" s="286"/>
      <c r="E410" s="285"/>
      <c r="F410" s="295"/>
      <c r="G410" s="199"/>
      <c r="H410" s="287"/>
      <c r="I410" s="288"/>
    </row>
    <row r="411" spans="2:9">
      <c r="B411" s="284"/>
      <c r="C411" s="285"/>
      <c r="D411" s="286"/>
      <c r="E411" s="285"/>
      <c r="F411" s="295"/>
      <c r="G411" s="199"/>
      <c r="H411" s="287"/>
      <c r="I411" s="288"/>
    </row>
    <row r="412" spans="2:9">
      <c r="B412" s="284"/>
      <c r="C412" s="285"/>
      <c r="D412" s="286"/>
      <c r="E412" s="285"/>
      <c r="F412" s="295"/>
      <c r="G412" s="199"/>
      <c r="H412" s="287"/>
      <c r="I412" s="288"/>
    </row>
    <row r="413" spans="2:9">
      <c r="B413" s="284"/>
      <c r="C413" s="285"/>
      <c r="D413" s="286"/>
      <c r="E413" s="285"/>
      <c r="F413" s="295"/>
      <c r="G413" s="199"/>
      <c r="H413" s="287"/>
      <c r="I413" s="288"/>
    </row>
    <row r="414" spans="2:9">
      <c r="B414" s="284"/>
      <c r="C414" s="285"/>
      <c r="D414" s="286"/>
      <c r="E414" s="285"/>
      <c r="F414" s="295"/>
      <c r="G414" s="199"/>
      <c r="H414" s="287"/>
      <c r="I414" s="288"/>
    </row>
    <row r="415" spans="2:9">
      <c r="B415" s="284"/>
      <c r="C415" s="285"/>
      <c r="D415" s="286"/>
      <c r="E415" s="285"/>
      <c r="F415" s="295"/>
      <c r="G415" s="199"/>
      <c r="H415" s="287"/>
      <c r="I415" s="288"/>
    </row>
    <row r="416" spans="2:9">
      <c r="B416" s="284"/>
      <c r="C416" s="285"/>
      <c r="D416" s="286"/>
      <c r="E416" s="285"/>
      <c r="F416" s="295"/>
      <c r="G416" s="199"/>
      <c r="H416" s="287"/>
      <c r="I416" s="288"/>
    </row>
    <row r="417" spans="2:9">
      <c r="B417" s="284"/>
      <c r="C417" s="285"/>
      <c r="D417" s="286"/>
      <c r="E417" s="285"/>
      <c r="F417" s="295"/>
      <c r="G417" s="199"/>
      <c r="H417" s="287"/>
      <c r="I417" s="288"/>
    </row>
    <row r="418" spans="2:9">
      <c r="B418" s="284"/>
      <c r="C418" s="285"/>
      <c r="D418" s="286"/>
      <c r="E418" s="285"/>
      <c r="F418" s="295"/>
      <c r="G418" s="199"/>
      <c r="H418" s="287"/>
      <c r="I418" s="288"/>
    </row>
    <row r="419" spans="2:9">
      <c r="B419" s="284"/>
      <c r="C419" s="285"/>
      <c r="D419" s="286"/>
      <c r="E419" s="285"/>
      <c r="F419" s="295"/>
      <c r="G419" s="199"/>
      <c r="H419" s="287"/>
      <c r="I419" s="288"/>
    </row>
    <row r="420" spans="2:9">
      <c r="B420" s="284"/>
      <c r="C420" s="285"/>
      <c r="D420" s="286"/>
      <c r="E420" s="285"/>
      <c r="F420" s="295"/>
      <c r="G420" s="199"/>
      <c r="H420" s="287"/>
      <c r="I420" s="288"/>
    </row>
    <row r="421" spans="2:9">
      <c r="B421" s="284"/>
      <c r="C421" s="285"/>
      <c r="D421" s="286"/>
      <c r="E421" s="285"/>
      <c r="F421" s="295"/>
      <c r="G421" s="199"/>
      <c r="H421" s="287"/>
      <c r="I421" s="288"/>
    </row>
    <row r="422" spans="2:9">
      <c r="B422" s="284"/>
      <c r="C422" s="285"/>
      <c r="D422" s="286"/>
      <c r="E422" s="285"/>
      <c r="F422" s="295"/>
      <c r="G422" s="199"/>
      <c r="H422" s="287"/>
      <c r="I422" s="288"/>
    </row>
    <row r="423" spans="2:9">
      <c r="B423" s="284"/>
      <c r="C423" s="285"/>
      <c r="D423" s="286"/>
      <c r="E423" s="285"/>
      <c r="F423" s="295"/>
      <c r="G423" s="199"/>
      <c r="H423" s="287"/>
      <c r="I423" s="288"/>
    </row>
    <row r="424" spans="2:9">
      <c r="B424" s="284"/>
      <c r="C424" s="285"/>
      <c r="D424" s="286"/>
      <c r="E424" s="285"/>
      <c r="F424" s="295"/>
      <c r="G424" s="199"/>
      <c r="H424" s="287"/>
      <c r="I424" s="288"/>
    </row>
    <row r="425" spans="2:9">
      <c r="B425" s="284"/>
      <c r="C425" s="285"/>
      <c r="D425" s="286"/>
      <c r="E425" s="285"/>
      <c r="F425" s="295"/>
      <c r="G425" s="199"/>
      <c r="H425" s="287"/>
      <c r="I425" s="288"/>
    </row>
    <row r="426" spans="2:9">
      <c r="B426" s="284"/>
      <c r="C426" s="285"/>
      <c r="D426" s="286"/>
      <c r="E426" s="285"/>
      <c r="F426" s="295"/>
      <c r="G426" s="199"/>
      <c r="H426" s="287"/>
      <c r="I426" s="288"/>
    </row>
    <row r="427" spans="2:9">
      <c r="B427" s="284"/>
      <c r="C427" s="285"/>
      <c r="D427" s="286"/>
      <c r="E427" s="285"/>
      <c r="F427" s="295"/>
      <c r="G427" s="199"/>
      <c r="H427" s="287"/>
      <c r="I427" s="288"/>
    </row>
    <row r="428" spans="2:9">
      <c r="B428" s="284"/>
      <c r="C428" s="285"/>
      <c r="D428" s="286"/>
      <c r="E428" s="285"/>
      <c r="F428" s="295"/>
      <c r="G428" s="199"/>
      <c r="H428" s="287"/>
      <c r="I428" s="288"/>
    </row>
    <row r="429" spans="2:9">
      <c r="B429" s="284"/>
      <c r="C429" s="285"/>
      <c r="D429" s="286"/>
      <c r="E429" s="285"/>
      <c r="F429" s="295"/>
      <c r="G429" s="199"/>
      <c r="H429" s="287"/>
      <c r="I429" s="288"/>
    </row>
    <row r="430" spans="2:9">
      <c r="B430" s="284"/>
      <c r="C430" s="285"/>
      <c r="D430" s="286"/>
      <c r="E430" s="285"/>
      <c r="F430" s="295"/>
      <c r="G430" s="199"/>
      <c r="H430" s="287"/>
      <c r="I430" s="288"/>
    </row>
    <row r="431" spans="2:9">
      <c r="B431" s="284"/>
      <c r="C431" s="285"/>
      <c r="D431" s="286"/>
      <c r="E431" s="285"/>
      <c r="F431" s="295"/>
      <c r="G431" s="199"/>
      <c r="H431" s="287"/>
      <c r="I431" s="288"/>
    </row>
    <row r="432" spans="2:9">
      <c r="B432" s="284"/>
      <c r="C432" s="285"/>
      <c r="D432" s="286"/>
      <c r="E432" s="285"/>
      <c r="F432" s="295"/>
      <c r="G432" s="199"/>
      <c r="H432" s="287"/>
      <c r="I432" s="288"/>
    </row>
    <row r="433" spans="2:9">
      <c r="B433" s="284"/>
      <c r="C433" s="285"/>
      <c r="D433" s="286"/>
      <c r="E433" s="285"/>
      <c r="F433" s="295"/>
      <c r="G433" s="199"/>
      <c r="H433" s="287"/>
      <c r="I433" s="288"/>
    </row>
    <row r="434" spans="2:9">
      <c r="B434" s="284"/>
      <c r="C434" s="285"/>
      <c r="D434" s="286"/>
      <c r="E434" s="285"/>
      <c r="F434" s="295"/>
      <c r="G434" s="199"/>
      <c r="H434" s="287"/>
      <c r="I434" s="288"/>
    </row>
    <row r="435" spans="2:9">
      <c r="B435" s="284"/>
      <c r="C435" s="285"/>
      <c r="D435" s="286"/>
      <c r="E435" s="285"/>
      <c r="F435" s="295"/>
      <c r="G435" s="199"/>
      <c r="H435" s="287"/>
      <c r="I435" s="288"/>
    </row>
    <row r="436" spans="2:9">
      <c r="B436" s="284"/>
      <c r="C436" s="285"/>
      <c r="D436" s="286"/>
      <c r="E436" s="285"/>
      <c r="F436" s="295"/>
      <c r="G436" s="199"/>
      <c r="H436" s="287"/>
      <c r="I436" s="288"/>
    </row>
    <row r="437" spans="2:9">
      <c r="B437" s="284"/>
      <c r="C437" s="285"/>
      <c r="D437" s="286"/>
      <c r="E437" s="285"/>
      <c r="F437" s="295"/>
      <c r="G437" s="199"/>
      <c r="H437" s="287"/>
      <c r="I437" s="288"/>
    </row>
    <row r="438" spans="2:9">
      <c r="B438" s="284"/>
      <c r="C438" s="285"/>
      <c r="D438" s="286"/>
      <c r="E438" s="285"/>
      <c r="F438" s="295"/>
      <c r="G438" s="199"/>
      <c r="H438" s="287"/>
      <c r="I438" s="288"/>
    </row>
    <row r="439" spans="2:9">
      <c r="B439" s="284"/>
      <c r="C439" s="285"/>
      <c r="D439" s="286"/>
      <c r="E439" s="285"/>
      <c r="F439" s="295"/>
      <c r="G439" s="199"/>
      <c r="H439" s="287"/>
      <c r="I439" s="288"/>
    </row>
    <row r="440" spans="2:9">
      <c r="B440" s="284"/>
      <c r="C440" s="285"/>
      <c r="D440" s="286"/>
      <c r="E440" s="285"/>
      <c r="F440" s="295"/>
      <c r="G440" s="199"/>
      <c r="H440" s="287"/>
      <c r="I440" s="288"/>
    </row>
    <row r="441" spans="2:9">
      <c r="B441" s="284"/>
      <c r="C441" s="285"/>
      <c r="D441" s="286"/>
      <c r="E441" s="285"/>
      <c r="F441" s="295"/>
      <c r="G441" s="199"/>
      <c r="H441" s="287"/>
      <c r="I441" s="288"/>
    </row>
    <row r="442" spans="2:9">
      <c r="B442" s="284"/>
      <c r="C442" s="285"/>
      <c r="D442" s="286"/>
      <c r="E442" s="285"/>
      <c r="F442" s="295"/>
      <c r="G442" s="199"/>
      <c r="H442" s="287"/>
      <c r="I442" s="288"/>
    </row>
    <row r="443" spans="2:9">
      <c r="B443" s="284"/>
      <c r="C443" s="285"/>
      <c r="D443" s="286"/>
      <c r="E443" s="285"/>
      <c r="F443" s="295"/>
      <c r="G443" s="199"/>
      <c r="H443" s="287"/>
      <c r="I443" s="288"/>
    </row>
    <row r="444" spans="2:9">
      <c r="B444" s="284"/>
      <c r="C444" s="285"/>
      <c r="D444" s="286"/>
      <c r="E444" s="285"/>
      <c r="F444" s="295"/>
      <c r="G444" s="199"/>
      <c r="H444" s="287"/>
      <c r="I444" s="288"/>
    </row>
    <row r="445" spans="2:9">
      <c r="B445" s="284"/>
      <c r="C445" s="285"/>
      <c r="D445" s="286"/>
      <c r="E445" s="285"/>
      <c r="F445" s="295"/>
      <c r="G445" s="199"/>
      <c r="H445" s="287"/>
      <c r="I445" s="288"/>
    </row>
    <row r="446" spans="2:9">
      <c r="B446" s="284"/>
      <c r="C446" s="285"/>
      <c r="D446" s="286"/>
      <c r="E446" s="285"/>
      <c r="F446" s="295"/>
      <c r="G446" s="199"/>
      <c r="H446" s="287"/>
      <c r="I446" s="288"/>
    </row>
    <row r="447" spans="2:9">
      <c r="B447" s="284"/>
      <c r="C447" s="285"/>
      <c r="D447" s="286"/>
      <c r="E447" s="285"/>
      <c r="F447" s="295"/>
      <c r="G447" s="199"/>
      <c r="H447" s="287"/>
      <c r="I447" s="288"/>
    </row>
    <row r="448" spans="2:9">
      <c r="B448" s="284"/>
      <c r="C448" s="285"/>
      <c r="D448" s="286"/>
      <c r="E448" s="285"/>
      <c r="F448" s="295"/>
      <c r="G448" s="199"/>
      <c r="H448" s="287"/>
      <c r="I448" s="288"/>
    </row>
    <row r="449" spans="2:9">
      <c r="B449" s="284"/>
      <c r="C449" s="285"/>
      <c r="D449" s="286"/>
      <c r="E449" s="285"/>
      <c r="F449" s="295"/>
      <c r="G449" s="199"/>
      <c r="H449" s="287"/>
      <c r="I449" s="288"/>
    </row>
    <row r="450" spans="2:9">
      <c r="B450" s="284"/>
      <c r="C450" s="285"/>
      <c r="D450" s="286"/>
      <c r="E450" s="285"/>
      <c r="F450" s="295"/>
      <c r="G450" s="199"/>
      <c r="H450" s="287"/>
      <c r="I450" s="288"/>
    </row>
    <row r="451" spans="2:9">
      <c r="B451" s="284"/>
      <c r="C451" s="285"/>
      <c r="D451" s="286"/>
      <c r="E451" s="285"/>
      <c r="F451" s="295"/>
      <c r="G451" s="199"/>
      <c r="H451" s="287"/>
      <c r="I451" s="288"/>
    </row>
    <row r="452" spans="2:9">
      <c r="B452" s="284"/>
      <c r="C452" s="285"/>
      <c r="D452" s="286"/>
      <c r="E452" s="285"/>
      <c r="F452" s="295"/>
      <c r="G452" s="199"/>
      <c r="H452" s="287"/>
      <c r="I452" s="288"/>
    </row>
    <row r="453" spans="2:9">
      <c r="B453" s="284"/>
      <c r="C453" s="285"/>
      <c r="D453" s="286"/>
      <c r="E453" s="285"/>
      <c r="F453" s="295"/>
      <c r="G453" s="199"/>
      <c r="H453" s="287"/>
      <c r="I453" s="288"/>
    </row>
    <row r="454" spans="2:9">
      <c r="B454" s="284"/>
      <c r="C454" s="285"/>
      <c r="D454" s="286"/>
      <c r="E454" s="285"/>
      <c r="F454" s="295"/>
      <c r="G454" s="199"/>
      <c r="H454" s="287"/>
      <c r="I454" s="288"/>
    </row>
    <row r="455" spans="2:9">
      <c r="B455" s="284"/>
      <c r="C455" s="285"/>
      <c r="D455" s="286"/>
      <c r="E455" s="285"/>
      <c r="F455" s="295"/>
      <c r="G455" s="199"/>
      <c r="H455" s="287"/>
      <c r="I455" s="288"/>
    </row>
    <row r="456" spans="2:9">
      <c r="B456" s="284"/>
      <c r="C456" s="285"/>
      <c r="D456" s="286"/>
      <c r="E456" s="285"/>
      <c r="F456" s="295"/>
      <c r="G456" s="199"/>
      <c r="H456" s="287"/>
      <c r="I456" s="288"/>
    </row>
    <row r="457" spans="2:9">
      <c r="B457" s="284"/>
      <c r="C457" s="285"/>
      <c r="D457" s="286"/>
      <c r="E457" s="285"/>
      <c r="F457" s="295"/>
      <c r="G457" s="199"/>
      <c r="H457" s="287"/>
      <c r="I457" s="288"/>
    </row>
    <row r="458" spans="2:9">
      <c r="B458" s="284"/>
      <c r="C458" s="285"/>
      <c r="D458" s="286"/>
      <c r="E458" s="285"/>
      <c r="F458" s="295"/>
      <c r="G458" s="199"/>
      <c r="H458" s="287"/>
      <c r="I458" s="288"/>
    </row>
    <row r="459" spans="2:9">
      <c r="B459" s="284"/>
      <c r="C459" s="285"/>
      <c r="D459" s="286"/>
      <c r="E459" s="285"/>
      <c r="F459" s="295"/>
      <c r="G459" s="199"/>
      <c r="H459" s="287"/>
      <c r="I459" s="288"/>
    </row>
    <row r="460" spans="2:9">
      <c r="B460" s="284"/>
      <c r="C460" s="285"/>
      <c r="D460" s="286"/>
      <c r="E460" s="285"/>
      <c r="F460" s="295"/>
      <c r="G460" s="199"/>
      <c r="H460" s="287"/>
      <c r="I460" s="288"/>
    </row>
    <row r="461" spans="2:9">
      <c r="B461" s="284"/>
      <c r="C461" s="285"/>
      <c r="D461" s="286"/>
      <c r="E461" s="285"/>
      <c r="F461" s="295"/>
      <c r="G461" s="199"/>
      <c r="H461" s="287"/>
      <c r="I461" s="288"/>
    </row>
    <row r="462" spans="2:9">
      <c r="B462" s="284"/>
      <c r="C462" s="285"/>
      <c r="D462" s="286"/>
      <c r="E462" s="285"/>
      <c r="F462" s="295"/>
      <c r="G462" s="199"/>
      <c r="H462" s="287"/>
      <c r="I462" s="288"/>
    </row>
    <row r="463" spans="2:9">
      <c r="B463" s="284"/>
      <c r="C463" s="285"/>
      <c r="D463" s="286"/>
      <c r="E463" s="285"/>
      <c r="F463" s="295"/>
      <c r="G463" s="199"/>
      <c r="H463" s="287"/>
      <c r="I463" s="288"/>
    </row>
    <row r="464" spans="2:9">
      <c r="B464" s="284"/>
      <c r="C464" s="285"/>
      <c r="D464" s="286"/>
      <c r="E464" s="285"/>
      <c r="F464" s="295"/>
      <c r="G464" s="199"/>
      <c r="H464" s="287"/>
      <c r="I464" s="288"/>
    </row>
    <row r="465" spans="2:9">
      <c r="B465" s="284"/>
      <c r="C465" s="285"/>
      <c r="D465" s="286"/>
      <c r="E465" s="285"/>
      <c r="F465" s="295"/>
      <c r="G465" s="199"/>
      <c r="H465" s="287"/>
      <c r="I465" s="288"/>
    </row>
    <row r="466" spans="2:9">
      <c r="B466" s="284"/>
      <c r="C466" s="285"/>
      <c r="D466" s="286"/>
      <c r="E466" s="285"/>
      <c r="F466" s="295"/>
      <c r="G466" s="199"/>
      <c r="H466" s="287"/>
      <c r="I466" s="288"/>
    </row>
    <row r="467" spans="2:9">
      <c r="B467" s="284"/>
      <c r="C467" s="285"/>
      <c r="D467" s="286"/>
      <c r="E467" s="285"/>
      <c r="F467" s="295"/>
      <c r="G467" s="199"/>
      <c r="H467" s="287"/>
      <c r="I467" s="288"/>
    </row>
    <row r="468" spans="2:9">
      <c r="B468" s="284"/>
      <c r="C468" s="285"/>
      <c r="D468" s="286"/>
      <c r="E468" s="285"/>
      <c r="F468" s="295"/>
      <c r="G468" s="199"/>
      <c r="H468" s="287"/>
      <c r="I468" s="288"/>
    </row>
    <row r="469" spans="2:9">
      <c r="B469" s="284"/>
      <c r="C469" s="285"/>
      <c r="D469" s="286"/>
      <c r="E469" s="285"/>
      <c r="F469" s="295"/>
      <c r="G469" s="199"/>
      <c r="H469" s="287"/>
      <c r="I469" s="288"/>
    </row>
    <row r="470" spans="2:9">
      <c r="B470" s="284"/>
      <c r="C470" s="285"/>
      <c r="D470" s="286"/>
      <c r="E470" s="285"/>
      <c r="F470" s="295"/>
      <c r="G470" s="199"/>
      <c r="H470" s="287"/>
      <c r="I470" s="288"/>
    </row>
    <row r="471" spans="2:9">
      <c r="B471" s="284"/>
      <c r="C471" s="285"/>
      <c r="D471" s="286"/>
      <c r="E471" s="285"/>
      <c r="F471" s="295"/>
      <c r="G471" s="199"/>
      <c r="H471" s="287"/>
      <c r="I471" s="288"/>
    </row>
    <row r="472" spans="2:9">
      <c r="B472" s="284"/>
      <c r="C472" s="285"/>
      <c r="D472" s="286"/>
      <c r="E472" s="285"/>
      <c r="F472" s="295"/>
      <c r="G472" s="199"/>
      <c r="H472" s="287"/>
      <c r="I472" s="288"/>
    </row>
    <row r="473" spans="2:9">
      <c r="B473" s="284"/>
      <c r="C473" s="285"/>
      <c r="D473" s="286"/>
      <c r="E473" s="285"/>
      <c r="F473" s="295"/>
      <c r="G473" s="199"/>
      <c r="H473" s="287"/>
      <c r="I473" s="288"/>
    </row>
    <row r="474" spans="2:9">
      <c r="B474" s="284"/>
      <c r="C474" s="285"/>
      <c r="D474" s="286"/>
      <c r="E474" s="285"/>
      <c r="F474" s="295"/>
      <c r="G474" s="199"/>
      <c r="H474" s="287"/>
      <c r="I474" s="288"/>
    </row>
    <row r="475" spans="2:9">
      <c r="B475" s="284"/>
      <c r="C475" s="285"/>
      <c r="D475" s="286"/>
      <c r="E475" s="285"/>
      <c r="F475" s="295"/>
      <c r="G475" s="199"/>
      <c r="H475" s="287"/>
      <c r="I475" s="288"/>
    </row>
    <row r="476" spans="2:9">
      <c r="B476" s="284"/>
      <c r="C476" s="285"/>
      <c r="D476" s="286"/>
      <c r="E476" s="285"/>
      <c r="F476" s="295"/>
      <c r="G476" s="199"/>
      <c r="H476" s="287"/>
      <c r="I476" s="288"/>
    </row>
    <row r="477" spans="2:9">
      <c r="B477" s="284"/>
      <c r="C477" s="285"/>
      <c r="D477" s="286"/>
      <c r="E477" s="285"/>
      <c r="F477" s="295"/>
      <c r="G477" s="199"/>
      <c r="H477" s="287"/>
      <c r="I477" s="288"/>
    </row>
    <row r="478" spans="2:9">
      <c r="B478" s="284"/>
      <c r="C478" s="285"/>
      <c r="D478" s="286"/>
      <c r="E478" s="285"/>
      <c r="F478" s="295"/>
      <c r="G478" s="199"/>
      <c r="H478" s="287"/>
      <c r="I478" s="288"/>
    </row>
    <row r="479" spans="2:9">
      <c r="B479" s="284"/>
      <c r="C479" s="285"/>
      <c r="D479" s="286"/>
      <c r="E479" s="285"/>
      <c r="F479" s="295"/>
      <c r="G479" s="199"/>
      <c r="H479" s="287"/>
      <c r="I479" s="288"/>
    </row>
    <row r="480" spans="2:9">
      <c r="B480" s="284"/>
      <c r="C480" s="285"/>
      <c r="D480" s="286"/>
      <c r="E480" s="285"/>
      <c r="F480" s="295"/>
      <c r="G480" s="199"/>
      <c r="H480" s="287"/>
      <c r="I480" s="288"/>
    </row>
    <row r="481" spans="2:9">
      <c r="B481" s="284"/>
      <c r="C481" s="285"/>
      <c r="D481" s="286"/>
      <c r="E481" s="285"/>
      <c r="F481" s="295"/>
      <c r="G481" s="199"/>
      <c r="H481" s="287"/>
      <c r="I481" s="288"/>
    </row>
    <row r="482" spans="2:9">
      <c r="B482" s="284"/>
      <c r="C482" s="285"/>
      <c r="D482" s="286"/>
      <c r="E482" s="285"/>
      <c r="F482" s="295"/>
      <c r="G482" s="199"/>
      <c r="H482" s="287"/>
      <c r="I482" s="288"/>
    </row>
    <row r="483" spans="2:9">
      <c r="B483" s="284"/>
      <c r="C483" s="285"/>
      <c r="D483" s="286"/>
      <c r="E483" s="285"/>
      <c r="F483" s="295"/>
      <c r="G483" s="199"/>
      <c r="H483" s="287"/>
      <c r="I483" s="288"/>
    </row>
    <row r="484" spans="2:9">
      <c r="B484" s="284"/>
      <c r="C484" s="285"/>
      <c r="D484" s="286"/>
      <c r="E484" s="285"/>
      <c r="F484" s="295"/>
      <c r="G484" s="199"/>
      <c r="H484" s="287"/>
      <c r="I484" s="288"/>
    </row>
    <row r="485" spans="2:9">
      <c r="B485" s="284"/>
      <c r="C485" s="285"/>
      <c r="D485" s="286"/>
      <c r="E485" s="285"/>
      <c r="F485" s="295"/>
      <c r="G485" s="199"/>
      <c r="H485" s="287"/>
      <c r="I485" s="288"/>
    </row>
    <row r="486" spans="2:9">
      <c r="B486" s="284"/>
      <c r="C486" s="285"/>
      <c r="D486" s="286"/>
      <c r="E486" s="285"/>
      <c r="F486" s="295"/>
      <c r="G486" s="199"/>
      <c r="H486" s="287"/>
      <c r="I486" s="288"/>
    </row>
    <row r="487" spans="2:9">
      <c r="B487" s="284"/>
      <c r="C487" s="285"/>
      <c r="D487" s="286"/>
      <c r="E487" s="285"/>
      <c r="F487" s="295"/>
      <c r="G487" s="199"/>
      <c r="H487" s="287"/>
      <c r="I487" s="288"/>
    </row>
    <row r="488" spans="2:9">
      <c r="B488" s="284"/>
      <c r="C488" s="285"/>
      <c r="D488" s="286"/>
      <c r="E488" s="285"/>
      <c r="F488" s="295"/>
      <c r="G488" s="199"/>
      <c r="H488" s="287"/>
      <c r="I488" s="28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2918D3-A825-4D28-8B00-5D0085677D3F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fdc812d0-7ad8-4a82-9195-c1c1a8745337"/>
    <ds:schemaRef ds:uri="http://schemas.openxmlformats.org/package/2006/metadata/core-properties"/>
    <ds:schemaRef ds:uri="http://schemas.microsoft.com/office/2006/documentManagement/types"/>
    <ds:schemaRef ds:uri="8a808b56-9519-4f3c-a07e-328060d9d6d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  <vt:lpstr>'P10'!XXXX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2022-02-14T10:29:27Z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